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comments8.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2.xml" ContentType="application/vnd.openxmlformats-officedocument.drawing+xml"/>
  <Override PartName="/xl/comments9.xml" ContentType="application/vnd.openxmlformats-officedocument.spreadsheetml.comment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3.xml" ContentType="application/vnd.openxmlformats-officedocument.drawing+xml"/>
  <Override PartName="/xl/comments10.xml" ContentType="application/vnd.openxmlformats-officedocument.spreadsheetml.comments+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omments11.xml" ContentType="application/vnd.openxmlformats-officedocument.spreadsheetml.comments+xml"/>
  <Override PartName="/xl/drawings/drawing4.xml" ContentType="application/vnd.openxmlformats-officedocument.drawing+xml"/>
  <Override PartName="/xl/comments12.xml" ContentType="application/vnd.openxmlformats-officedocument.spreadsheetml.comments+xml"/>
  <Override PartName="/xl/charts/chart31.xml" ContentType="application/vnd.openxmlformats-officedocument.drawingml.chart+xml"/>
  <Override PartName="/xl/drawings/drawing5.xml" ContentType="application/vnd.openxmlformats-officedocument.drawing+xml"/>
  <Override PartName="/xl/comments13.xml" ContentType="application/vnd.openxmlformats-officedocument.spreadsheetml.comments+xml"/>
  <Override PartName="/xl/charts/chart32.xml" ContentType="application/vnd.openxmlformats-officedocument.drawingml.chart+xml"/>
  <Override PartName="/xl/comments14.xml" ContentType="application/vnd.openxmlformats-officedocument.spreadsheetml.comments+xml"/>
  <Override PartName="/xl/drawings/drawing6.xml" ContentType="application/vnd.openxmlformats-officedocument.drawing+xml"/>
  <Override PartName="/xl/comments15.xml" ContentType="application/vnd.openxmlformats-officedocument.spreadsheetml.comments+xml"/>
  <Override PartName="/xl/charts/chart33.xml" ContentType="application/vnd.openxmlformats-officedocument.drawingml.chart+xml"/>
  <Override PartName="/xl/charts/chart34.xml" ContentType="application/vnd.openxmlformats-officedocument.drawingml.chart+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D:\A.Ouf\Financial Analysis\"/>
    </mc:Choice>
  </mc:AlternateContent>
  <xr:revisionPtr revIDLastSave="0" documentId="13_ncr:1_{D84CC5CC-74FA-403C-BB47-E356F6A1DE32}" xr6:coauthVersionLast="47" xr6:coauthVersionMax="47" xr10:uidLastSave="{00000000-0000-0000-0000-000000000000}"/>
  <bookViews>
    <workbookView xWindow="-120" yWindow="-120" windowWidth="20730" windowHeight="11160" tabRatio="865" activeTab="2" xr2:uid="{00000000-000D-0000-FFFF-FFFF00000000}"/>
  </bookViews>
  <sheets>
    <sheet name="1 - Control Menu" sheetId="1" r:id="rId1"/>
    <sheet name="2 - General Input" sheetId="2" r:id="rId2"/>
    <sheet name="3 - Balance Sheet" sheetId="3" r:id="rId3"/>
    <sheet name="4 - Income Statement" sheetId="4" r:id="rId4"/>
    <sheet name="5 - Cash Flow" sheetId="5" r:id="rId5"/>
    <sheet name="6 - Key Financials" sheetId="6" r:id="rId6"/>
    <sheet name="7 - Ratio Analysis" sheetId="7" r:id="rId7"/>
    <sheet name="8 - Benchmark Analysis" sheetId="8" r:id="rId8"/>
    <sheet name="9 - Horizontal Analysis" sheetId="9" r:id="rId9"/>
    <sheet name="10 - Vertical Analysis" sheetId="10" r:id="rId10"/>
    <sheet name="11 - Pro Forma (Simple)" sheetId="11" r:id="rId11"/>
    <sheet name="12 - Pro Forma (Linear) " sheetId="12" r:id="rId12"/>
    <sheet name="13 - Pro Forma (Exp)" sheetId="13" r:id="rId13"/>
    <sheet name="14 - Scenario Analysis" sheetId="14" r:id="rId14"/>
    <sheet name="15 -Budget Analysis" sheetId="15" r:id="rId15"/>
    <sheet name="16 - Final Budgets" sheetId="16" r:id="rId16"/>
    <sheet name="Answer Report 1" sheetId="17" r:id="rId17"/>
    <sheet name="Answer Report 2" sheetId="18" r:id="rId18"/>
  </sheets>
  <definedNames>
    <definedName name="acid1">'3 - Balance Sheet'!$H$2:$H$4</definedName>
    <definedName name="acid2">'3 - Balance Sheet'!$G$2:$G$4</definedName>
    <definedName name="acid3">'3 - Balance Sheet'!$F$2:$F$4</definedName>
    <definedName name="acid4">'3 - Balance Sheet'!$E$2:$E$4</definedName>
    <definedName name="acid5">'3 - Balance Sheet'!$D$2:$D$4</definedName>
    <definedName name="budgetcommonequity">'16 - Final Budgets'!$D$105:$D$107</definedName>
    <definedName name="common1">'3 - Balance Sheet'!$H$26:$H$28</definedName>
    <definedName name="common2">'3 - Balance Sheet'!$G$26:$G$28</definedName>
    <definedName name="common3">'3 - Balance Sheet'!$F$26:$F$28</definedName>
    <definedName name="common4">'3 - Balance Sheet'!$E$26:$E$28</definedName>
    <definedName name="common5">'3 - Balance Sheet'!$D$26:$D$28</definedName>
    <definedName name="currentassets1">'3 - Balance Sheet'!$H$2:$H$6</definedName>
    <definedName name="currentassets2">'3 - Balance Sheet'!$G$2:$G$6</definedName>
    <definedName name="currentassets3">'3 - Balance Sheet'!$F$2:$F$6</definedName>
    <definedName name="currentassets4">'3 - Balance Sheet'!$E$2:$E$6</definedName>
    <definedName name="currentassets5">'3 - Balance Sheet'!$D$2:$D$6</definedName>
    <definedName name="currentliabilities1">'3 - Balance Sheet'!$H$16:$H$19</definedName>
    <definedName name="currentliabilities2">'3 - Balance Sheet'!$G$16:$G$19</definedName>
    <definedName name="currentliabilities3">'3 - Balance Sheet'!$F$16:$F$19</definedName>
    <definedName name="currentliabilities4">'3 - Balance Sheet'!$E$16:$E$19</definedName>
    <definedName name="currentliabilities5">'3 - Balance Sheet'!$D$16:$D$19</definedName>
    <definedName name="equity1">'3 - Balance Sheet'!$H$25:$H$30</definedName>
    <definedName name="equity2">'3 - Balance Sheet'!$G$25:$G$30</definedName>
    <definedName name="equity3">'3 - Balance Sheet'!$F$25:$F$30</definedName>
    <definedName name="equity4">'3 - Balance Sheet'!$E$25:$E$30</definedName>
    <definedName name="equity5">'3 - Balance Sheet'!$D$25:$D$30</definedName>
    <definedName name="extra1">'4 - Income Statement'!$H$17:$H$19</definedName>
    <definedName name="extra2">'4 - Income Statement'!$G$17:$G$19</definedName>
    <definedName name="extra3">'4 - Income Statement'!$F$17:$F$19</definedName>
    <definedName name="extra4">'4 - Income Statement'!$E$17:$E$19</definedName>
    <definedName name="extra5">'4 - Income Statement'!$D$17:$D$19</definedName>
    <definedName name="financingcash1">'5 - Cash Flow'!$H$16:$H$22</definedName>
    <definedName name="financingcash2">'5 - Cash Flow'!$G$16:$G$22</definedName>
    <definedName name="financingcash3">'5 - Cash Flow'!$F$16:$F$22</definedName>
    <definedName name="financingcash4">'5 - Cash Flow'!$E$16:$E$22</definedName>
    <definedName name="financingcash5">'5 - Cash Flow'!$D$16:$D$22</definedName>
    <definedName name="investmentcash1">'5 - Cash Flow'!$H$9:$H$14</definedName>
    <definedName name="investmentcash2">'5 - Cash Flow'!$G$9:$G$14</definedName>
    <definedName name="investmentcash3">'5 - Cash Flow'!$F$9:$F$14</definedName>
    <definedName name="investmentcash4">'5 - Cash Flow'!$E$9:$E$14</definedName>
    <definedName name="investmentcash5">'5 - Cash Flow'!$D$9:$D$14</definedName>
    <definedName name="noncurrentassets1">'3 - Balance Sheet'!$H$10:$H$13</definedName>
    <definedName name="noncurrentassets2">'3 - Balance Sheet'!$G$10:$G$13</definedName>
    <definedName name="noncurrentassets3">'3 - Balance Sheet'!$F$10:$F$13</definedName>
    <definedName name="noncurrentassets4">'3 - Balance Sheet'!$E$10:$E$13</definedName>
    <definedName name="noncurrentassets5">'3 - Balance Sheet'!$D$10:$D$13</definedName>
    <definedName name="nonoperatingexpenses1">'4 - Income Statement'!$H$10:$H$15</definedName>
    <definedName name="nonoperatingexpenses2">'4 - Income Statement'!$G$10:$G$15</definedName>
    <definedName name="nonoperatingexpenses3">'4 - Income Statement'!$F$10:$F$15</definedName>
    <definedName name="nonoperatingexpenses4">'4 - Income Statement'!$E$10:$E$15</definedName>
    <definedName name="nonoperatingexpenses5">'4 - Income Statement'!$D$10:$D$15</definedName>
    <definedName name="operatingcash1">'5 - Cash Flow'!$H$2:$H$7</definedName>
    <definedName name="operatingcash2">'5 - Cash Flow'!$G$2:$G$7</definedName>
    <definedName name="operatingcash3">'5 - Cash Flow'!$F$2:$F$7</definedName>
    <definedName name="operatingcash4">'5 - Cash Flow'!$E$2:$E$7</definedName>
    <definedName name="operatingcash5">'5 - Cash Flow'!$D$2:$D$7</definedName>
    <definedName name="_xlnm.Print_Area" localSheetId="9">'10 - Vertical Analysis'!$B$1:$J$217</definedName>
    <definedName name="_xlnm.Print_Area" localSheetId="10">'11 - Pro Forma (Simple)'!$A$1:$I$126</definedName>
    <definedName name="_xlnm.Print_Area" localSheetId="11">'12 - Pro Forma (Linear) '!$A$1:$I$152</definedName>
    <definedName name="_xlnm.Print_Area" localSheetId="2">'3 - Balance Sheet'!$A$1:$H$32</definedName>
    <definedName name="_xlnm.Print_Area" localSheetId="3">'4 - Income Statement'!$A$1:$H$29</definedName>
    <definedName name="_xlnm.Print_Area" localSheetId="4">'5 - Cash Flow'!$A$1:$H$27</definedName>
    <definedName name="_xlnm.Print_Area" localSheetId="5">'6 - Key Financials'!$A$1:$K$25</definedName>
    <definedName name="_xlnm.Print_Area" localSheetId="6">'7 - Ratio Analysis'!$A$1:$J$90</definedName>
    <definedName name="_xlnm.Print_Area" localSheetId="7">'8 - Benchmark Analysis'!$A$1:$I$353</definedName>
    <definedName name="_xlnm.Print_Area" localSheetId="8">'9 - Horizontal Analysis'!$A$1:$I$228</definedName>
    <definedName name="_xlnm.Print_Titles" localSheetId="10">'11 - Pro Forma (Simple)'!$11:$14</definedName>
    <definedName name="_xlnm.Print_Titles" localSheetId="2">'3 - Balance Sheet'!$1:$1</definedName>
    <definedName name="_xlnm.Print_Titles" localSheetId="3">'4 - Income Statement'!$1:$1</definedName>
    <definedName name="_xlnm.Print_Titles" localSheetId="4">'5 - Cash Flow'!$1:$1</definedName>
    <definedName name="_xlnm.Print_Titles" localSheetId="5">'6 - Key Financials'!$1:$1</definedName>
    <definedName name="_xlnm.Print_Titles" localSheetId="6">'7 - Ratio Analysis'!$1:$6</definedName>
    <definedName name="solver_adj" localSheetId="12" hidden="1">'13 - Pro Forma (Exp)'!$D$22:$H$22</definedName>
    <definedName name="solver_cvg" localSheetId="12" hidden="1">0.0001</definedName>
    <definedName name="solver_drv" localSheetId="12" hidden="1">1</definedName>
    <definedName name="solver_est" localSheetId="12" hidden="1">1</definedName>
    <definedName name="solver_itr" localSheetId="12" hidden="1">100</definedName>
    <definedName name="solver_lhs1" localSheetId="12" hidden="1">'13 - Pro Forma (Exp)'!$D$22:$H$22</definedName>
    <definedName name="solver_lhs2" localSheetId="12" hidden="1">'13 - Pro Forma (Exp)'!$D$22:$H$22</definedName>
    <definedName name="solver_lhs3" localSheetId="12" hidden="1">'13 - Pro Forma (Exp)'!$I$22</definedName>
    <definedName name="solver_lin" localSheetId="12" hidden="1">2</definedName>
    <definedName name="solver_neg" localSheetId="12" hidden="1">2</definedName>
    <definedName name="solver_num" localSheetId="12" hidden="1">3</definedName>
    <definedName name="solver_nwt" localSheetId="12" hidden="1">1</definedName>
    <definedName name="solver_opt" localSheetId="12" hidden="1">'13 - Pro Forma (Exp)'!$G$43</definedName>
    <definedName name="solver_pre" localSheetId="12" hidden="1">0.000001</definedName>
    <definedName name="solver_rel1" localSheetId="12" hidden="1">1</definedName>
    <definedName name="solver_rel2" localSheetId="12" hidden="1">3</definedName>
    <definedName name="solver_rel3" localSheetId="12" hidden="1">2</definedName>
    <definedName name="solver_rhs1" localSheetId="12" hidden="1">'13 - Pro Forma (Exp)'!$E$20</definedName>
    <definedName name="solver_rhs2" localSheetId="12" hidden="1">'13 - Pro Forma (Exp)'!$D$20</definedName>
    <definedName name="solver_rhs3" localSheetId="12" hidden="1">'13 - Pro Forma (Exp)'!$E$20</definedName>
    <definedName name="solver_scl" localSheetId="12" hidden="1">2</definedName>
    <definedName name="solver_sho" localSheetId="12" hidden="1">2</definedName>
    <definedName name="solver_tim" localSheetId="12" hidden="1">100</definedName>
    <definedName name="solver_tol" localSheetId="12" hidden="1">0.05</definedName>
    <definedName name="solver_typ" localSheetId="12" hidden="1">2</definedName>
    <definedName name="solver_val" localSheetId="12" hidden="1">0</definedName>
    <definedName name="Z_250789E3_B657_4A6D_AD7D_7EE7A7132AFA_.wvu.PrintArea" localSheetId="9" hidden="1">'10 - Vertical Analysis'!$D$1:$J$63</definedName>
    <definedName name="Z_250789E3_B657_4A6D_AD7D_7EE7A7132AFA_.wvu.PrintArea" localSheetId="10" hidden="1">'11 - Pro Forma (Simple)'!$C$15:$I$116</definedName>
    <definedName name="Z_250789E3_B657_4A6D_AD7D_7EE7A7132AFA_.wvu.PrintArea" localSheetId="2" hidden="1">'3 - Balance Sheet'!$B$2:$H$32</definedName>
    <definedName name="Z_250789E3_B657_4A6D_AD7D_7EE7A7132AFA_.wvu.PrintArea" localSheetId="3" hidden="1">'4 - Income Statement'!$B$2:$H$29</definedName>
    <definedName name="Z_250789E3_B657_4A6D_AD7D_7EE7A7132AFA_.wvu.PrintArea" localSheetId="4" hidden="1">'5 - Cash Flow'!$B$2:$H$27</definedName>
    <definedName name="Z_250789E3_B657_4A6D_AD7D_7EE7A7132AFA_.wvu.PrintArea" localSheetId="5" hidden="1">'6 - Key Financials'!$D$2:$J$25</definedName>
    <definedName name="Z_250789E3_B657_4A6D_AD7D_7EE7A7132AFA_.wvu.PrintArea" localSheetId="6" hidden="1">'7 - Ratio Analysis'!$D$9:$J$90</definedName>
    <definedName name="Z_250789E3_B657_4A6D_AD7D_7EE7A7132AFA_.wvu.PrintArea" localSheetId="8" hidden="1">'9 - Horizontal Analysis'!$C$1:$I$69</definedName>
    <definedName name="Z_250789E3_B657_4A6D_AD7D_7EE7A7132AFA_.wvu.PrintTitles" localSheetId="10" hidden="1">'11 - Pro Forma (Simple)'!$11:$14</definedName>
    <definedName name="Z_250789E3_B657_4A6D_AD7D_7EE7A7132AFA_.wvu.PrintTitles" localSheetId="2" hidden="1">'3 - Balance Sheet'!$1:$1</definedName>
    <definedName name="Z_250789E3_B657_4A6D_AD7D_7EE7A7132AFA_.wvu.PrintTitles" localSheetId="3" hidden="1">'4 - Income Statement'!$1:$1</definedName>
    <definedName name="Z_250789E3_B657_4A6D_AD7D_7EE7A7132AFA_.wvu.PrintTitles" localSheetId="4" hidden="1">'5 - Cash Flow'!$1:$1</definedName>
    <definedName name="Z_250789E3_B657_4A6D_AD7D_7EE7A7132AFA_.wvu.PrintTitles" localSheetId="5" hidden="1">'6 - Key Financials'!$1:$1</definedName>
    <definedName name="Z_250789E3_B657_4A6D_AD7D_7EE7A7132AFA_.wvu.PrintTitles" localSheetId="6" hidden="1">'7 - Ratio Analysis'!$1:$6</definedName>
  </definedNames>
  <calcPr calcId="191029"/>
  <customWorkbookViews>
    <customWorkbookView name="Matt H. Evans - Personal View" guid="{250789E3-B657-4A6D-AD7D-7EE7A7132AFA}" mergeInterval="0" personalView="1" maximized="1" windowWidth="796" windowHeight="437" tabRatio="931"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c r="F103" i="11"/>
  <c r="E103" i="11"/>
  <c r="D139" i="12" s="1"/>
  <c r="H1" i="4"/>
  <c r="D39" i="12" s="1"/>
  <c r="D40" i="12" s="1"/>
  <c r="D41" i="12" s="1"/>
  <c r="D42" i="12" s="1"/>
  <c r="D43" i="12" s="1"/>
  <c r="D44" i="12" s="1"/>
  <c r="E1" i="4"/>
  <c r="D36" i="12" s="1"/>
  <c r="F1" i="4"/>
  <c r="G1" i="4"/>
  <c r="G15" i="13" s="1"/>
  <c r="D1" i="4"/>
  <c r="D15" i="13" s="1"/>
  <c r="E87" i="11"/>
  <c r="F87" i="11" s="1"/>
  <c r="G87" i="11" s="1"/>
  <c r="H87" i="11" s="1"/>
  <c r="I87" i="11" s="1"/>
  <c r="E86" i="11"/>
  <c r="F86" i="11" s="1"/>
  <c r="E50" i="11"/>
  <c r="E56" i="11"/>
  <c r="E62" i="11"/>
  <c r="E69" i="11"/>
  <c r="E73" i="11"/>
  <c r="F50" i="11"/>
  <c r="F56" i="11"/>
  <c r="F62" i="11"/>
  <c r="F69" i="11"/>
  <c r="G50" i="11"/>
  <c r="G56" i="11"/>
  <c r="G62" i="11"/>
  <c r="G69" i="11"/>
  <c r="H50" i="11"/>
  <c r="H56" i="11"/>
  <c r="H62" i="11"/>
  <c r="H69" i="11"/>
  <c r="I50" i="11"/>
  <c r="I56" i="11"/>
  <c r="I62" i="11"/>
  <c r="I69" i="11"/>
  <c r="E13" i="11"/>
  <c r="F13" i="11" s="1"/>
  <c r="G13" i="11" s="1"/>
  <c r="H13" i="11" s="1"/>
  <c r="G51" i="12" s="1"/>
  <c r="F53" i="7"/>
  <c r="F54" i="7" s="1"/>
  <c r="G47" i="7"/>
  <c r="H47" i="7"/>
  <c r="I47" i="7"/>
  <c r="H22" i="8" s="1"/>
  <c r="J47" i="7"/>
  <c r="I22" i="8" s="1"/>
  <c r="F47" i="7"/>
  <c r="F49" i="7" s="1"/>
  <c r="F23" i="7" s="1"/>
  <c r="F46" i="7"/>
  <c r="G45" i="7"/>
  <c r="H45" i="7"/>
  <c r="I45" i="7"/>
  <c r="J45" i="7"/>
  <c r="F45" i="7"/>
  <c r="H16" i="5"/>
  <c r="H23" i="5" s="1"/>
  <c r="G22" i="5"/>
  <c r="G16" i="5"/>
  <c r="G23" i="5" s="1"/>
  <c r="F16" i="5"/>
  <c r="F23" i="5" s="1"/>
  <c r="E16" i="5"/>
  <c r="E23" i="5" s="1"/>
  <c r="D6" i="5"/>
  <c r="D3" i="5"/>
  <c r="D22" i="5"/>
  <c r="D16" i="5"/>
  <c r="D7" i="5"/>
  <c r="D3" i="4"/>
  <c r="D4" i="4" s="1"/>
  <c r="E15" i="5"/>
  <c r="G10" i="6" s="1"/>
  <c r="F15" i="5"/>
  <c r="F3" i="5"/>
  <c r="G15" i="5"/>
  <c r="G3" i="5"/>
  <c r="H15" i="5"/>
  <c r="J10" i="6" s="1"/>
  <c r="H3" i="5"/>
  <c r="D15" i="5"/>
  <c r="F10" i="6" s="1"/>
  <c r="H8" i="4"/>
  <c r="H3" i="4"/>
  <c r="H4" i="4" s="1"/>
  <c r="E62" i="15" s="1"/>
  <c r="G8" i="4"/>
  <c r="G3" i="4"/>
  <c r="G4" i="4" s="1"/>
  <c r="F8" i="4"/>
  <c r="F3" i="4"/>
  <c r="F4" i="4" s="1"/>
  <c r="E8" i="4"/>
  <c r="E4" i="4"/>
  <c r="G53" i="10" s="1"/>
  <c r="G213" i="10" s="1"/>
  <c r="E7" i="4"/>
  <c r="F7" i="4"/>
  <c r="G7" i="4"/>
  <c r="H7" i="4"/>
  <c r="D8" i="4"/>
  <c r="D7" i="4"/>
  <c r="H28" i="3"/>
  <c r="H31" i="3" s="1"/>
  <c r="H22" i="3"/>
  <c r="I103" i="11" s="1"/>
  <c r="H21" i="3"/>
  <c r="J23" i="6" s="1"/>
  <c r="H19" i="3"/>
  <c r="H17" i="3"/>
  <c r="H6" i="3"/>
  <c r="H7" i="3" s="1"/>
  <c r="H177" i="15" s="1"/>
  <c r="H178" i="15" s="1"/>
  <c r="G28" i="3"/>
  <c r="G31" i="3" s="1"/>
  <c r="G22" i="3"/>
  <c r="H103" i="11" s="1"/>
  <c r="G139" i="12" s="1"/>
  <c r="G19" i="3"/>
  <c r="G17" i="3"/>
  <c r="G6" i="3"/>
  <c r="I34" i="9" s="1"/>
  <c r="F8" i="3"/>
  <c r="F10" i="3" s="1"/>
  <c r="F28" i="3"/>
  <c r="F31" i="3" s="1"/>
  <c r="F21" i="3"/>
  <c r="H23" i="6" s="1"/>
  <c r="F19" i="3"/>
  <c r="F17" i="3"/>
  <c r="G46" i="9" s="1"/>
  <c r="G8" i="3"/>
  <c r="G10" i="3" s="1"/>
  <c r="F6" i="3"/>
  <c r="F7" i="3" s="1"/>
  <c r="E28" i="3"/>
  <c r="E31" i="3" s="1"/>
  <c r="F64" i="9" s="1"/>
  <c r="E23" i="3"/>
  <c r="E19" i="3"/>
  <c r="E17" i="3"/>
  <c r="E16" i="3"/>
  <c r="E8" i="3"/>
  <c r="E10" i="3" s="1"/>
  <c r="E14" i="3" s="1"/>
  <c r="E6" i="3"/>
  <c r="E7" i="3" s="1"/>
  <c r="H10" i="3"/>
  <c r="H14" i="3" s="1"/>
  <c r="H181" i="15" s="1"/>
  <c r="H182" i="15" s="1"/>
  <c r="D8" i="3"/>
  <c r="D10" i="3" s="1"/>
  <c r="D14" i="3" s="1"/>
  <c r="D19" i="3"/>
  <c r="F48" i="9" s="1"/>
  <c r="D28" i="3"/>
  <c r="D31" i="3" s="1"/>
  <c r="D23" i="3"/>
  <c r="D16" i="3"/>
  <c r="D17" i="3"/>
  <c r="D6" i="3"/>
  <c r="F30" i="7" s="1"/>
  <c r="F31" i="7" s="1"/>
  <c r="D2" i="10"/>
  <c r="F9" i="10"/>
  <c r="G9" i="10"/>
  <c r="H9" i="10"/>
  <c r="I9" i="10"/>
  <c r="J9" i="10"/>
  <c r="F11" i="10"/>
  <c r="G11" i="10"/>
  <c r="H11" i="10"/>
  <c r="I11" i="10"/>
  <c r="J11" i="10"/>
  <c r="D13" i="10"/>
  <c r="D14" i="10"/>
  <c r="D15" i="10"/>
  <c r="D16" i="10"/>
  <c r="D17" i="10"/>
  <c r="D20" i="10"/>
  <c r="D21" i="10"/>
  <c r="D22" i="10"/>
  <c r="D23" i="10"/>
  <c r="D28" i="10"/>
  <c r="D29" i="10"/>
  <c r="D30" i="10"/>
  <c r="D31" i="10"/>
  <c r="D32" i="10"/>
  <c r="D34" i="10"/>
  <c r="D35" i="10"/>
  <c r="D40" i="10"/>
  <c r="D41" i="10"/>
  <c r="D42" i="10"/>
  <c r="D43" i="10"/>
  <c r="D44" i="10"/>
  <c r="D45" i="10"/>
  <c r="D213" i="10"/>
  <c r="D214" i="10"/>
  <c r="D215" i="10"/>
  <c r="F40" i="10"/>
  <c r="F41" i="10"/>
  <c r="F42" i="10"/>
  <c r="F44" i="10"/>
  <c r="F45" i="10"/>
  <c r="F46" i="10"/>
  <c r="D114" i="11"/>
  <c r="D113" i="11"/>
  <c r="D112" i="11"/>
  <c r="D111" i="11"/>
  <c r="D110" i="11"/>
  <c r="D109" i="11"/>
  <c r="D108" i="11"/>
  <c r="D106" i="11"/>
  <c r="D104" i="11"/>
  <c r="D103" i="11"/>
  <c r="D102" i="11"/>
  <c r="D100" i="11"/>
  <c r="D99" i="11"/>
  <c r="D98" i="11"/>
  <c r="D97" i="11"/>
  <c r="D96" i="11"/>
  <c r="D94" i="11"/>
  <c r="D92" i="11"/>
  <c r="D91" i="11"/>
  <c r="D90" i="11"/>
  <c r="D89" i="11"/>
  <c r="D88" i="11"/>
  <c r="D87" i="11"/>
  <c r="D86" i="11"/>
  <c r="D84" i="11"/>
  <c r="D83" i="11"/>
  <c r="D82" i="11"/>
  <c r="D81" i="11"/>
  <c r="D80" i="11"/>
  <c r="D79" i="11"/>
  <c r="C2" i="11"/>
  <c r="E11" i="11"/>
  <c r="F11" i="11"/>
  <c r="G11" i="11"/>
  <c r="H11" i="11"/>
  <c r="I11" i="11"/>
  <c r="C37" i="11"/>
  <c r="C38" i="11"/>
  <c r="C39" i="11"/>
  <c r="C40" i="11"/>
  <c r="C41" i="11"/>
  <c r="C42" i="11"/>
  <c r="C79" i="11"/>
  <c r="C80" i="11"/>
  <c r="C81" i="11"/>
  <c r="C82" i="11"/>
  <c r="C83" i="11"/>
  <c r="C86" i="11"/>
  <c r="C87" i="11"/>
  <c r="C88" i="11"/>
  <c r="C89" i="11"/>
  <c r="C90" i="11"/>
  <c r="C91" i="11"/>
  <c r="C96" i="11"/>
  <c r="C97" i="11"/>
  <c r="C98" i="11"/>
  <c r="C99" i="11"/>
  <c r="C102" i="11"/>
  <c r="C103" i="11"/>
  <c r="C108" i="11"/>
  <c r="C109" i="11"/>
  <c r="C110" i="11"/>
  <c r="C111" i="11"/>
  <c r="C112" i="11"/>
  <c r="C113" i="11"/>
  <c r="D51" i="12"/>
  <c r="D102" i="12"/>
  <c r="E51" i="12"/>
  <c r="E102" i="12"/>
  <c r="F51" i="12"/>
  <c r="F102" i="12"/>
  <c r="G102" i="12"/>
  <c r="H102" i="12"/>
  <c r="E149" i="12"/>
  <c r="F149" i="12"/>
  <c r="G149" i="12"/>
  <c r="H149" i="12"/>
  <c r="D149" i="12"/>
  <c r="E148" i="12"/>
  <c r="F148" i="12"/>
  <c r="G148" i="12"/>
  <c r="H148" i="12"/>
  <c r="D148" i="12"/>
  <c r="E146" i="12"/>
  <c r="F146" i="12"/>
  <c r="G146" i="12"/>
  <c r="H146" i="12"/>
  <c r="E145" i="12"/>
  <c r="F145" i="12"/>
  <c r="G145" i="12"/>
  <c r="H145" i="12"/>
  <c r="D145" i="12"/>
  <c r="D146" i="12"/>
  <c r="E144" i="12"/>
  <c r="F144" i="12"/>
  <c r="G144" i="12"/>
  <c r="H144" i="12"/>
  <c r="D144" i="12"/>
  <c r="E139" i="12"/>
  <c r="E134" i="12"/>
  <c r="F134" i="12"/>
  <c r="G134" i="12"/>
  <c r="H134" i="12"/>
  <c r="D134" i="12"/>
  <c r="E127" i="12"/>
  <c r="F127" i="12"/>
  <c r="G127" i="12"/>
  <c r="H127" i="12"/>
  <c r="D127" i="12"/>
  <c r="D90" i="12"/>
  <c r="D126" i="12" s="1"/>
  <c r="E90" i="12"/>
  <c r="F90" i="12"/>
  <c r="G90" i="12"/>
  <c r="H90" i="12"/>
  <c r="D91" i="12"/>
  <c r="D84" i="12"/>
  <c r="E91" i="12"/>
  <c r="E84" i="12"/>
  <c r="F91" i="12"/>
  <c r="F84" i="12"/>
  <c r="G91" i="12"/>
  <c r="G84" i="12"/>
  <c r="H91" i="12"/>
  <c r="H84" i="12"/>
  <c r="D74" i="12"/>
  <c r="D123" i="12" s="1"/>
  <c r="E123" i="12" s="1"/>
  <c r="E74" i="12"/>
  <c r="F74" i="12"/>
  <c r="G74" i="12"/>
  <c r="H74" i="12"/>
  <c r="D89" i="12"/>
  <c r="E89" i="12"/>
  <c r="F89" i="12"/>
  <c r="G89" i="12"/>
  <c r="H89" i="12"/>
  <c r="E116" i="12"/>
  <c r="F116" i="12"/>
  <c r="G116" i="12"/>
  <c r="H116" i="12"/>
  <c r="D116" i="12"/>
  <c r="E75" i="12"/>
  <c r="E76" i="12"/>
  <c r="E83" i="12"/>
  <c r="E85" i="12"/>
  <c r="E95" i="12"/>
  <c r="E96" i="12"/>
  <c r="E97" i="12"/>
  <c r="E98" i="12"/>
  <c r="E101" i="12"/>
  <c r="E103" i="12"/>
  <c r="E104" i="12"/>
  <c r="D75" i="12"/>
  <c r="D76" i="12"/>
  <c r="D83" i="12"/>
  <c r="D85" i="12"/>
  <c r="D86" i="12"/>
  <c r="D95" i="12"/>
  <c r="D98" i="12" s="1"/>
  <c r="D96" i="12"/>
  <c r="D97" i="12"/>
  <c r="D101" i="12"/>
  <c r="D103" i="12"/>
  <c r="D104" i="12"/>
  <c r="D109" i="12"/>
  <c r="F75" i="12"/>
  <c r="F76" i="12"/>
  <c r="F83" i="12"/>
  <c r="F85" i="12"/>
  <c r="F92" i="12"/>
  <c r="F95" i="12"/>
  <c r="F96" i="12"/>
  <c r="F97" i="12"/>
  <c r="F101" i="12"/>
  <c r="F105" i="12" s="1"/>
  <c r="F103" i="12"/>
  <c r="F104" i="12"/>
  <c r="G75" i="12"/>
  <c r="G76" i="12"/>
  <c r="G83" i="12"/>
  <c r="G85" i="12"/>
  <c r="G86" i="12"/>
  <c r="G92" i="12"/>
  <c r="G95" i="12"/>
  <c r="G96" i="12"/>
  <c r="G97" i="12"/>
  <c r="G101" i="12"/>
  <c r="G103" i="12"/>
  <c r="G104" i="12"/>
  <c r="G105" i="12"/>
  <c r="H75" i="12"/>
  <c r="H76" i="12"/>
  <c r="H83" i="12"/>
  <c r="H85" i="12"/>
  <c r="H95" i="12"/>
  <c r="H96" i="12"/>
  <c r="H97" i="12"/>
  <c r="H98" i="12"/>
  <c r="H101" i="12"/>
  <c r="H103" i="12"/>
  <c r="H104" i="12"/>
  <c r="C2" i="12"/>
  <c r="D49" i="12"/>
  <c r="E49" i="12"/>
  <c r="F49" i="12"/>
  <c r="G49" i="12"/>
  <c r="H49" i="12"/>
  <c r="H27" i="4"/>
  <c r="D27" i="4"/>
  <c r="E27" i="4"/>
  <c r="F27" i="4"/>
  <c r="G27" i="4"/>
  <c r="H28" i="4"/>
  <c r="D28" i="4"/>
  <c r="E28" i="4"/>
  <c r="F28" i="4"/>
  <c r="G28" i="4"/>
  <c r="D37" i="12"/>
  <c r="E41" i="13"/>
  <c r="E40" i="13"/>
  <c r="E39" i="13"/>
  <c r="E38" i="13"/>
  <c r="H16" i="13"/>
  <c r="D42" i="13" s="1"/>
  <c r="D113" i="13"/>
  <c r="D119" i="13"/>
  <c r="E152" i="13"/>
  <c r="F152" i="13"/>
  <c r="G152" i="13"/>
  <c r="H152" i="13"/>
  <c r="D152" i="13"/>
  <c r="E167" i="13"/>
  <c r="F167" i="13"/>
  <c r="G167" i="13"/>
  <c r="H167" i="13"/>
  <c r="D167" i="13"/>
  <c r="D120" i="13"/>
  <c r="D123" i="13" s="1"/>
  <c r="E120" i="13"/>
  <c r="E123" i="13" s="1"/>
  <c r="F120" i="13"/>
  <c r="E164" i="13"/>
  <c r="F164" i="13"/>
  <c r="G164" i="13"/>
  <c r="H164" i="13"/>
  <c r="E163" i="13"/>
  <c r="F163" i="13"/>
  <c r="G163" i="13"/>
  <c r="H163" i="13"/>
  <c r="D164" i="13"/>
  <c r="D163" i="13"/>
  <c r="E162" i="13"/>
  <c r="F162" i="13"/>
  <c r="G162" i="13"/>
  <c r="H162" i="13"/>
  <c r="D162" i="13"/>
  <c r="E157" i="13"/>
  <c r="D108" i="13"/>
  <c r="D144" i="13"/>
  <c r="E144" i="13" s="1"/>
  <c r="F144" i="13" s="1"/>
  <c r="G144" i="13" s="1"/>
  <c r="H144" i="13" s="1"/>
  <c r="E108" i="13"/>
  <c r="D102" i="13"/>
  <c r="D143" i="13" s="1"/>
  <c r="E102" i="13"/>
  <c r="F102" i="13"/>
  <c r="G102" i="13"/>
  <c r="H102" i="13"/>
  <c r="D92" i="13"/>
  <c r="D141" i="13" s="1"/>
  <c r="E141" i="13" s="1"/>
  <c r="F141" i="13" s="1"/>
  <c r="G141" i="13" s="1"/>
  <c r="H141" i="13" s="1"/>
  <c r="E92" i="13"/>
  <c r="F92" i="13"/>
  <c r="G92" i="13"/>
  <c r="H92" i="13"/>
  <c r="D107" i="13"/>
  <c r="D140" i="13" s="1"/>
  <c r="E107" i="13"/>
  <c r="E110" i="13" s="1"/>
  <c r="F107" i="13"/>
  <c r="F110" i="13" s="1"/>
  <c r="D122" i="13"/>
  <c r="D94" i="13"/>
  <c r="D101" i="13"/>
  <c r="D104" i="13" s="1"/>
  <c r="D103" i="13"/>
  <c r="D114" i="13"/>
  <c r="D115" i="13"/>
  <c r="D127" i="13"/>
  <c r="E122" i="13"/>
  <c r="E114" i="13"/>
  <c r="E116" i="13" s="1"/>
  <c r="E115" i="13"/>
  <c r="E94" i="13"/>
  <c r="E101" i="13"/>
  <c r="E104" i="13" s="1"/>
  <c r="E103" i="13"/>
  <c r="F122" i="13"/>
  <c r="F123" i="13" s="1"/>
  <c r="F114" i="13"/>
  <c r="F115" i="13"/>
  <c r="F94" i="13"/>
  <c r="F101" i="13"/>
  <c r="F104" i="13" s="1"/>
  <c r="F103" i="13"/>
  <c r="G122" i="13"/>
  <c r="G123" i="13" s="1"/>
  <c r="G110" i="13"/>
  <c r="G114" i="13"/>
  <c r="G116" i="13" s="1"/>
  <c r="G115" i="13"/>
  <c r="G94" i="13"/>
  <c r="G101" i="13"/>
  <c r="G104" i="13" s="1"/>
  <c r="G103" i="13"/>
  <c r="H122" i="13"/>
  <c r="H123" i="13" s="1"/>
  <c r="H110" i="13"/>
  <c r="H114" i="13"/>
  <c r="H116" i="13" s="1"/>
  <c r="H115" i="13"/>
  <c r="H94" i="13"/>
  <c r="H101" i="13"/>
  <c r="H103" i="13"/>
  <c r="C2" i="13"/>
  <c r="D68" i="13"/>
  <c r="E68" i="13"/>
  <c r="F68" i="13"/>
  <c r="G68" i="13"/>
  <c r="H68" i="13"/>
  <c r="D70" i="13"/>
  <c r="E70" i="13"/>
  <c r="F70" i="13"/>
  <c r="G70" i="13"/>
  <c r="I22" i="13"/>
  <c r="C2" i="14"/>
  <c r="D9" i="14"/>
  <c r="E9" i="14"/>
  <c r="F9" i="14"/>
  <c r="G9" i="14"/>
  <c r="H9" i="14"/>
  <c r="D11" i="14"/>
  <c r="E11" i="14"/>
  <c r="F11" i="14"/>
  <c r="G11" i="14"/>
  <c r="C16" i="14"/>
  <c r="C17" i="14"/>
  <c r="C18" i="14"/>
  <c r="C19" i="14"/>
  <c r="D19" i="14"/>
  <c r="E19" i="14"/>
  <c r="C20" i="14"/>
  <c r="D20" i="14"/>
  <c r="E20" i="14"/>
  <c r="F20" i="14"/>
  <c r="G20" i="14"/>
  <c r="H20" i="14"/>
  <c r="C21" i="14"/>
  <c r="C29" i="14"/>
  <c r="C30" i="14"/>
  <c r="C31" i="14"/>
  <c r="C32" i="14"/>
  <c r="C33" i="14"/>
  <c r="D34" i="14"/>
  <c r="E34" i="14"/>
  <c r="F34" i="14"/>
  <c r="G34" i="14"/>
  <c r="H34" i="14"/>
  <c r="F233" i="15"/>
  <c r="F232" i="15"/>
  <c r="F234" i="15"/>
  <c r="F235" i="15"/>
  <c r="H160" i="15"/>
  <c r="E236" i="15" s="1"/>
  <c r="G236" i="15" s="1"/>
  <c r="H236" i="15" s="1"/>
  <c r="F236" i="15"/>
  <c r="I159" i="15"/>
  <c r="I161" i="15" s="1"/>
  <c r="H164" i="15"/>
  <c r="H165" i="15" s="1"/>
  <c r="E193" i="15"/>
  <c r="F193" i="15"/>
  <c r="G193" i="15"/>
  <c r="D193" i="15"/>
  <c r="G164" i="15"/>
  <c r="G165" i="15" s="1"/>
  <c r="E164" i="15"/>
  <c r="E165" i="15" s="1"/>
  <c r="F164" i="15"/>
  <c r="F165" i="15" s="1"/>
  <c r="D164" i="15"/>
  <c r="D165" i="15" s="1"/>
  <c r="C2" i="15"/>
  <c r="D10" i="15"/>
  <c r="E10" i="15"/>
  <c r="F10" i="15"/>
  <c r="G10" i="15"/>
  <c r="H10" i="15"/>
  <c r="D12" i="15"/>
  <c r="E12" i="15"/>
  <c r="F12" i="15"/>
  <c r="G12" i="15"/>
  <c r="D23" i="15"/>
  <c r="E23" i="15" s="1"/>
  <c r="E18" i="15" s="1"/>
  <c r="H18" i="15"/>
  <c r="H19" i="15"/>
  <c r="D92" i="16"/>
  <c r="D96" i="16" s="1"/>
  <c r="D93" i="16"/>
  <c r="D95" i="16"/>
  <c r="D189" i="15"/>
  <c r="D190" i="15" s="1"/>
  <c r="D1" i="3"/>
  <c r="D157" i="15" s="1"/>
  <c r="G1" i="3"/>
  <c r="G157" i="15" s="1"/>
  <c r="F1" i="3"/>
  <c r="F157" i="15" s="1"/>
  <c r="E1" i="3"/>
  <c r="E157" i="15" s="1"/>
  <c r="D82" i="16"/>
  <c r="D35" i="16"/>
  <c r="D83" i="16"/>
  <c r="D45" i="16"/>
  <c r="D85" i="16" s="1"/>
  <c r="D105" i="16"/>
  <c r="D106" i="16"/>
  <c r="D63" i="16"/>
  <c r="D66" i="16" s="1"/>
  <c r="D44" i="16"/>
  <c r="D53" i="16"/>
  <c r="D59" i="16"/>
  <c r="D70" i="16"/>
  <c r="D77" i="16"/>
  <c r="D78" i="16"/>
  <c r="D79" i="16"/>
  <c r="D108" i="16"/>
  <c r="D109" i="16"/>
  <c r="C2" i="16"/>
  <c r="H1" i="3"/>
  <c r="D1" i="5"/>
  <c r="E1" i="5"/>
  <c r="F1" i="5"/>
  <c r="G1" i="5"/>
  <c r="H1" i="5"/>
  <c r="E25" i="5"/>
  <c r="F25" i="5"/>
  <c r="G25" i="5"/>
  <c r="H25" i="5"/>
  <c r="F3" i="6"/>
  <c r="F4" i="6"/>
  <c r="F5" i="6"/>
  <c r="F6" i="6"/>
  <c r="F7" i="6"/>
  <c r="J3" i="6"/>
  <c r="J4" i="6"/>
  <c r="J5" i="6"/>
  <c r="J6" i="6"/>
  <c r="J7" i="6"/>
  <c r="G3" i="6"/>
  <c r="G4" i="6"/>
  <c r="G5" i="6"/>
  <c r="G6" i="6"/>
  <c r="G7" i="6"/>
  <c r="H3" i="6"/>
  <c r="H4" i="6"/>
  <c r="H5" i="6"/>
  <c r="H6" i="6"/>
  <c r="H7" i="6"/>
  <c r="I3" i="6"/>
  <c r="I4" i="6"/>
  <c r="I5" i="6"/>
  <c r="I6" i="6"/>
  <c r="I7" i="6"/>
  <c r="F1" i="6"/>
  <c r="G1" i="6"/>
  <c r="H1" i="6"/>
  <c r="I1" i="6"/>
  <c r="J1" i="6"/>
  <c r="H10" i="6"/>
  <c r="I10" i="6"/>
  <c r="F11" i="6"/>
  <c r="G11" i="6"/>
  <c r="H11" i="6"/>
  <c r="I11" i="6"/>
  <c r="J11" i="6"/>
  <c r="F12" i="6"/>
  <c r="G12" i="6"/>
  <c r="H12" i="6"/>
  <c r="I12" i="6"/>
  <c r="J12" i="6"/>
  <c r="G15" i="6"/>
  <c r="F18" i="6"/>
  <c r="G18" i="6"/>
  <c r="H18" i="6"/>
  <c r="I18" i="6"/>
  <c r="J18" i="6"/>
  <c r="F19" i="6"/>
  <c r="G19" i="6"/>
  <c r="H19" i="6"/>
  <c r="I19" i="6"/>
  <c r="J19" i="6"/>
  <c r="F20" i="6"/>
  <c r="G20" i="6"/>
  <c r="H20" i="6"/>
  <c r="I20" i="6"/>
  <c r="J20" i="6"/>
  <c r="F23" i="6"/>
  <c r="G23" i="6"/>
  <c r="I23" i="6"/>
  <c r="F24" i="6"/>
  <c r="G24" i="6"/>
  <c r="H24" i="6"/>
  <c r="I24" i="6"/>
  <c r="J24" i="6"/>
  <c r="I12" i="9"/>
  <c r="H12" i="9"/>
  <c r="G12" i="9"/>
  <c r="F12" i="9"/>
  <c r="D2" i="7"/>
  <c r="F4" i="7"/>
  <c r="G4" i="7"/>
  <c r="H4" i="7"/>
  <c r="I4" i="7"/>
  <c r="J4" i="7"/>
  <c r="F6" i="7"/>
  <c r="G6" i="7"/>
  <c r="H6" i="7"/>
  <c r="I6" i="7"/>
  <c r="J6" i="7"/>
  <c r="F18" i="7"/>
  <c r="F19" i="7" s="1"/>
  <c r="G18" i="7"/>
  <c r="G19" i="7" s="1"/>
  <c r="H18" i="7"/>
  <c r="H19" i="7" s="1"/>
  <c r="I18" i="7"/>
  <c r="I19" i="7" s="1"/>
  <c r="J18" i="7"/>
  <c r="J19" i="7" s="1"/>
  <c r="F21" i="7"/>
  <c r="F22" i="7" s="1"/>
  <c r="G21" i="7"/>
  <c r="G22" i="7" s="1"/>
  <c r="H21" i="7"/>
  <c r="H22" i="7" s="1"/>
  <c r="I21" i="7"/>
  <c r="I22" i="7" s="1"/>
  <c r="J21" i="7"/>
  <c r="J22" i="7" s="1"/>
  <c r="G46" i="7"/>
  <c r="G49" i="7"/>
  <c r="G23" i="7" s="1"/>
  <c r="H46" i="7"/>
  <c r="H49" i="7"/>
  <c r="H23" i="7" s="1"/>
  <c r="I46" i="7"/>
  <c r="J46" i="7"/>
  <c r="F24" i="7"/>
  <c r="G24" i="7"/>
  <c r="H24" i="7"/>
  <c r="I24" i="7"/>
  <c r="J24" i="7"/>
  <c r="G53" i="7"/>
  <c r="G54" i="7" s="1"/>
  <c r="H53" i="7"/>
  <c r="H54" i="7" s="1"/>
  <c r="H56" i="7" s="1"/>
  <c r="I53" i="7"/>
  <c r="I54" i="7" s="1"/>
  <c r="J53" i="7"/>
  <c r="J54" i="7" s="1"/>
  <c r="F27" i="7"/>
  <c r="G27" i="7"/>
  <c r="H27" i="7"/>
  <c r="I27" i="7"/>
  <c r="J27" i="7"/>
  <c r="G73" i="7"/>
  <c r="C2" i="8"/>
  <c r="E11" i="8"/>
  <c r="F11" i="8"/>
  <c r="G11" i="8"/>
  <c r="H11" i="8"/>
  <c r="I11" i="8"/>
  <c r="E13" i="8"/>
  <c r="F13" i="8"/>
  <c r="G13" i="8"/>
  <c r="H13" i="8"/>
  <c r="I13" i="8"/>
  <c r="F22" i="8"/>
  <c r="G22" i="8"/>
  <c r="E55" i="8"/>
  <c r="F55" i="8"/>
  <c r="G55" i="8"/>
  <c r="H55" i="8"/>
  <c r="H59" i="8" s="1"/>
  <c r="I55" i="8"/>
  <c r="C2" i="9"/>
  <c r="E8" i="9"/>
  <c r="F8" i="9"/>
  <c r="G8" i="9"/>
  <c r="H8" i="9"/>
  <c r="I8" i="9"/>
  <c r="E10" i="9"/>
  <c r="F10" i="9"/>
  <c r="G10" i="9"/>
  <c r="H10" i="9"/>
  <c r="I10" i="9"/>
  <c r="F14" i="9"/>
  <c r="G14" i="9"/>
  <c r="H14" i="9"/>
  <c r="I14" i="9"/>
  <c r="F18" i="9"/>
  <c r="G18" i="9"/>
  <c r="H18" i="9"/>
  <c r="I18" i="9"/>
  <c r="F19" i="9"/>
  <c r="G19" i="9"/>
  <c r="H19" i="9"/>
  <c r="I19" i="9"/>
  <c r="F23" i="9"/>
  <c r="G23" i="9"/>
  <c r="H23" i="9"/>
  <c r="I23" i="9"/>
  <c r="C30" i="9"/>
  <c r="F30" i="9"/>
  <c r="G30" i="9"/>
  <c r="H30" i="9"/>
  <c r="I30" i="9"/>
  <c r="C31" i="9"/>
  <c r="F31" i="9"/>
  <c r="G31" i="9"/>
  <c r="H31" i="9"/>
  <c r="I31" i="9"/>
  <c r="C32" i="9"/>
  <c r="F32" i="9"/>
  <c r="G32" i="9"/>
  <c r="H32" i="9"/>
  <c r="I32" i="9"/>
  <c r="C33" i="9"/>
  <c r="F33" i="9"/>
  <c r="G33" i="9"/>
  <c r="H33" i="9"/>
  <c r="I33" i="9"/>
  <c r="C34" i="9"/>
  <c r="C35" i="9"/>
  <c r="C37" i="9"/>
  <c r="C38" i="9"/>
  <c r="F38" i="9"/>
  <c r="G38" i="9"/>
  <c r="H38" i="9"/>
  <c r="I38" i="9"/>
  <c r="C39" i="9"/>
  <c r="F39" i="9"/>
  <c r="G39" i="9"/>
  <c r="H39" i="9"/>
  <c r="I39" i="9"/>
  <c r="C40" i="9"/>
  <c r="F40" i="9"/>
  <c r="G40" i="9"/>
  <c r="H40" i="9"/>
  <c r="I40" i="9"/>
  <c r="C45" i="9"/>
  <c r="H45" i="9"/>
  <c r="I45" i="9"/>
  <c r="C46" i="9"/>
  <c r="C47" i="9"/>
  <c r="F47" i="9"/>
  <c r="G47" i="9"/>
  <c r="H47" i="9"/>
  <c r="I47" i="9"/>
  <c r="C48" i="9"/>
  <c r="H48" i="9"/>
  <c r="C49" i="9"/>
  <c r="C51" i="9"/>
  <c r="F51" i="9"/>
  <c r="I51" i="9"/>
  <c r="C52" i="9"/>
  <c r="F52" i="9"/>
  <c r="I52" i="9"/>
  <c r="C53" i="9"/>
  <c r="C57" i="9"/>
  <c r="F57" i="9"/>
  <c r="G57" i="9"/>
  <c r="H57" i="9"/>
  <c r="I57" i="9"/>
  <c r="C58" i="9"/>
  <c r="F58" i="9"/>
  <c r="G58" i="9"/>
  <c r="H58" i="9"/>
  <c r="I58" i="9"/>
  <c r="C59" i="9"/>
  <c r="F59" i="9"/>
  <c r="G59" i="9"/>
  <c r="H59" i="9"/>
  <c r="I59" i="9"/>
  <c r="C60" i="9"/>
  <c r="I60" i="9"/>
  <c r="C61" i="9"/>
  <c r="F61" i="9"/>
  <c r="G61" i="9"/>
  <c r="H61" i="9"/>
  <c r="I61" i="9"/>
  <c r="C62" i="9"/>
  <c r="F62" i="9"/>
  <c r="G62" i="9"/>
  <c r="H62" i="9"/>
  <c r="I62" i="9"/>
  <c r="D156" i="13" l="1"/>
  <c r="F45" i="9"/>
  <c r="G45" i="9"/>
  <c r="F56" i="8"/>
  <c r="I30" i="7"/>
  <c r="I31" i="7" s="1"/>
  <c r="D98" i="16"/>
  <c r="D100" i="16" s="1"/>
  <c r="I188" i="15" s="1"/>
  <c r="I190" i="15" s="1"/>
  <c r="F60" i="9"/>
  <c r="G23" i="3"/>
  <c r="G189" i="15" s="1"/>
  <c r="G190" i="15" s="1"/>
  <c r="G64" i="9"/>
  <c r="D23" i="5"/>
  <c r="F21" i="9"/>
  <c r="J72" i="10"/>
  <c r="G21" i="9"/>
  <c r="I53" i="10"/>
  <c r="I213" i="10" s="1"/>
  <c r="E61" i="15"/>
  <c r="E103" i="15" s="1"/>
  <c r="G19" i="15"/>
  <c r="G16" i="13"/>
  <c r="D41" i="13" s="1"/>
  <c r="F41" i="13" s="1"/>
  <c r="G41" i="13" s="1"/>
  <c r="E16" i="13"/>
  <c r="D39" i="13" s="1"/>
  <c r="F39" i="13" s="1"/>
  <c r="G39" i="13" s="1"/>
  <c r="G72" i="10"/>
  <c r="I21" i="9"/>
  <c r="G59" i="10"/>
  <c r="G215" i="10" s="1"/>
  <c r="G66" i="10"/>
  <c r="G69" i="7"/>
  <c r="E19" i="15"/>
  <c r="E160" i="15"/>
  <c r="G67" i="10"/>
  <c r="G25" i="8"/>
  <c r="E59" i="15"/>
  <c r="E101" i="15" s="1"/>
  <c r="F36" i="12"/>
  <c r="H25" i="7"/>
  <c r="G157" i="13"/>
  <c r="F25" i="7"/>
  <c r="H60" i="9"/>
  <c r="E56" i="8"/>
  <c r="J49" i="7"/>
  <c r="I25" i="8" s="1"/>
  <c r="G57" i="10"/>
  <c r="G214" i="10" s="1"/>
  <c r="G73" i="10"/>
  <c r="J69" i="7"/>
  <c r="F25" i="8"/>
  <c r="E65" i="12"/>
  <c r="I69" i="7"/>
  <c r="D30" i="13"/>
  <c r="G69" i="10"/>
  <c r="I72" i="10"/>
  <c r="F63" i="12"/>
  <c r="H63" i="7"/>
  <c r="F160" i="15"/>
  <c r="E234" i="15" s="1"/>
  <c r="G234" i="15" s="1"/>
  <c r="H234" i="15" s="1"/>
  <c r="H72" i="10"/>
  <c r="E60" i="15"/>
  <c r="E102" i="15" s="1"/>
  <c r="F19" i="15"/>
  <c r="H69" i="7"/>
  <c r="D38" i="12"/>
  <c r="H57" i="10"/>
  <c r="H214" i="10" s="1"/>
  <c r="H21" i="9"/>
  <c r="I49" i="7"/>
  <c r="G57" i="12"/>
  <c r="E15" i="13"/>
  <c r="F57" i="12"/>
  <c r="H69" i="10"/>
  <c r="E119" i="15"/>
  <c r="E9" i="4"/>
  <c r="G60" i="9"/>
  <c r="G51" i="9"/>
  <c r="H15" i="3"/>
  <c r="J60" i="7" s="1"/>
  <c r="F53" i="9"/>
  <c r="H51" i="9"/>
  <c r="J15" i="6"/>
  <c r="H64" i="9"/>
  <c r="E22" i="8"/>
  <c r="J30" i="7"/>
  <c r="J31" i="7" s="1"/>
  <c r="D181" i="15"/>
  <c r="D182" i="15" s="1"/>
  <c r="F37" i="9"/>
  <c r="G48" i="9"/>
  <c r="G59" i="8"/>
  <c r="J73" i="7"/>
  <c r="D38" i="16"/>
  <c r="F20" i="3"/>
  <c r="H22" i="6" s="1"/>
  <c r="H25" i="6" s="1"/>
  <c r="E140" i="13"/>
  <c r="E142" i="13" s="1"/>
  <c r="D142" i="13"/>
  <c r="I184" i="15"/>
  <c r="I186" i="15" s="1"/>
  <c r="D102" i="16"/>
  <c r="J56" i="7"/>
  <c r="I31" i="8" s="1"/>
  <c r="I28" i="8"/>
  <c r="H139" i="12"/>
  <c r="H157" i="13"/>
  <c r="E15" i="3"/>
  <c r="G60" i="7" s="1"/>
  <c r="E181" i="15"/>
  <c r="E182" i="15" s="1"/>
  <c r="F41" i="9"/>
  <c r="H56" i="8"/>
  <c r="I37" i="9"/>
  <c r="G14" i="3"/>
  <c r="I56" i="8"/>
  <c r="I64" i="9"/>
  <c r="I59" i="8"/>
  <c r="E104" i="15"/>
  <c r="H119" i="15"/>
  <c r="E90" i="15"/>
  <c r="E76" i="15"/>
  <c r="E28" i="8"/>
  <c r="F56" i="7"/>
  <c r="D9" i="4"/>
  <c r="F67" i="10"/>
  <c r="D55" i="12"/>
  <c r="D133" i="12" s="1"/>
  <c r="F59" i="10"/>
  <c r="F215" i="10" s="1"/>
  <c r="E58" i="15"/>
  <c r="F69" i="7"/>
  <c r="F71" i="10"/>
  <c r="D19" i="15"/>
  <c r="D16" i="13"/>
  <c r="D160" i="15"/>
  <c r="F177" i="15"/>
  <c r="F178" i="15" s="1"/>
  <c r="E59" i="8"/>
  <c r="E25" i="8"/>
  <c r="G55" i="12"/>
  <c r="G135" i="12" s="1"/>
  <c r="E126" i="12"/>
  <c r="F126" i="12" s="1"/>
  <c r="G126" i="12" s="1"/>
  <c r="H126" i="12" s="1"/>
  <c r="J67" i="10"/>
  <c r="F73" i="10"/>
  <c r="F57" i="10"/>
  <c r="F214" i="10" s="1"/>
  <c r="J57" i="10"/>
  <c r="J214" i="10" s="1"/>
  <c r="G34" i="9"/>
  <c r="E177" i="15"/>
  <c r="E178" i="15" s="1"/>
  <c r="D110" i="13"/>
  <c r="E143" i="13"/>
  <c r="F143" i="13" s="1"/>
  <c r="G143" i="13" s="1"/>
  <c r="H143" i="13" s="1"/>
  <c r="D35" i="12"/>
  <c r="E57" i="12"/>
  <c r="F55" i="12"/>
  <c r="F135" i="12" s="1"/>
  <c r="H86" i="12"/>
  <c r="F86" i="12"/>
  <c r="H92" i="12"/>
  <c r="F37" i="12"/>
  <c r="J22" i="10"/>
  <c r="I59" i="10"/>
  <c r="I215" i="10" s="1"/>
  <c r="I67" i="10"/>
  <c r="H73" i="10"/>
  <c r="I13" i="11"/>
  <c r="H53" i="10"/>
  <c r="H213" i="10" s="1"/>
  <c r="F72" i="10"/>
  <c r="G35" i="9"/>
  <c r="G25" i="7"/>
  <c r="F46" i="9"/>
  <c r="H30" i="7"/>
  <c r="H31" i="7" s="1"/>
  <c r="D47" i="16"/>
  <c r="D84" i="16"/>
  <c r="D88" i="16" s="1"/>
  <c r="I180" i="15" s="1"/>
  <c r="I182" i="15" s="1"/>
  <c r="H161" i="15"/>
  <c r="G160" i="15"/>
  <c r="G63" i="12"/>
  <c r="D63" i="12"/>
  <c r="E55" i="12"/>
  <c r="E132" i="12" s="1"/>
  <c r="F123" i="12"/>
  <c r="G123" i="12" s="1"/>
  <c r="H123" i="12" s="1"/>
  <c r="F38" i="12"/>
  <c r="F43" i="10"/>
  <c r="J24" i="10"/>
  <c r="H59" i="10"/>
  <c r="H215" i="10" s="1"/>
  <c r="H9" i="4"/>
  <c r="H15" i="13"/>
  <c r="I15" i="13" s="1"/>
  <c r="J15" i="13" s="1"/>
  <c r="K15" i="13" s="1"/>
  <c r="L15" i="13" s="1"/>
  <c r="M15" i="13" s="1"/>
  <c r="I46" i="9"/>
  <c r="H46" i="9"/>
  <c r="H34" i="9"/>
  <c r="G28" i="8"/>
  <c r="G30" i="7"/>
  <c r="G31" i="7" s="1"/>
  <c r="H15" i="6"/>
  <c r="D18" i="15"/>
  <c r="D165" i="13"/>
  <c r="E165" i="13" s="1"/>
  <c r="F165" i="13" s="1"/>
  <c r="F168" i="13" s="1"/>
  <c r="G59" i="12"/>
  <c r="D65" i="12"/>
  <c r="H105" i="12"/>
  <c r="E105" i="12"/>
  <c r="D125" i="12"/>
  <c r="E125" i="12" s="1"/>
  <c r="F125" i="12" s="1"/>
  <c r="G125" i="12" s="1"/>
  <c r="H125" i="12" s="1"/>
  <c r="F39" i="12"/>
  <c r="G68" i="10"/>
  <c r="E88" i="11"/>
  <c r="E92" i="11" s="1"/>
  <c r="G65" i="12"/>
  <c r="D20" i="3"/>
  <c r="D24" i="3" s="1"/>
  <c r="F81" i="7" s="1"/>
  <c r="G20" i="3"/>
  <c r="H104" i="13"/>
  <c r="D157" i="13"/>
  <c r="F16" i="13"/>
  <c r="H65" i="12"/>
  <c r="F59" i="12"/>
  <c r="F98" i="12"/>
  <c r="D105" i="12"/>
  <c r="J17" i="10"/>
  <c r="G63" i="7"/>
  <c r="F6" i="5"/>
  <c r="G18" i="10"/>
  <c r="F14" i="3"/>
  <c r="H73" i="7"/>
  <c r="G37" i="9"/>
  <c r="G56" i="8"/>
  <c r="H37" i="9"/>
  <c r="H28" i="8"/>
  <c r="I56" i="7"/>
  <c r="H26" i="7"/>
  <c r="H28" i="7" s="1"/>
  <c r="G31" i="8"/>
  <c r="G56" i="7"/>
  <c r="F28" i="8"/>
  <c r="F34" i="9"/>
  <c r="F59" i="8"/>
  <c r="J73" i="10"/>
  <c r="J31" i="10"/>
  <c r="D92" i="12"/>
  <c r="D122" i="12"/>
  <c r="F23" i="15"/>
  <c r="I48" i="9"/>
  <c r="I236" i="15"/>
  <c r="D146" i="13"/>
  <c r="E156" i="13"/>
  <c r="I234" i="15"/>
  <c r="F68" i="10"/>
  <c r="D7" i="3"/>
  <c r="D15" i="3" s="1"/>
  <c r="F17" i="10" s="1"/>
  <c r="E189" i="15"/>
  <c r="E190" i="15" s="1"/>
  <c r="G119" i="15"/>
  <c r="F161" i="15"/>
  <c r="E89" i="15"/>
  <c r="E63" i="12"/>
  <c r="E74" i="15"/>
  <c r="E88" i="15"/>
  <c r="F65" i="12"/>
  <c r="D116" i="13"/>
  <c r="D31" i="13"/>
  <c r="F116" i="13"/>
  <c r="I57" i="10"/>
  <c r="D59" i="12"/>
  <c r="E59" i="12"/>
  <c r="F119" i="15"/>
  <c r="H20" i="3"/>
  <c r="E86" i="12"/>
  <c r="J35" i="10"/>
  <c r="J15" i="10"/>
  <c r="J14" i="10"/>
  <c r="J23" i="10"/>
  <c r="J13" i="10"/>
  <c r="G30" i="10"/>
  <c r="G7" i="3"/>
  <c r="G6" i="5" s="1"/>
  <c r="I68" i="10"/>
  <c r="H23" i="3"/>
  <c r="J34" i="10"/>
  <c r="E102" i="11"/>
  <c r="J68" i="10"/>
  <c r="J66" i="10"/>
  <c r="E17" i="11"/>
  <c r="J59" i="10"/>
  <c r="J215" i="10" s="1"/>
  <c r="J63" i="7"/>
  <c r="J71" i="10"/>
  <c r="J53" i="10"/>
  <c r="J213" i="10" s="1"/>
  <c r="G86" i="11"/>
  <c r="F88" i="11"/>
  <c r="F92" i="11" s="1"/>
  <c r="G71" i="10"/>
  <c r="E20" i="3"/>
  <c r="I73" i="10"/>
  <c r="I63" i="7"/>
  <c r="I71" i="10"/>
  <c r="G9" i="4"/>
  <c r="I66" i="10"/>
  <c r="G98" i="12"/>
  <c r="E92" i="12"/>
  <c r="J16" i="10"/>
  <c r="J30" i="10"/>
  <c r="G28" i="10"/>
  <c r="G14" i="10"/>
  <c r="H68" i="10"/>
  <c r="J18" i="10"/>
  <c r="E120" i="11"/>
  <c r="J69" i="10"/>
  <c r="D57" i="12"/>
  <c r="F15" i="13"/>
  <c r="F22" i="3"/>
  <c r="F23" i="3" s="1"/>
  <c r="F66" i="10"/>
  <c r="H67" i="10"/>
  <c r="F63" i="7"/>
  <c r="F35" i="12"/>
  <c r="H66" i="10"/>
  <c r="F9" i="4"/>
  <c r="F53" i="10"/>
  <c r="H71" i="10"/>
  <c r="J23" i="7" l="1"/>
  <c r="J25" i="7" s="1"/>
  <c r="H12" i="7"/>
  <c r="F194" i="15" s="1"/>
  <c r="F195" i="15" s="1"/>
  <c r="J21" i="10"/>
  <c r="D158" i="13"/>
  <c r="H10" i="7"/>
  <c r="G16" i="8" s="1"/>
  <c r="H16" i="6"/>
  <c r="E75" i="15"/>
  <c r="G58" i="15"/>
  <c r="D28" i="13"/>
  <c r="D117" i="12"/>
  <c r="I18" i="13"/>
  <c r="E233" i="15"/>
  <c r="G233" i="15" s="1"/>
  <c r="H233" i="15" s="1"/>
  <c r="I233" i="15" s="1"/>
  <c r="E161" i="15"/>
  <c r="F133" i="12"/>
  <c r="E73" i="15"/>
  <c r="E100" i="15"/>
  <c r="E87" i="15"/>
  <c r="H32" i="7"/>
  <c r="G165" i="13"/>
  <c r="H74" i="10"/>
  <c r="F78" i="12"/>
  <c r="H18" i="13"/>
  <c r="E42" i="13" s="1"/>
  <c r="F42" i="13" s="1"/>
  <c r="G42" i="13" s="1"/>
  <c r="E16" i="4"/>
  <c r="E168" i="15"/>
  <c r="E169" i="15" s="1"/>
  <c r="E29" i="4"/>
  <c r="G65" i="7"/>
  <c r="E61" i="12"/>
  <c r="E67" i="12" s="1"/>
  <c r="E73" i="12" s="1"/>
  <c r="G100" i="15" a="1"/>
  <c r="G100" i="15" s="1"/>
  <c r="G78" i="12"/>
  <c r="F61" i="12"/>
  <c r="F67" i="12" s="1"/>
  <c r="F73" i="12" s="1"/>
  <c r="F24" i="11"/>
  <c r="D135" i="12"/>
  <c r="E119" i="12"/>
  <c r="G118" i="12"/>
  <c r="G132" i="12"/>
  <c r="D119" i="12"/>
  <c r="D132" i="12"/>
  <c r="G61" i="12"/>
  <c r="G67" i="12" s="1"/>
  <c r="G73" i="12" s="1"/>
  <c r="I23" i="7"/>
  <c r="I25" i="7" s="1"/>
  <c r="H25" i="8"/>
  <c r="H55" i="10"/>
  <c r="G37" i="8"/>
  <c r="F202" i="15"/>
  <c r="F203" i="15" s="1"/>
  <c r="J26" i="10"/>
  <c r="E168" i="13"/>
  <c r="J26" i="7"/>
  <c r="J28" i="7" s="1"/>
  <c r="J32" i="7" s="1"/>
  <c r="H17" i="6"/>
  <c r="J28" i="10"/>
  <c r="J39" i="7"/>
  <c r="J20" i="10"/>
  <c r="J58" i="7"/>
  <c r="J36" i="7"/>
  <c r="F140" i="13"/>
  <c r="F185" i="15"/>
  <c r="F186" i="15" s="1"/>
  <c r="J29" i="10"/>
  <c r="G35" i="10"/>
  <c r="G13" i="10"/>
  <c r="G34" i="10"/>
  <c r="G16" i="10"/>
  <c r="G58" i="7"/>
  <c r="G39" i="7"/>
  <c r="G23" i="10"/>
  <c r="G24" i="10"/>
  <c r="G26" i="10" s="1"/>
  <c r="G15" i="10"/>
  <c r="G36" i="7"/>
  <c r="G21" i="10"/>
  <c r="G117" i="12"/>
  <c r="G133" i="12"/>
  <c r="G136" i="12" s="1"/>
  <c r="G119" i="12"/>
  <c r="G16" i="15"/>
  <c r="F26" i="7"/>
  <c r="F28" i="7" s="1"/>
  <c r="F32" i="7" s="1"/>
  <c r="E31" i="8"/>
  <c r="G20" i="10"/>
  <c r="D61" i="12"/>
  <c r="D67" i="12" s="1"/>
  <c r="D147" i="12" s="1"/>
  <c r="G29" i="10"/>
  <c r="E146" i="13"/>
  <c r="G19" i="8"/>
  <c r="D32" i="3"/>
  <c r="G181" i="15"/>
  <c r="G182" i="15" s="1"/>
  <c r="I41" i="9"/>
  <c r="E78" i="12"/>
  <c r="E133" i="12"/>
  <c r="F77" i="12"/>
  <c r="E118" i="12"/>
  <c r="E16" i="15"/>
  <c r="E86" i="15"/>
  <c r="F94" i="15" s="1"/>
  <c r="L117" i="15" s="1"/>
  <c r="E72" i="15"/>
  <c r="H58" i="15"/>
  <c r="F67" i="15" s="1"/>
  <c r="M115" i="15" s="1"/>
  <c r="E117" i="12"/>
  <c r="D29" i="13"/>
  <c r="D40" i="13"/>
  <c r="F40" i="13" s="1"/>
  <c r="G40" i="13" s="1"/>
  <c r="D16" i="15"/>
  <c r="D77" i="12"/>
  <c r="D118" i="12"/>
  <c r="J65" i="7"/>
  <c r="H29" i="4"/>
  <c r="H168" i="15"/>
  <c r="H169" i="15" s="1"/>
  <c r="H16" i="4"/>
  <c r="H24" i="11"/>
  <c r="E135" i="12"/>
  <c r="G31" i="10"/>
  <c r="G55" i="10"/>
  <c r="F37" i="8"/>
  <c r="E202" i="15"/>
  <c r="E203" i="15" s="1"/>
  <c r="G16" i="9"/>
  <c r="G7" i="5"/>
  <c r="H49" i="9"/>
  <c r="G185" i="15"/>
  <c r="G186" i="15" s="1"/>
  <c r="I10" i="7"/>
  <c r="H16" i="8" s="1"/>
  <c r="I22" i="6"/>
  <c r="I25" i="6" s="1"/>
  <c r="I16" i="6"/>
  <c r="I74" i="10"/>
  <c r="G24" i="3"/>
  <c r="G17" i="10"/>
  <c r="D168" i="13"/>
  <c r="H70" i="13"/>
  <c r="H11" i="14"/>
  <c r="H12" i="15"/>
  <c r="H51" i="12"/>
  <c r="E232" i="15"/>
  <c r="G232" i="15" s="1"/>
  <c r="D161" i="15"/>
  <c r="G24" i="11"/>
  <c r="G22" i="10"/>
  <c r="E77" i="12"/>
  <c r="D119" i="15"/>
  <c r="D210" i="15"/>
  <c r="D211" i="15" s="1"/>
  <c r="E49" i="8"/>
  <c r="F74" i="10"/>
  <c r="D185" i="15"/>
  <c r="D186" i="15" s="1"/>
  <c r="F10" i="7"/>
  <c r="E16" i="8" s="1"/>
  <c r="F16" i="6"/>
  <c r="F22" i="6"/>
  <c r="F25" i="6" s="1"/>
  <c r="E235" i="15"/>
  <c r="G235" i="15" s="1"/>
  <c r="H235" i="15" s="1"/>
  <c r="I235" i="15" s="1"/>
  <c r="G161" i="15"/>
  <c r="F118" i="12"/>
  <c r="F132" i="12"/>
  <c r="G77" i="12"/>
  <c r="F119" i="12"/>
  <c r="F117" i="12"/>
  <c r="F16" i="15"/>
  <c r="D38" i="13"/>
  <c r="F38" i="13" s="1"/>
  <c r="G38" i="13" s="1"/>
  <c r="G43" i="13" s="1"/>
  <c r="D27" i="13"/>
  <c r="D17" i="13"/>
  <c r="D16" i="4"/>
  <c r="D29" i="4"/>
  <c r="F65" i="7"/>
  <c r="D168" i="15"/>
  <c r="D169" i="15" s="1"/>
  <c r="F24" i="3"/>
  <c r="F189" i="15"/>
  <c r="F190" i="15" s="1"/>
  <c r="H53" i="9"/>
  <c r="G53" i="9"/>
  <c r="E97" i="11"/>
  <c r="E81" i="11"/>
  <c r="E99" i="11"/>
  <c r="E82" i="11"/>
  <c r="E42" i="11"/>
  <c r="E83" i="11"/>
  <c r="E96" i="11"/>
  <c r="F17" i="11"/>
  <c r="F41" i="11" s="1"/>
  <c r="E121" i="11"/>
  <c r="D15" i="15"/>
  <c r="D16" i="14"/>
  <c r="J32" i="10"/>
  <c r="J74" i="10"/>
  <c r="H7" i="5"/>
  <c r="D78" i="12"/>
  <c r="H185" i="15"/>
  <c r="H186" i="15" s="1"/>
  <c r="E122" i="11"/>
  <c r="J16" i="6"/>
  <c r="J17" i="6" s="1"/>
  <c r="J35" i="7" s="1"/>
  <c r="I49" i="9"/>
  <c r="J12" i="7"/>
  <c r="D39" i="16"/>
  <c r="J22" i="6"/>
  <c r="J25" i="6" s="1"/>
  <c r="J10" i="7"/>
  <c r="I16" i="8" s="1"/>
  <c r="F16" i="4"/>
  <c r="F29" i="4"/>
  <c r="H65" i="7"/>
  <c r="F168" i="15"/>
  <c r="F169" i="15" s="1"/>
  <c r="F142" i="13"/>
  <c r="F146" i="13" s="1"/>
  <c r="G140" i="13"/>
  <c r="F55" i="10"/>
  <c r="D202" i="15"/>
  <c r="D203" i="15" s="1"/>
  <c r="F16" i="9"/>
  <c r="E37" i="8"/>
  <c r="H6" i="5"/>
  <c r="I69" i="10"/>
  <c r="G15" i="3"/>
  <c r="I18" i="10" s="1"/>
  <c r="G177" i="15"/>
  <c r="G178" i="15" s="1"/>
  <c r="I12" i="7"/>
  <c r="I35" i="9"/>
  <c r="I73" i="7"/>
  <c r="I15" i="6"/>
  <c r="H35" i="9"/>
  <c r="I55" i="10"/>
  <c r="G202" i="15"/>
  <c r="G203" i="15" s="1"/>
  <c r="H37" i="8"/>
  <c r="H16" i="9"/>
  <c r="F14" i="10"/>
  <c r="F24" i="10"/>
  <c r="F35" i="10"/>
  <c r="F15" i="10"/>
  <c r="F34" i="10"/>
  <c r="F16" i="10"/>
  <c r="F22" i="10"/>
  <c r="F23" i="10"/>
  <c r="F28" i="10"/>
  <c r="F29" i="10"/>
  <c r="F13" i="10"/>
  <c r="F30" i="10"/>
  <c r="F31" i="10"/>
  <c r="F38" i="10"/>
  <c r="F48" i="10" s="1"/>
  <c r="F21" i="10"/>
  <c r="F20" i="10"/>
  <c r="F39" i="7"/>
  <c r="F79" i="7"/>
  <c r="F36" i="7"/>
  <c r="F58" i="7"/>
  <c r="F32" i="10"/>
  <c r="F43" i="9"/>
  <c r="D73" i="13"/>
  <c r="F31" i="8"/>
  <c r="G26" i="7"/>
  <c r="G28" i="7" s="1"/>
  <c r="G32" i="7" s="1"/>
  <c r="E158" i="13"/>
  <c r="F156" i="13"/>
  <c r="H31" i="8"/>
  <c r="I26" i="7"/>
  <c r="I28" i="7" s="1"/>
  <c r="E122" i="12"/>
  <c r="D124" i="12"/>
  <c r="D128" i="12" s="1"/>
  <c r="E41" i="11"/>
  <c r="G74" i="10"/>
  <c r="E7" i="5"/>
  <c r="G32" i="10"/>
  <c r="F7" i="5"/>
  <c r="E185" i="15"/>
  <c r="E186" i="15" s="1"/>
  <c r="G49" i="9"/>
  <c r="G12" i="7"/>
  <c r="G16" i="6"/>
  <c r="G17" i="6" s="1"/>
  <c r="G35" i="7" s="1"/>
  <c r="G10" i="7"/>
  <c r="F16" i="8" s="1"/>
  <c r="F49" i="9"/>
  <c r="G22" i="6"/>
  <c r="G25" i="6" s="1"/>
  <c r="J36" i="10"/>
  <c r="F15" i="3"/>
  <c r="H35" i="10" s="1"/>
  <c r="G41" i="9"/>
  <c r="H41" i="9"/>
  <c r="F181" i="15"/>
  <c r="F182" i="15" s="1"/>
  <c r="F213" i="10"/>
  <c r="E21" i="11"/>
  <c r="E20" i="11" s="1"/>
  <c r="G21" i="11"/>
  <c r="H21" i="11"/>
  <c r="F21" i="11"/>
  <c r="I21" i="11"/>
  <c r="D17" i="16"/>
  <c r="G16" i="4"/>
  <c r="G168" i="15"/>
  <c r="G169" i="15" s="1"/>
  <c r="I65" i="7"/>
  <c r="G29" i="4"/>
  <c r="F102" i="11"/>
  <c r="E104" i="11"/>
  <c r="D138" i="12"/>
  <c r="D140" i="12" s="1"/>
  <c r="I214" i="10"/>
  <c r="D18" i="16"/>
  <c r="H24" i="3"/>
  <c r="H189" i="15"/>
  <c r="H190" i="15" s="1"/>
  <c r="I53" i="9"/>
  <c r="F95" i="15"/>
  <c r="M117" i="15" s="1"/>
  <c r="E24" i="3"/>
  <c r="J18" i="13"/>
  <c r="G103" i="11"/>
  <c r="G52" i="9"/>
  <c r="H52" i="9"/>
  <c r="F18" i="15"/>
  <c r="G23" i="15"/>
  <c r="G18" i="15" s="1"/>
  <c r="H35" i="12"/>
  <c r="I35" i="12"/>
  <c r="G46" i="12"/>
  <c r="H86" i="11"/>
  <c r="G88" i="11"/>
  <c r="G92" i="11" s="1"/>
  <c r="D136" i="12"/>
  <c r="I24" i="11"/>
  <c r="E24" i="11"/>
  <c r="E23" i="11" s="1"/>
  <c r="D18" i="14" s="1"/>
  <c r="J55" i="10"/>
  <c r="H202" i="15"/>
  <c r="H203" i="15" s="1"/>
  <c r="I37" i="8"/>
  <c r="I16" i="9"/>
  <c r="G86" i="15"/>
  <c r="F18" i="10"/>
  <c r="F26" i="10" s="1"/>
  <c r="E6" i="5"/>
  <c r="F69" i="10"/>
  <c r="D177" i="15"/>
  <c r="D178" i="15" s="1"/>
  <c r="F12" i="7"/>
  <c r="F35" i="9"/>
  <c r="F60" i="7"/>
  <c r="F73" i="7"/>
  <c r="F15" i="6"/>
  <c r="F136" i="12" l="1"/>
  <c r="H72" i="15"/>
  <c r="H73" i="15" s="1"/>
  <c r="F86" i="15"/>
  <c r="D117" i="15" s="1"/>
  <c r="F91" i="15"/>
  <c r="I117" i="15" s="1"/>
  <c r="I32" i="7"/>
  <c r="F93" i="15"/>
  <c r="K117" i="15" s="1"/>
  <c r="H86" i="15"/>
  <c r="H87" i="15" s="1"/>
  <c r="G72" i="15"/>
  <c r="F73" i="15" s="1"/>
  <c r="E116" i="15" s="1"/>
  <c r="F59" i="15"/>
  <c r="E115" i="15" s="1"/>
  <c r="F88" i="15"/>
  <c r="F117" i="15" s="1"/>
  <c r="F87" i="15"/>
  <c r="E117" i="15" s="1"/>
  <c r="E136" i="12"/>
  <c r="I60" i="7"/>
  <c r="H165" i="13"/>
  <c r="H168" i="13" s="1"/>
  <c r="G168" i="13"/>
  <c r="I100" i="15"/>
  <c r="F101" i="15" s="1"/>
  <c r="E118" i="15" s="1"/>
  <c r="H100" i="15"/>
  <c r="E80" i="12"/>
  <c r="E107" i="12" s="1"/>
  <c r="F80" i="12"/>
  <c r="F107" i="12" s="1"/>
  <c r="F63" i="15"/>
  <c r="I115" i="15" s="1"/>
  <c r="F72" i="7"/>
  <c r="F74" i="7" s="1"/>
  <c r="G72" i="7"/>
  <c r="G74" i="7" s="1"/>
  <c r="D73" i="12"/>
  <c r="D80" i="12" s="1"/>
  <c r="D107" i="12" s="1"/>
  <c r="D110" i="12" s="1"/>
  <c r="E109" i="12" s="1"/>
  <c r="F66" i="15"/>
  <c r="L115" i="15" s="1"/>
  <c r="G80" i="12"/>
  <c r="G107" i="12" s="1"/>
  <c r="G2" i="6"/>
  <c r="G8" i="6" s="1"/>
  <c r="E20" i="4"/>
  <c r="G76" i="7"/>
  <c r="G61" i="10"/>
  <c r="H198" i="15"/>
  <c r="H199" i="15" s="1"/>
  <c r="I34" i="8"/>
  <c r="F65" i="15"/>
  <c r="K115" i="15" s="1"/>
  <c r="F61" i="15"/>
  <c r="G115" i="15" s="1"/>
  <c r="F58" i="15"/>
  <c r="D115" i="15" s="1"/>
  <c r="F90" i="15"/>
  <c r="H117" i="15" s="1"/>
  <c r="F89" i="15"/>
  <c r="G117" i="15" s="1"/>
  <c r="F92" i="15"/>
  <c r="J117" i="15" s="1"/>
  <c r="E198" i="15"/>
  <c r="E199" i="15" s="1"/>
  <c r="F34" i="8"/>
  <c r="F64" i="15"/>
  <c r="J115" i="15" s="1"/>
  <c r="D20" i="4"/>
  <c r="F2" i="6"/>
  <c r="F8" i="6" s="1"/>
  <c r="F61" i="10"/>
  <c r="F76" i="7"/>
  <c r="F62" i="15"/>
  <c r="H115" i="15" s="1"/>
  <c r="F60" i="15"/>
  <c r="F115" i="15" s="1"/>
  <c r="D142" i="12"/>
  <c r="E27" i="13"/>
  <c r="F27" i="13" s="1"/>
  <c r="G27" i="13" s="1"/>
  <c r="E17" i="13"/>
  <c r="I81" i="7"/>
  <c r="G32" i="3"/>
  <c r="J2" i="6"/>
  <c r="J8" i="6" s="1"/>
  <c r="J76" i="7"/>
  <c r="J61" i="10"/>
  <c r="H20" i="4"/>
  <c r="G36" i="10"/>
  <c r="F17" i="6"/>
  <c r="F35" i="7" s="1"/>
  <c r="I17" i="6"/>
  <c r="I35" i="7" s="1"/>
  <c r="H232" i="15"/>
  <c r="I232" i="15" s="1"/>
  <c r="G237" i="15"/>
  <c r="H237" i="15" s="1"/>
  <c r="F36" i="10"/>
  <c r="H63" i="12"/>
  <c r="H59" i="12"/>
  <c r="H57" i="12"/>
  <c r="H55" i="12"/>
  <c r="J72" i="7"/>
  <c r="J74" i="7" s="1"/>
  <c r="G42" i="10"/>
  <c r="G41" i="10"/>
  <c r="G43" i="10"/>
  <c r="G46" i="10"/>
  <c r="G40" i="10"/>
  <c r="G44" i="10"/>
  <c r="G45" i="10"/>
  <c r="D17" i="14"/>
  <c r="D21" i="14" s="1"/>
  <c r="E30" i="11"/>
  <c r="E32" i="3"/>
  <c r="G38" i="10"/>
  <c r="F55" i="9"/>
  <c r="G79" i="7"/>
  <c r="G81" i="7"/>
  <c r="G156" i="13"/>
  <c r="E73" i="13"/>
  <c r="E95" i="13" s="1"/>
  <c r="K18" i="13"/>
  <c r="F73" i="13" s="1"/>
  <c r="I72" i="7"/>
  <c r="I74" i="7" s="1"/>
  <c r="I31" i="10"/>
  <c r="I22" i="10"/>
  <c r="I30" i="10"/>
  <c r="I21" i="10"/>
  <c r="I29" i="10"/>
  <c r="I23" i="10"/>
  <c r="I32" i="10"/>
  <c r="I35" i="10"/>
  <c r="I17" i="10"/>
  <c r="I34" i="10"/>
  <c r="I16" i="10"/>
  <c r="I38" i="10"/>
  <c r="I15" i="10"/>
  <c r="I28" i="10"/>
  <c r="I14" i="10"/>
  <c r="I24" i="10"/>
  <c r="I26" i="10" s="1"/>
  <c r="I13" i="10"/>
  <c r="I58" i="7"/>
  <c r="I39" i="7"/>
  <c r="I79" i="7"/>
  <c r="I36" i="7"/>
  <c r="I43" i="9"/>
  <c r="H43" i="9"/>
  <c r="I20" i="10"/>
  <c r="F20" i="4"/>
  <c r="H61" i="10"/>
  <c r="H76" i="7"/>
  <c r="H2" i="6"/>
  <c r="H8" i="6" s="1"/>
  <c r="H140" i="13"/>
  <c r="H142" i="13" s="1"/>
  <c r="H146" i="13" s="1"/>
  <c r="G142" i="13"/>
  <c r="G146" i="13" s="1"/>
  <c r="H38" i="10"/>
  <c r="H81" i="7"/>
  <c r="G55" i="9"/>
  <c r="H79" i="7"/>
  <c r="H55" i="9"/>
  <c r="F32" i="3"/>
  <c r="I86" i="11"/>
  <c r="I88" i="11" s="1"/>
  <c r="I92" i="11" s="1"/>
  <c r="H88" i="11"/>
  <c r="H92" i="11" s="1"/>
  <c r="G20" i="4"/>
  <c r="I61" i="10"/>
  <c r="I2" i="6"/>
  <c r="I8" i="6" s="1"/>
  <c r="I76" i="7"/>
  <c r="D151" i="13"/>
  <c r="D96" i="13"/>
  <c r="D75" i="13"/>
  <c r="D17" i="15"/>
  <c r="D77" i="13"/>
  <c r="D137" i="13"/>
  <c r="D135" i="13"/>
  <c r="D150" i="13"/>
  <c r="D136" i="13"/>
  <c r="D153" i="13"/>
  <c r="D95" i="13"/>
  <c r="F83" i="11"/>
  <c r="F99" i="11"/>
  <c r="F23" i="11"/>
  <c r="E18" i="14" s="1"/>
  <c r="F20" i="11"/>
  <c r="E17" i="14" s="1"/>
  <c r="F82" i="11"/>
  <c r="F97" i="11"/>
  <c r="F42" i="11"/>
  <c r="F81" i="11"/>
  <c r="G17" i="11"/>
  <c r="G41" i="11" s="1"/>
  <c r="F96" i="11"/>
  <c r="E15" i="15"/>
  <c r="E16" i="14"/>
  <c r="I163" i="15"/>
  <c r="I165" i="15" s="1"/>
  <c r="I201" i="15"/>
  <c r="I203" i="15" s="1"/>
  <c r="D19" i="16"/>
  <c r="F102" i="15"/>
  <c r="F118" i="15" s="1"/>
  <c r="F19" i="8"/>
  <c r="E194" i="15"/>
  <c r="E195" i="15" s="1"/>
  <c r="E100" i="11"/>
  <c r="E106" i="11" s="1"/>
  <c r="D194" i="15"/>
  <c r="D195" i="15" s="1"/>
  <c r="E19" i="8"/>
  <c r="F80" i="15"/>
  <c r="L116" i="15" s="1"/>
  <c r="E147" i="12"/>
  <c r="D150" i="12"/>
  <c r="H19" i="8"/>
  <c r="G194" i="15"/>
  <c r="G195" i="15" s="1"/>
  <c r="G35" i="12"/>
  <c r="G37" i="12"/>
  <c r="G44" i="12"/>
  <c r="G36" i="12"/>
  <c r="G43" i="12"/>
  <c r="G42" i="12"/>
  <c r="G41" i="12"/>
  <c r="G40" i="12"/>
  <c r="G38" i="12"/>
  <c r="G39" i="12"/>
  <c r="H32" i="3"/>
  <c r="J38" i="10"/>
  <c r="J81" i="7"/>
  <c r="I55" i="9"/>
  <c r="J79" i="7"/>
  <c r="G102" i="11"/>
  <c r="E138" i="12"/>
  <c r="E140" i="12" s="1"/>
  <c r="E142" i="12" s="1"/>
  <c r="F104" i="11"/>
  <c r="H72" i="7"/>
  <c r="H74" i="7" s="1"/>
  <c r="I19" i="8"/>
  <c r="H194" i="15"/>
  <c r="H195" i="15" s="1"/>
  <c r="E34" i="8"/>
  <c r="D198" i="15"/>
  <c r="D199" i="15" s="1"/>
  <c r="I95" i="15"/>
  <c r="J95" i="15" s="1"/>
  <c r="K95" i="15" s="1"/>
  <c r="I91" i="15"/>
  <c r="J91" i="15" s="1"/>
  <c r="K91" i="15" s="1"/>
  <c r="I87" i="15"/>
  <c r="J87" i="15" s="1"/>
  <c r="I94" i="15"/>
  <c r="J94" i="15" s="1"/>
  <c r="K94" i="15" s="1"/>
  <c r="I90" i="15"/>
  <c r="J90" i="15" s="1"/>
  <c r="I93" i="15"/>
  <c r="J93" i="15" s="1"/>
  <c r="I89" i="15"/>
  <c r="J89" i="15" s="1"/>
  <c r="I88" i="15"/>
  <c r="J88" i="15" s="1"/>
  <c r="I86" i="15"/>
  <c r="J86" i="15" s="1"/>
  <c r="K86" i="15" s="1"/>
  <c r="I92" i="15"/>
  <c r="J92" i="15" s="1"/>
  <c r="K92" i="15" s="1"/>
  <c r="F139" i="12"/>
  <c r="F157" i="13"/>
  <c r="F158" i="13" s="1"/>
  <c r="H13" i="10"/>
  <c r="H23" i="10"/>
  <c r="H14" i="10"/>
  <c r="H24" i="10"/>
  <c r="H15" i="10"/>
  <c r="H21" i="10"/>
  <c r="H22" i="10"/>
  <c r="H28" i="10"/>
  <c r="H29" i="10"/>
  <c r="H17" i="10"/>
  <c r="H31" i="10"/>
  <c r="H16" i="10"/>
  <c r="H30" i="10"/>
  <c r="H58" i="7"/>
  <c r="G43" i="9"/>
  <c r="H39" i="7"/>
  <c r="H36" i="7"/>
  <c r="H35" i="7"/>
  <c r="H20" i="10"/>
  <c r="H18" i="10"/>
  <c r="H60" i="7"/>
  <c r="H32" i="10"/>
  <c r="H34" i="10"/>
  <c r="H36" i="10" s="1"/>
  <c r="F122" i="12"/>
  <c r="E124" i="12"/>
  <c r="E128" i="12" s="1"/>
  <c r="G48" i="10" l="1"/>
  <c r="I36" i="10"/>
  <c r="E110" i="12"/>
  <c r="F79" i="15"/>
  <c r="K116" i="15" s="1"/>
  <c r="F106" i="15"/>
  <c r="J118" i="15" s="1"/>
  <c r="F75" i="15"/>
  <c r="G116" i="15" s="1"/>
  <c r="F103" i="15"/>
  <c r="G118" i="15" s="1"/>
  <c r="F74" i="15"/>
  <c r="F116" i="15" s="1"/>
  <c r="F100" i="15"/>
  <c r="D118" i="15" s="1"/>
  <c r="F81" i="15"/>
  <c r="M116" i="15" s="1"/>
  <c r="F105" i="15"/>
  <c r="I118" i="15" s="1"/>
  <c r="F104" i="15"/>
  <c r="H118" i="15" s="1"/>
  <c r="F78" i="15"/>
  <c r="J116" i="15" s="1"/>
  <c r="F76" i="15"/>
  <c r="H116" i="15" s="1"/>
  <c r="F77" i="15"/>
  <c r="I116" i="15" s="1"/>
  <c r="F109" i="15"/>
  <c r="M118" i="15" s="1"/>
  <c r="F108" i="15"/>
  <c r="L118" i="15" s="1"/>
  <c r="F107" i="15"/>
  <c r="K118" i="15" s="1"/>
  <c r="F72" i="15"/>
  <c r="D116" i="15" s="1"/>
  <c r="K87" i="15"/>
  <c r="K88" i="15"/>
  <c r="D115" i="12"/>
  <c r="D120" i="12" s="1"/>
  <c r="D130" i="12" s="1"/>
  <c r="K89" i="15"/>
  <c r="K93" i="15"/>
  <c r="K90" i="15"/>
  <c r="L18" i="13"/>
  <c r="E214" i="15"/>
  <c r="E215" i="15" s="1"/>
  <c r="F46" i="8"/>
  <c r="F66" i="9"/>
  <c r="G67" i="7"/>
  <c r="E172" i="15"/>
  <c r="E173" i="15" s="1"/>
  <c r="E21" i="4"/>
  <c r="F43" i="8"/>
  <c r="G63" i="10"/>
  <c r="E22" i="4"/>
  <c r="E2" i="5"/>
  <c r="E8" i="5" s="1"/>
  <c r="E24" i="5" s="1"/>
  <c r="E26" i="5" s="1"/>
  <c r="E27" i="5" s="1"/>
  <c r="F67" i="9"/>
  <c r="H214" i="15"/>
  <c r="H215" i="15" s="1"/>
  <c r="I46" i="8"/>
  <c r="I66" i="9"/>
  <c r="D214" i="15"/>
  <c r="D215" i="15" s="1"/>
  <c r="E46" i="8"/>
  <c r="J42" i="10"/>
  <c r="J43" i="10"/>
  <c r="J45" i="10"/>
  <c r="J46" i="10"/>
  <c r="J48" i="10" s="1"/>
  <c r="J44" i="10"/>
  <c r="J41" i="10"/>
  <c r="J40" i="10"/>
  <c r="H49" i="8"/>
  <c r="G210" i="15"/>
  <c r="G211" i="15" s="1"/>
  <c r="E28" i="13"/>
  <c r="F28" i="13" s="1"/>
  <c r="G28" i="13" s="1"/>
  <c r="F17" i="13"/>
  <c r="D21" i="4"/>
  <c r="F63" i="10"/>
  <c r="D22" i="4"/>
  <c r="D172" i="15"/>
  <c r="D173" i="15" s="1"/>
  <c r="F67" i="7"/>
  <c r="D2" i="5"/>
  <c r="D8" i="5" s="1"/>
  <c r="F25" i="9"/>
  <c r="H26" i="10"/>
  <c r="D79" i="13"/>
  <c r="D85" i="13" s="1"/>
  <c r="D91" i="13" s="1"/>
  <c r="D98" i="13" s="1"/>
  <c r="D125" i="13" s="1"/>
  <c r="D128" i="13" s="1"/>
  <c r="D133" i="13" s="1"/>
  <c r="D138" i="13" s="1"/>
  <c r="D148" i="13" s="1"/>
  <c r="H239" i="15"/>
  <c r="I237" i="15"/>
  <c r="H240" i="15" s="1"/>
  <c r="H241" i="15" s="1"/>
  <c r="H242" i="15" s="1"/>
  <c r="H132" i="12"/>
  <c r="H119" i="12"/>
  <c r="H77" i="12"/>
  <c r="H16" i="15"/>
  <c r="H133" i="12"/>
  <c r="H135" i="12"/>
  <c r="H117" i="12"/>
  <c r="H78" i="12"/>
  <c r="H61" i="12"/>
  <c r="H67" i="12" s="1"/>
  <c r="H73" i="12" s="1"/>
  <c r="H118" i="12"/>
  <c r="H2" i="5"/>
  <c r="H8" i="5" s="1"/>
  <c r="H21" i="4"/>
  <c r="E123" i="11"/>
  <c r="E124" i="11"/>
  <c r="I43" i="8"/>
  <c r="J67" i="7"/>
  <c r="H22" i="4"/>
  <c r="J63" i="10"/>
  <c r="H172" i="15"/>
  <c r="H173" i="15" s="1"/>
  <c r="F30" i="11"/>
  <c r="F37" i="11" s="1"/>
  <c r="F44" i="11" s="1"/>
  <c r="F71" i="11" s="1"/>
  <c r="H102" i="11"/>
  <c r="G104" i="11"/>
  <c r="F138" i="12"/>
  <c r="F140" i="12" s="1"/>
  <c r="F142" i="12" s="1"/>
  <c r="F124" i="12"/>
  <c r="F128" i="12" s="1"/>
  <c r="G122" i="12"/>
  <c r="I49" i="8"/>
  <c r="H210" i="15"/>
  <c r="H211" i="15" s="1"/>
  <c r="E150" i="12"/>
  <c r="F147" i="12"/>
  <c r="D25" i="16"/>
  <c r="D28" i="16" s="1"/>
  <c r="I167" i="15"/>
  <c r="I169" i="15" s="1"/>
  <c r="I45" i="10"/>
  <c r="I44" i="10"/>
  <c r="I42" i="10"/>
  <c r="I41" i="10"/>
  <c r="I40" i="10"/>
  <c r="I46" i="10"/>
  <c r="I48" i="10" s="1"/>
  <c r="I43" i="10"/>
  <c r="H44" i="10"/>
  <c r="H45" i="10"/>
  <c r="H40" i="10"/>
  <c r="H41" i="10"/>
  <c r="H42" i="10"/>
  <c r="H43" i="10"/>
  <c r="H46" i="10"/>
  <c r="H48" i="10" s="1"/>
  <c r="G198" i="15"/>
  <c r="G199" i="15" s="1"/>
  <c r="H34" i="8"/>
  <c r="D152" i="12"/>
  <c r="F100" i="11"/>
  <c r="F106" i="11" s="1"/>
  <c r="D154" i="13"/>
  <c r="D160" i="13" s="1"/>
  <c r="G2" i="5"/>
  <c r="G8" i="5" s="1"/>
  <c r="I63" i="10"/>
  <c r="I67" i="7"/>
  <c r="G22" i="4"/>
  <c r="H25" i="9"/>
  <c r="G21" i="4"/>
  <c r="H43" i="8"/>
  <c r="G172" i="15"/>
  <c r="G173" i="15" s="1"/>
  <c r="I25" i="9"/>
  <c r="F198" i="15"/>
  <c r="F199" i="15" s="1"/>
  <c r="G34" i="8"/>
  <c r="F109" i="12"/>
  <c r="F110" i="12" s="1"/>
  <c r="E115" i="12"/>
  <c r="E120" i="12" s="1"/>
  <c r="E130" i="12" s="1"/>
  <c r="G20" i="11"/>
  <c r="F17" i="14" s="1"/>
  <c r="G82" i="11"/>
  <c r="G99" i="11"/>
  <c r="G83" i="11"/>
  <c r="G23" i="11"/>
  <c r="F18" i="14" s="1"/>
  <c r="G81" i="11"/>
  <c r="G97" i="11"/>
  <c r="G42" i="11"/>
  <c r="G96" i="11"/>
  <c r="H17" i="11"/>
  <c r="H41" i="11" s="1"/>
  <c r="F16" i="14"/>
  <c r="F15" i="15"/>
  <c r="E210" i="15"/>
  <c r="E211" i="15" s="1"/>
  <c r="F49" i="8"/>
  <c r="F210" i="15"/>
  <c r="F211" i="15" s="1"/>
  <c r="G49" i="8"/>
  <c r="F214" i="15"/>
  <c r="F215" i="15" s="1"/>
  <c r="G46" i="8"/>
  <c r="G66" i="9"/>
  <c r="F96" i="13"/>
  <c r="F151" i="13"/>
  <c r="F137" i="13"/>
  <c r="F135" i="13"/>
  <c r="F17" i="15"/>
  <c r="F150" i="13"/>
  <c r="F75" i="13"/>
  <c r="F136" i="13"/>
  <c r="F77" i="13"/>
  <c r="F153" i="13"/>
  <c r="E37" i="11"/>
  <c r="E44" i="11" s="1"/>
  <c r="E71" i="11" s="1"/>
  <c r="E74" i="11" s="1"/>
  <c r="E111" i="11"/>
  <c r="H46" i="8"/>
  <c r="H66" i="9"/>
  <c r="H67" i="9"/>
  <c r="G214" i="15"/>
  <c r="G215" i="15" s="1"/>
  <c r="E153" i="13"/>
  <c r="E135" i="13"/>
  <c r="E96" i="13"/>
  <c r="F95" i="13"/>
  <c r="E150" i="13"/>
  <c r="E75" i="13"/>
  <c r="E136" i="13"/>
  <c r="E77" i="13"/>
  <c r="E151" i="13"/>
  <c r="E137" i="13"/>
  <c r="E17" i="15"/>
  <c r="E21" i="14"/>
  <c r="H63" i="10"/>
  <c r="F2" i="5"/>
  <c r="F8" i="5" s="1"/>
  <c r="G67" i="9"/>
  <c r="F21" i="4"/>
  <c r="G43" i="8"/>
  <c r="F172" i="15"/>
  <c r="F173" i="15" s="1"/>
  <c r="H67" i="7"/>
  <c r="F22" i="4"/>
  <c r="G25" i="9"/>
  <c r="H156" i="13"/>
  <c r="H158" i="13" s="1"/>
  <c r="G158" i="13"/>
  <c r="G14" i="7" l="1"/>
  <c r="G9" i="6"/>
  <c r="G14" i="6" s="1"/>
  <c r="E152" i="12"/>
  <c r="I67" i="9"/>
  <c r="F79" i="13"/>
  <c r="F85" i="13" s="1"/>
  <c r="F91" i="13" s="1"/>
  <c r="F40" i="8"/>
  <c r="E206" i="15"/>
  <c r="E207" i="15" s="1"/>
  <c r="G90" i="7"/>
  <c r="G86" i="7"/>
  <c r="G88" i="7"/>
  <c r="G38" i="7"/>
  <c r="G37" i="7"/>
  <c r="G83" i="7"/>
  <c r="F52" i="8" s="1"/>
  <c r="E127" i="13"/>
  <c r="G73" i="13"/>
  <c r="M18" i="13"/>
  <c r="H73" i="13" s="1"/>
  <c r="E125" i="11"/>
  <c r="J37" i="7"/>
  <c r="J83" i="7"/>
  <c r="I52" i="8" s="1"/>
  <c r="J9" i="6"/>
  <c r="J14" i="6" s="1"/>
  <c r="H24" i="5"/>
  <c r="H26" i="5" s="1"/>
  <c r="H27" i="5" s="1"/>
  <c r="J14" i="7"/>
  <c r="E79" i="13"/>
  <c r="E85" i="13" s="1"/>
  <c r="E91" i="13" s="1"/>
  <c r="E98" i="13" s="1"/>
  <c r="E125" i="13" s="1"/>
  <c r="J90" i="7"/>
  <c r="J38" i="7"/>
  <c r="J88" i="7"/>
  <c r="J86" i="7"/>
  <c r="F83" i="7"/>
  <c r="E52" i="8" s="1"/>
  <c r="F37" i="7"/>
  <c r="E40" i="8"/>
  <c r="D206" i="15"/>
  <c r="D207" i="15" s="1"/>
  <c r="G30" i="11"/>
  <c r="G37" i="11" s="1"/>
  <c r="G44" i="11" s="1"/>
  <c r="G71" i="11" s="1"/>
  <c r="I40" i="8"/>
  <c r="H206" i="15"/>
  <c r="H207" i="15" s="1"/>
  <c r="F21" i="14"/>
  <c r="F27" i="9"/>
  <c r="H80" i="12"/>
  <c r="H107" i="12" s="1"/>
  <c r="H136" i="12"/>
  <c r="D24" i="5"/>
  <c r="D26" i="5" s="1"/>
  <c r="D27" i="5" s="1"/>
  <c r="F9" i="6"/>
  <c r="F14" i="6" s="1"/>
  <c r="F14" i="7"/>
  <c r="G17" i="13"/>
  <c r="E29" i="13"/>
  <c r="F29" i="13" s="1"/>
  <c r="G29" i="13" s="1"/>
  <c r="J232" i="15"/>
  <c r="J237" i="15"/>
  <c r="J233" i="15"/>
  <c r="J235" i="15"/>
  <c r="J234" i="15"/>
  <c r="J236" i="15"/>
  <c r="F90" i="7"/>
  <c r="F88" i="7"/>
  <c r="F86" i="7"/>
  <c r="F206" i="15"/>
  <c r="F207" i="15" s="1"/>
  <c r="G40" i="8"/>
  <c r="F154" i="13"/>
  <c r="F160" i="13" s="1"/>
  <c r="G124" i="12"/>
  <c r="G128" i="12" s="1"/>
  <c r="H122" i="12"/>
  <c r="H124" i="12" s="1"/>
  <c r="H128" i="12" s="1"/>
  <c r="I9" i="6"/>
  <c r="I14" i="6" s="1"/>
  <c r="I14" i="7"/>
  <c r="G24" i="5"/>
  <c r="G26" i="5" s="1"/>
  <c r="G27" i="5" s="1"/>
  <c r="E79" i="11"/>
  <c r="E84" i="11" s="1"/>
  <c r="E94" i="11" s="1"/>
  <c r="F73" i="11"/>
  <c r="F74" i="11" s="1"/>
  <c r="I171" i="15"/>
  <c r="D107" i="16"/>
  <c r="D34" i="16"/>
  <c r="D41" i="16" s="1"/>
  <c r="D68" i="16" s="1"/>
  <c r="D71" i="16" s="1"/>
  <c r="D75" i="16" s="1"/>
  <c r="D80" i="16" s="1"/>
  <c r="G109" i="12"/>
  <c r="G110" i="12" s="1"/>
  <c r="F115" i="12"/>
  <c r="F120" i="12" s="1"/>
  <c r="F130" i="12" s="1"/>
  <c r="G27" i="9"/>
  <c r="F98" i="13"/>
  <c r="F125" i="13" s="1"/>
  <c r="H83" i="11"/>
  <c r="H23" i="11"/>
  <c r="G18" i="14" s="1"/>
  <c r="H20" i="11"/>
  <c r="G17" i="14" s="1"/>
  <c r="H82" i="11"/>
  <c r="H99" i="11"/>
  <c r="I17" i="11"/>
  <c r="I41" i="11" s="1"/>
  <c r="H42" i="11"/>
  <c r="H81" i="11"/>
  <c r="H96" i="11"/>
  <c r="H97" i="11"/>
  <c r="G16" i="14"/>
  <c r="G15" i="15"/>
  <c r="F150" i="12"/>
  <c r="G147" i="12"/>
  <c r="I102" i="11"/>
  <c r="H104" i="11"/>
  <c r="G138" i="12"/>
  <c r="G140" i="12" s="1"/>
  <c r="G142" i="12" s="1"/>
  <c r="F111" i="11"/>
  <c r="E114" i="11"/>
  <c r="H27" i="9"/>
  <c r="I27" i="9"/>
  <c r="G100" i="11"/>
  <c r="G106" i="11" s="1"/>
  <c r="I83" i="7"/>
  <c r="H52" i="8" s="1"/>
  <c r="I37" i="7"/>
  <c r="G206" i="15"/>
  <c r="G207" i="15" s="1"/>
  <c r="H40" i="8"/>
  <c r="H9" i="6"/>
  <c r="H14" i="6" s="1"/>
  <c r="H14" i="7"/>
  <c r="F24" i="5"/>
  <c r="F26" i="5" s="1"/>
  <c r="F27" i="5" s="1"/>
  <c r="H37" i="7"/>
  <c r="H83" i="7"/>
  <c r="G52" i="8" s="1"/>
  <c r="H88" i="7"/>
  <c r="H86" i="7"/>
  <c r="H90" i="7"/>
  <c r="E154" i="13"/>
  <c r="E160" i="13" s="1"/>
  <c r="I86" i="7"/>
  <c r="I88" i="7"/>
  <c r="I90" i="7"/>
  <c r="D170" i="13"/>
  <c r="G40" i="7" l="1"/>
  <c r="F152" i="12"/>
  <c r="H77" i="13"/>
  <c r="H150" i="13"/>
  <c r="H151" i="13"/>
  <c r="H136" i="13"/>
  <c r="H135" i="13"/>
  <c r="H137" i="13"/>
  <c r="H153" i="13"/>
  <c r="H17" i="15"/>
  <c r="H75" i="13"/>
  <c r="H79" i="13" s="1"/>
  <c r="H85" i="13" s="1"/>
  <c r="H91" i="13" s="1"/>
  <c r="H96" i="13"/>
  <c r="E128" i="13"/>
  <c r="G96" i="13"/>
  <c r="G95" i="13"/>
  <c r="G136" i="13"/>
  <c r="H95" i="13"/>
  <c r="G151" i="13"/>
  <c r="G77" i="13"/>
  <c r="G137" i="13"/>
  <c r="G75" i="13"/>
  <c r="G79" i="13" s="1"/>
  <c r="G85" i="13" s="1"/>
  <c r="G91" i="13" s="1"/>
  <c r="G153" i="13"/>
  <c r="G135" i="13"/>
  <c r="G17" i="15"/>
  <c r="G150" i="13"/>
  <c r="J40" i="7"/>
  <c r="F38" i="7"/>
  <c r="F40" i="7" s="1"/>
  <c r="F69" i="9"/>
  <c r="H17" i="13"/>
  <c r="E31" i="13" s="1"/>
  <c r="F31" i="13" s="1"/>
  <c r="G31" i="13" s="1"/>
  <c r="E30" i="13"/>
  <c r="F30" i="13" s="1"/>
  <c r="G30" i="13" s="1"/>
  <c r="E116" i="11"/>
  <c r="E117" i="11" s="1"/>
  <c r="E118" i="11" s="1"/>
  <c r="F79" i="11"/>
  <c r="F84" i="11" s="1"/>
  <c r="F94" i="11" s="1"/>
  <c r="G73" i="11"/>
  <c r="G74" i="11" s="1"/>
  <c r="H100" i="11"/>
  <c r="H106" i="11" s="1"/>
  <c r="H30" i="11"/>
  <c r="H37" i="11" s="1"/>
  <c r="H44" i="11" s="1"/>
  <c r="H71" i="11" s="1"/>
  <c r="H109" i="12"/>
  <c r="H110" i="12" s="1"/>
  <c r="H115" i="12" s="1"/>
  <c r="H120" i="12" s="1"/>
  <c r="H130" i="12" s="1"/>
  <c r="G115" i="12"/>
  <c r="G120" i="12" s="1"/>
  <c r="G130" i="12" s="1"/>
  <c r="I104" i="11"/>
  <c r="H138" i="12"/>
  <c r="H140" i="12" s="1"/>
  <c r="H142" i="12" s="1"/>
  <c r="I176" i="15"/>
  <c r="D90" i="16"/>
  <c r="G69" i="9"/>
  <c r="H38" i="7"/>
  <c r="H40" i="7" s="1"/>
  <c r="H147" i="12"/>
  <c r="H150" i="12" s="1"/>
  <c r="G150" i="12"/>
  <c r="D110" i="16"/>
  <c r="D112" i="16" s="1"/>
  <c r="I209" i="15"/>
  <c r="I211" i="15" s="1"/>
  <c r="I23" i="11"/>
  <c r="H18" i="14" s="1"/>
  <c r="I83" i="11"/>
  <c r="I20" i="11"/>
  <c r="H17" i="14" s="1"/>
  <c r="I81" i="11"/>
  <c r="I42" i="11"/>
  <c r="I82" i="11"/>
  <c r="I96" i="11"/>
  <c r="I99" i="11"/>
  <c r="I97" i="11"/>
  <c r="H16" i="14"/>
  <c r="H15" i="15"/>
  <c r="I173" i="15"/>
  <c r="I213" i="15"/>
  <c r="I215" i="15" s="1"/>
  <c r="I205" i="15"/>
  <c r="I207" i="15" s="1"/>
  <c r="G111" i="11"/>
  <c r="F114" i="11"/>
  <c r="H69" i="9"/>
  <c r="I38" i="7"/>
  <c r="I40" i="7" s="1"/>
  <c r="I69" i="9"/>
  <c r="G21" i="14"/>
  <c r="F116" i="11" l="1"/>
  <c r="F117" i="11" s="1"/>
  <c r="F118" i="11" s="1"/>
  <c r="G154" i="13"/>
  <c r="G160" i="13" s="1"/>
  <c r="G32" i="13"/>
  <c r="H154" i="13"/>
  <c r="H160" i="13" s="1"/>
  <c r="H98" i="13"/>
  <c r="H125" i="13" s="1"/>
  <c r="G98" i="13"/>
  <c r="G125" i="13" s="1"/>
  <c r="E133" i="13"/>
  <c r="E138" i="13" s="1"/>
  <c r="E148" i="13" s="1"/>
  <c r="E170" i="13" s="1"/>
  <c r="F127" i="13"/>
  <c r="F128" i="13" s="1"/>
  <c r="G127" i="13" s="1"/>
  <c r="G128" i="13" s="1"/>
  <c r="H127" i="13" s="1"/>
  <c r="H152" i="12"/>
  <c r="G152" i="12"/>
  <c r="I178" i="15"/>
  <c r="I197" i="15"/>
  <c r="I199" i="15" s="1"/>
  <c r="I193" i="15"/>
  <c r="I195" i="15" s="1"/>
  <c r="I100" i="11"/>
  <c r="I106" i="11" s="1"/>
  <c r="H111" i="11"/>
  <c r="G114" i="11"/>
  <c r="H21" i="14"/>
  <c r="I30" i="11"/>
  <c r="I37" i="11" s="1"/>
  <c r="I44" i="11" s="1"/>
  <c r="I71" i="11" s="1"/>
  <c r="D114" i="16"/>
  <c r="G79" i="11"/>
  <c r="G84" i="11" s="1"/>
  <c r="G94" i="11" s="1"/>
  <c r="H73" i="11"/>
  <c r="H74" i="11" s="1"/>
  <c r="H128" i="13" l="1"/>
  <c r="H133" i="13" s="1"/>
  <c r="H138" i="13" s="1"/>
  <c r="H148" i="13" s="1"/>
  <c r="H170" i="13" s="1"/>
  <c r="G116" i="11"/>
  <c r="G117" i="11" s="1"/>
  <c r="G118" i="11" s="1"/>
  <c r="G133" i="13"/>
  <c r="G138" i="13" s="1"/>
  <c r="G148" i="13" s="1"/>
  <c r="G170" i="13" s="1"/>
  <c r="F133" i="13"/>
  <c r="F138" i="13" s="1"/>
  <c r="F148" i="13" s="1"/>
  <c r="F170" i="13" s="1"/>
  <c r="I73" i="11"/>
  <c r="I74" i="11" s="1"/>
  <c r="I79" i="11" s="1"/>
  <c r="I84" i="11" s="1"/>
  <c r="I94" i="11" s="1"/>
  <c r="H79" i="11"/>
  <c r="H84" i="11" s="1"/>
  <c r="H94" i="11" s="1"/>
  <c r="I111" i="11"/>
  <c r="I114" i="11" s="1"/>
  <c r="H114" i="11"/>
  <c r="I116" i="11" l="1"/>
  <c r="I117" i="11" s="1"/>
  <c r="I118" i="11" s="1"/>
  <c r="H116" i="11"/>
  <c r="H117" i="11" s="1"/>
  <c r="H118"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H. Evans</author>
    <author>Unknown User</author>
  </authors>
  <commentList>
    <comment ref="H3" authorId="0" shapeId="0" xr:uid="{00000000-0006-0000-0000-000001000000}">
      <text>
        <r>
          <rPr>
            <b/>
            <sz val="8"/>
            <color indexed="81"/>
            <rFont val="Tahoma"/>
            <family val="2"/>
          </rPr>
          <t>Home - Active Worksheet</t>
        </r>
      </text>
    </comment>
    <comment ref="I3" authorId="0" shapeId="0" xr:uid="{00000000-0006-0000-0000-000002000000}">
      <text>
        <r>
          <rPr>
            <b/>
            <sz val="8"/>
            <color indexed="81"/>
            <rFont val="Tahoma"/>
            <family val="2"/>
          </rPr>
          <t>General Input</t>
        </r>
      </text>
    </comment>
    <comment ref="H4" authorId="0" shapeId="0" xr:uid="{00000000-0006-0000-0000-000003000000}">
      <text>
        <r>
          <rPr>
            <b/>
            <sz val="8"/>
            <color indexed="81"/>
            <rFont val="Tahoma"/>
            <family val="2"/>
          </rPr>
          <t>Balance Sheet</t>
        </r>
      </text>
    </comment>
    <comment ref="I4" authorId="0" shapeId="0" xr:uid="{00000000-0006-0000-0000-000004000000}">
      <text>
        <r>
          <rPr>
            <b/>
            <sz val="8"/>
            <color indexed="81"/>
            <rFont val="Tahoma"/>
            <family val="2"/>
          </rPr>
          <t>Income Statement</t>
        </r>
      </text>
    </comment>
    <comment ref="H5" authorId="0" shapeId="0" xr:uid="{00000000-0006-0000-0000-000005000000}">
      <text>
        <r>
          <rPr>
            <b/>
            <sz val="8"/>
            <color indexed="81"/>
            <rFont val="Tahoma"/>
            <family val="2"/>
          </rPr>
          <t>Cash Flow Statement</t>
        </r>
      </text>
    </comment>
    <comment ref="I5" authorId="0" shapeId="0" xr:uid="{00000000-0006-0000-0000-000006000000}">
      <text>
        <r>
          <rPr>
            <b/>
            <sz val="8"/>
            <color indexed="81"/>
            <rFont val="Tahoma"/>
            <family val="2"/>
          </rPr>
          <t>Key Financials</t>
        </r>
      </text>
    </comment>
    <comment ref="H6" authorId="0" shapeId="0" xr:uid="{00000000-0006-0000-0000-000007000000}">
      <text>
        <r>
          <rPr>
            <b/>
            <sz val="8"/>
            <color indexed="81"/>
            <rFont val="Tahoma"/>
            <family val="2"/>
          </rPr>
          <t>Ratio Analysis</t>
        </r>
      </text>
    </comment>
    <comment ref="I6" authorId="0" shapeId="0" xr:uid="{00000000-0006-0000-0000-000008000000}">
      <text>
        <r>
          <rPr>
            <b/>
            <sz val="8"/>
            <color indexed="81"/>
            <rFont val="Tahoma"/>
            <family val="2"/>
          </rPr>
          <t>Benchmark Analysis</t>
        </r>
      </text>
    </comment>
    <comment ref="H7" authorId="0" shapeId="0" xr:uid="{00000000-0006-0000-0000-000009000000}">
      <text>
        <r>
          <rPr>
            <b/>
            <sz val="8"/>
            <color indexed="81"/>
            <rFont val="Tahoma"/>
            <family val="2"/>
          </rPr>
          <t>Horizontal Analysis</t>
        </r>
      </text>
    </comment>
    <comment ref="I7" authorId="0" shapeId="0" xr:uid="{00000000-0006-0000-0000-00000A000000}">
      <text>
        <r>
          <rPr>
            <b/>
            <sz val="8"/>
            <color indexed="81"/>
            <rFont val="Tahoma"/>
            <family val="2"/>
          </rPr>
          <t>Vertical Analysis</t>
        </r>
      </text>
    </comment>
    <comment ref="H8" authorId="0" shapeId="0" xr:uid="{00000000-0006-0000-0000-00000B000000}">
      <text>
        <r>
          <rPr>
            <b/>
            <sz val="8"/>
            <color indexed="81"/>
            <rFont val="Tahoma"/>
            <family val="2"/>
          </rPr>
          <t>Pro Forma Financials - Simple Projection Model</t>
        </r>
      </text>
    </comment>
    <comment ref="I8" authorId="0" shapeId="0" xr:uid="{00000000-0006-0000-0000-00000C000000}">
      <text>
        <r>
          <rPr>
            <b/>
            <sz val="8"/>
            <color indexed="81"/>
            <rFont val="Tahoma"/>
            <family val="2"/>
          </rPr>
          <t>Pro Forma Financials - Linear Trend Model</t>
        </r>
      </text>
    </comment>
    <comment ref="H9" authorId="0" shapeId="0" xr:uid="{00000000-0006-0000-0000-00000D000000}">
      <text>
        <r>
          <rPr>
            <b/>
            <sz val="8"/>
            <color indexed="81"/>
            <rFont val="Tahoma"/>
            <family val="2"/>
          </rPr>
          <t>Pro Forma Financials - Exponential Smoothing</t>
        </r>
      </text>
    </comment>
    <comment ref="I9" authorId="0" shapeId="0" xr:uid="{00000000-0006-0000-0000-00000E000000}">
      <text>
        <r>
          <rPr>
            <b/>
            <sz val="8"/>
            <color indexed="81"/>
            <rFont val="Tahoma"/>
            <family val="2"/>
          </rPr>
          <t>Scenario Analysis</t>
        </r>
      </text>
    </comment>
    <comment ref="H10" authorId="0" shapeId="0" xr:uid="{00000000-0006-0000-0000-00000F000000}">
      <text>
        <r>
          <rPr>
            <b/>
            <sz val="8"/>
            <color indexed="81"/>
            <rFont val="Tahoma"/>
            <family val="2"/>
          </rPr>
          <t>Budget Analysis</t>
        </r>
      </text>
    </comment>
    <comment ref="I10" authorId="0" shapeId="0" xr:uid="{00000000-0006-0000-0000-000010000000}">
      <text>
        <r>
          <rPr>
            <b/>
            <sz val="8"/>
            <color indexed="81"/>
            <rFont val="Tahoma"/>
            <family val="2"/>
          </rPr>
          <t>Final Budgets</t>
        </r>
      </text>
    </comment>
    <comment ref="G28" authorId="1" shapeId="0" xr:uid="{00000000-0006-0000-0000-000011000000}">
      <text>
        <r>
          <rPr>
            <sz val="8"/>
            <color indexed="81"/>
            <rFont val="Tahoma"/>
            <family val="2"/>
          </rPr>
          <t>Comment boxes are used to describe accounts, ratios, and other information used in this spreadsheet! Whenever you see a small red triangle, point your mouse over this cell for additional information.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 H. Evans</author>
  </authors>
  <commentList>
    <comment ref="H1" authorId="0" shapeId="0" xr:uid="{00000000-0006-0000-0100-000001000000}">
      <text>
        <r>
          <rPr>
            <b/>
            <sz val="8"/>
            <color indexed="81"/>
            <rFont val="Tahoma"/>
            <family val="2"/>
          </rPr>
          <t>Return to 1st Worksheet</t>
        </r>
      </text>
    </comment>
    <comment ref="I1" authorId="0" shapeId="0" xr:uid="{00000000-0006-0000-0100-000002000000}">
      <text>
        <r>
          <rPr>
            <b/>
            <sz val="8"/>
            <color indexed="81"/>
            <rFont val="Tahoma"/>
            <family val="2"/>
          </rPr>
          <t>General Input</t>
        </r>
      </text>
    </comment>
    <comment ref="H3" authorId="0" shapeId="0" xr:uid="{00000000-0006-0000-0100-000003000000}">
      <text>
        <r>
          <rPr>
            <b/>
            <sz val="8"/>
            <color indexed="81"/>
            <rFont val="Tahoma"/>
            <family val="2"/>
          </rPr>
          <t>Balance Sheet</t>
        </r>
      </text>
    </comment>
    <comment ref="I3" authorId="0" shapeId="0" xr:uid="{00000000-0006-0000-0100-000004000000}">
      <text>
        <r>
          <rPr>
            <b/>
            <sz val="8"/>
            <color indexed="81"/>
            <rFont val="Tahoma"/>
            <family val="2"/>
          </rPr>
          <t>Income Statement</t>
        </r>
      </text>
    </comment>
    <comment ref="H4" authorId="0" shapeId="0" xr:uid="{00000000-0006-0000-0100-000005000000}">
      <text>
        <r>
          <rPr>
            <b/>
            <sz val="8"/>
            <color indexed="81"/>
            <rFont val="Tahoma"/>
            <family val="2"/>
          </rPr>
          <t>Cash Flow Statement</t>
        </r>
      </text>
    </comment>
    <comment ref="I4" authorId="0" shapeId="0" xr:uid="{00000000-0006-0000-0100-000006000000}">
      <text>
        <r>
          <rPr>
            <b/>
            <sz val="8"/>
            <color indexed="81"/>
            <rFont val="Tahoma"/>
            <family val="2"/>
          </rPr>
          <t>Key Financials</t>
        </r>
      </text>
    </comment>
    <comment ref="H5" authorId="0" shapeId="0" xr:uid="{00000000-0006-0000-0100-000007000000}">
      <text>
        <r>
          <rPr>
            <b/>
            <sz val="8"/>
            <color indexed="81"/>
            <rFont val="Tahoma"/>
            <family val="2"/>
          </rPr>
          <t>Ratio Analysis</t>
        </r>
      </text>
    </comment>
    <comment ref="I5" authorId="0" shapeId="0" xr:uid="{00000000-0006-0000-0100-000008000000}">
      <text>
        <r>
          <rPr>
            <b/>
            <sz val="8"/>
            <color indexed="81"/>
            <rFont val="Tahoma"/>
            <family val="2"/>
          </rPr>
          <t>Benchmark Analysis</t>
        </r>
      </text>
    </comment>
    <comment ref="H6" authorId="0" shapeId="0" xr:uid="{00000000-0006-0000-0100-000009000000}">
      <text>
        <r>
          <rPr>
            <b/>
            <sz val="8"/>
            <color indexed="81"/>
            <rFont val="Tahoma"/>
            <family val="2"/>
          </rPr>
          <t>Horizontal Analysis</t>
        </r>
      </text>
    </comment>
    <comment ref="I6" authorId="0" shapeId="0" xr:uid="{00000000-0006-0000-0100-00000A000000}">
      <text>
        <r>
          <rPr>
            <b/>
            <sz val="8"/>
            <color indexed="81"/>
            <rFont val="Tahoma"/>
            <family val="2"/>
          </rPr>
          <t>Vertical Analysis</t>
        </r>
      </text>
    </comment>
    <comment ref="H7" authorId="0" shapeId="0" xr:uid="{00000000-0006-0000-0100-00000B000000}">
      <text>
        <r>
          <rPr>
            <b/>
            <sz val="8"/>
            <color indexed="81"/>
            <rFont val="Tahoma"/>
            <family val="2"/>
          </rPr>
          <t>Pro Forma Financials - Simple Projection Model</t>
        </r>
      </text>
    </comment>
    <comment ref="I7" authorId="0" shapeId="0" xr:uid="{00000000-0006-0000-0100-00000C000000}">
      <text>
        <r>
          <rPr>
            <b/>
            <sz val="8"/>
            <color indexed="81"/>
            <rFont val="Tahoma"/>
            <family val="2"/>
          </rPr>
          <t>Pro Forma Financials - Linear Trend Model</t>
        </r>
      </text>
    </comment>
    <comment ref="H8" authorId="0" shapeId="0" xr:uid="{00000000-0006-0000-0100-00000D000000}">
      <text>
        <r>
          <rPr>
            <b/>
            <sz val="8"/>
            <color indexed="81"/>
            <rFont val="Tahoma"/>
            <family val="2"/>
          </rPr>
          <t>Pro Forma Financials - Exponential Smoothing</t>
        </r>
      </text>
    </comment>
    <comment ref="I8" authorId="0" shapeId="0" xr:uid="{00000000-0006-0000-0100-00000E000000}">
      <text>
        <r>
          <rPr>
            <b/>
            <sz val="8"/>
            <color indexed="81"/>
            <rFont val="Tahoma"/>
            <family val="2"/>
          </rPr>
          <t>Scenario Analysis</t>
        </r>
      </text>
    </comment>
    <comment ref="H9" authorId="0" shapeId="0" xr:uid="{00000000-0006-0000-0100-00000F000000}">
      <text>
        <r>
          <rPr>
            <b/>
            <sz val="8"/>
            <color indexed="81"/>
            <rFont val="Tahoma"/>
            <family val="2"/>
          </rPr>
          <t>Budget Analysis</t>
        </r>
      </text>
    </comment>
    <comment ref="I9" authorId="0" shapeId="0" xr:uid="{00000000-0006-0000-0100-000010000000}">
      <text>
        <r>
          <rPr>
            <b/>
            <sz val="8"/>
            <color indexed="81"/>
            <rFont val="Tahoma"/>
            <family val="2"/>
          </rPr>
          <t>Final Budgets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Unknown User</author>
    <author>alarabia</author>
  </authors>
  <commentList>
    <comment ref="B2" authorId="0" shapeId="0" xr:uid="{00000000-0006-0000-0200-000001000000}">
      <text>
        <r>
          <rPr>
            <sz val="8"/>
            <color indexed="81"/>
            <rFont val="Tahoma"/>
            <family val="2"/>
          </rPr>
          <t xml:space="preserve">All cash on hand and any deposits that can be converted into cash. Restricted Cash should be Other Current Assets
</t>
        </r>
      </text>
    </comment>
    <comment ref="C2" authorId="1" shapeId="0" xr:uid="{00000000-0006-0000-0200-000002000000}">
      <text>
        <r>
          <rPr>
            <b/>
            <sz val="8"/>
            <color indexed="81"/>
            <rFont val="Tahoma"/>
            <family val="2"/>
          </rPr>
          <t xml:space="preserve">جميع النقدية التى </t>
        </r>
        <r>
          <rPr>
            <sz val="8"/>
            <color indexed="81"/>
            <rFont val="Tahoma"/>
            <family val="2"/>
          </rPr>
          <t xml:space="preserve">
باليد و أي ايداعات يمكن تحويلها نقدية,النقدية المقيدة يجب الحاقهاباصول اخرى</t>
        </r>
      </text>
    </comment>
    <comment ref="B3" authorId="0" shapeId="0" xr:uid="{00000000-0006-0000-0200-000003000000}">
      <text>
        <r>
          <rPr>
            <sz val="8"/>
            <color indexed="81"/>
            <rFont val="Tahoma"/>
            <family val="2"/>
          </rPr>
          <t xml:space="preserve">Can be held long-term, but is held for the purpose of earning a return on idle cash.
</t>
        </r>
      </text>
    </comment>
    <comment ref="C3" authorId="1" shapeId="0" xr:uid="{00000000-0006-0000-0200-000004000000}">
      <text>
        <r>
          <rPr>
            <b/>
            <sz val="8"/>
            <color indexed="81"/>
            <rFont val="Tahoma"/>
            <family val="2"/>
          </rPr>
          <t xml:space="preserve">يمكن آن يحافظ عليه لفترة طويله لكن يتم استخدامه بهدف تخفيف الايرادات .بنقديه مثليه </t>
        </r>
        <r>
          <rPr>
            <sz val="8"/>
            <color indexed="81"/>
            <rFont val="Tahoma"/>
            <family val="2"/>
          </rPr>
          <t xml:space="preserve">
</t>
        </r>
      </text>
    </comment>
    <comment ref="B4" authorId="0" shapeId="0" xr:uid="{00000000-0006-0000-0200-000005000000}">
      <text>
        <r>
          <rPr>
            <sz val="8"/>
            <color indexed="81"/>
            <rFont val="Tahoma"/>
            <family val="2"/>
          </rPr>
          <t>Receivables from sales of products on account. Notes Receivalbe should be reported in Other Current Assets for accurate ratio analysis.</t>
        </r>
      </text>
    </comment>
    <comment ref="C4" authorId="1" shapeId="0" xr:uid="{00000000-0006-0000-0200-000006000000}">
      <text>
        <r>
          <rPr>
            <b/>
            <sz val="8"/>
            <color indexed="81"/>
            <rFont val="Tahoma"/>
            <family val="2"/>
          </rPr>
          <t>المطلوبات من المبيعات  المنتج او السلع على الحساب ويجب آن  تكتب في اصول متداوله اخرى لتحقق دقه بالنسب الحاليه</t>
        </r>
        <r>
          <rPr>
            <sz val="8"/>
            <color indexed="81"/>
            <rFont val="Tahoma"/>
            <family val="2"/>
          </rPr>
          <t xml:space="preserve">
</t>
        </r>
      </text>
    </comment>
    <comment ref="B5" authorId="0" shapeId="0" xr:uid="{00000000-0006-0000-0200-000007000000}">
      <text>
        <r>
          <rPr>
            <sz val="8"/>
            <color indexed="81"/>
            <rFont val="Tahoma"/>
            <family val="2"/>
          </rPr>
          <t xml:space="preserve">Assets held for sale in ordinary business. All cost such as storage, handling, etc are part of inventory. There forms of inventory are Raw Materials, Work in Progress, and Finished Inventory. </t>
        </r>
      </text>
    </comment>
    <comment ref="C5" authorId="1" shapeId="0" xr:uid="{00000000-0006-0000-0200-000008000000}">
      <text>
        <r>
          <rPr>
            <b/>
            <sz val="8"/>
            <color indexed="81"/>
            <rFont val="Tahoma"/>
            <family val="2"/>
          </rPr>
          <t>هي الاصول التى يتم الاحتفاظ بها للبيع في الشركات العاديه . كل التكلفه مثل التخزين ,المناوله...الخ. 
هي جزء من المخزون .ااشكال المخزون هي المواد الخام . بضاعه تحت التشغيل و البضااعه الجاهزه</t>
        </r>
        <r>
          <rPr>
            <sz val="8"/>
            <color indexed="81"/>
            <rFont val="Tahoma"/>
            <family val="2"/>
          </rPr>
          <t xml:space="preserve">
</t>
        </r>
      </text>
    </comment>
    <comment ref="B6" authorId="0" shapeId="0" xr:uid="{00000000-0006-0000-0200-000009000000}">
      <text>
        <r>
          <rPr>
            <sz val="8"/>
            <color indexed="81"/>
            <rFont val="Tahoma"/>
            <family val="2"/>
          </rPr>
          <t xml:space="preserve">All other current assets not otherwise categorized, such as prepaid items.
</t>
        </r>
      </text>
    </comment>
    <comment ref="C6" authorId="1" shapeId="0" xr:uid="{00000000-0006-0000-0200-00000A000000}">
      <text>
        <r>
          <rPr>
            <b/>
            <sz val="8"/>
            <color indexed="81"/>
            <rFont val="Tahoma"/>
            <family val="2"/>
          </rPr>
          <t>كل الاصول المتداوله غير المذكور سابقا مثل المدفوعه مقدما</t>
        </r>
        <r>
          <rPr>
            <sz val="8"/>
            <color indexed="81"/>
            <rFont val="Tahoma"/>
            <family val="2"/>
          </rPr>
          <t xml:space="preserve">
</t>
        </r>
      </text>
    </comment>
    <comment ref="B8" authorId="0" shapeId="0" xr:uid="{00000000-0006-0000-0200-00000B000000}">
      <text>
        <r>
          <rPr>
            <sz val="8"/>
            <color indexed="81"/>
            <rFont val="Tahoma"/>
            <family val="2"/>
          </rPr>
          <t xml:space="preserve">Noncurrent tangible assets used in business operations, such as equipment, vehicles, machinery, land, etc.
</t>
        </r>
      </text>
    </comment>
    <comment ref="C8" authorId="1" shapeId="0" xr:uid="{00000000-0006-0000-0200-00000C000000}">
      <text>
        <r>
          <rPr>
            <b/>
            <sz val="8"/>
            <color indexed="81"/>
            <rFont val="Tahoma"/>
            <family val="2"/>
          </rPr>
          <t>هي الاصول غير المتداوله الملموسه المستخدمه في عمليات المنشاة مثل المعدات و المركبات ,الالات ,الاراضي. الخ......</t>
        </r>
        <r>
          <rPr>
            <sz val="8"/>
            <color indexed="81"/>
            <rFont val="Tahoma"/>
            <family val="2"/>
          </rPr>
          <t xml:space="preserve">
</t>
        </r>
      </text>
    </comment>
    <comment ref="B9" authorId="0" shapeId="0" xr:uid="{00000000-0006-0000-0200-00000D000000}">
      <text>
        <r>
          <rPr>
            <sz val="8"/>
            <color indexed="81"/>
            <rFont val="Tahoma"/>
            <family val="2"/>
          </rPr>
          <t>Cumulative depreciation taken on fixed assets.</t>
        </r>
      </text>
    </comment>
    <comment ref="C9" authorId="1" shapeId="0" xr:uid="{00000000-0006-0000-0200-00000E000000}">
      <text>
        <r>
          <rPr>
            <b/>
            <sz val="8"/>
            <color indexed="81"/>
            <rFont val="Tahoma"/>
            <family val="2"/>
          </rPr>
          <t>الاستهلاك المتراكم من الاصول الثابته</t>
        </r>
        <r>
          <rPr>
            <sz val="8"/>
            <color indexed="81"/>
            <rFont val="Tahoma"/>
            <family val="2"/>
          </rPr>
          <t xml:space="preserve">
</t>
        </r>
      </text>
    </comment>
    <comment ref="B11" authorId="0" shapeId="0" xr:uid="{00000000-0006-0000-0200-00000F000000}">
      <text>
        <r>
          <rPr>
            <sz val="8"/>
            <color indexed="81"/>
            <rFont val="Tahoma"/>
            <family val="2"/>
          </rPr>
          <t>All longterm investments at cost.</t>
        </r>
      </text>
    </comment>
    <comment ref="C11" authorId="1" shapeId="0" xr:uid="{00000000-0006-0000-0200-000010000000}">
      <text>
        <r>
          <rPr>
            <b/>
            <sz val="8"/>
            <color indexed="81"/>
            <rFont val="Tahoma"/>
            <family val="2"/>
          </rPr>
          <t>جميع الاستثمارات طويله الاجل حسب التكلفه</t>
        </r>
        <r>
          <rPr>
            <sz val="8"/>
            <color indexed="81"/>
            <rFont val="Tahoma"/>
            <family val="2"/>
          </rPr>
          <t xml:space="preserve">
</t>
        </r>
      </text>
    </comment>
    <comment ref="B12" authorId="0" shapeId="0" xr:uid="{00000000-0006-0000-0200-000011000000}">
      <text>
        <r>
          <rPr>
            <sz val="8"/>
            <color indexed="81"/>
            <rFont val="Tahoma"/>
            <family val="2"/>
          </rPr>
          <t>Investments under the Equity Method in other companies</t>
        </r>
      </text>
    </comment>
    <comment ref="C12" authorId="1" shapeId="0" xr:uid="{00000000-0006-0000-0200-000012000000}">
      <text>
        <r>
          <rPr>
            <b/>
            <sz val="8"/>
            <color indexed="81"/>
            <rFont val="Tahoma"/>
            <family val="2"/>
          </rPr>
          <t>الاستثمارات بناءً على حقوق الملكية للشركه في شركات اخرى</t>
        </r>
        <r>
          <rPr>
            <sz val="8"/>
            <color indexed="81"/>
            <rFont val="Tahoma"/>
            <family val="2"/>
          </rPr>
          <t xml:space="preserve">
</t>
        </r>
      </text>
    </comment>
    <comment ref="B13" authorId="0" shapeId="0" xr:uid="{00000000-0006-0000-0200-000013000000}">
      <text>
        <r>
          <rPr>
            <sz val="8"/>
            <color indexed="81"/>
            <rFont val="Tahoma"/>
            <family val="2"/>
          </rPr>
          <t>All other non current assets, such as goodwill, trademarks, etc.</t>
        </r>
      </text>
    </comment>
    <comment ref="C13" authorId="1" shapeId="0" xr:uid="{00000000-0006-0000-0200-000014000000}">
      <text>
        <r>
          <rPr>
            <b/>
            <sz val="8"/>
            <color indexed="81"/>
            <rFont val="Tahoma"/>
            <family val="2"/>
          </rPr>
          <t>جميع الاصول الغير متداوله مثل الشهرة و الماركة</t>
        </r>
        <r>
          <rPr>
            <sz val="8"/>
            <color indexed="81"/>
            <rFont val="Tahoma"/>
            <family val="2"/>
          </rPr>
          <t xml:space="preserve">
</t>
        </r>
      </text>
    </comment>
    <comment ref="B16" authorId="0" shapeId="0" xr:uid="{00000000-0006-0000-0200-000015000000}">
      <text>
        <r>
          <rPr>
            <sz val="8"/>
            <color indexed="81"/>
            <rFont val="Tahoma"/>
            <family val="2"/>
          </rPr>
          <t>Payables related to normal trade transactions with suppliers, vendors, etc. Does not include notes payable.</t>
        </r>
      </text>
    </comment>
    <comment ref="C16" authorId="1" shapeId="0" xr:uid="{00000000-0006-0000-0200-000016000000}">
      <text>
        <r>
          <rPr>
            <b/>
            <sz val="8"/>
            <color indexed="81"/>
            <rFont val="Tahoma"/>
            <family val="2"/>
          </rPr>
          <t>المستحقات المرتبطه بالتجاره العاديه و العمليات الماليه مع المزودين و لا تشمل اوراق الدفع</t>
        </r>
        <r>
          <rPr>
            <sz val="8"/>
            <color indexed="81"/>
            <rFont val="Tahoma"/>
            <family val="2"/>
          </rPr>
          <t xml:space="preserve">
</t>
        </r>
      </text>
    </comment>
    <comment ref="B17" authorId="0" shapeId="0" xr:uid="{00000000-0006-0000-0200-000017000000}">
      <text>
        <r>
          <rPr>
            <sz val="8"/>
            <color indexed="81"/>
            <rFont val="Tahoma"/>
            <family val="2"/>
          </rPr>
          <t>Short term loans, notes payable, commercial paper, etc.</t>
        </r>
      </text>
    </comment>
    <comment ref="C17" authorId="1" shapeId="0" xr:uid="{00000000-0006-0000-0200-000018000000}">
      <text>
        <r>
          <rPr>
            <b/>
            <sz val="8"/>
            <color indexed="81"/>
            <rFont val="Tahoma"/>
            <family val="2"/>
          </rPr>
          <t>قروض قصيره الاجل .
اوراق دفع.
اوراق تجاريه. الخ.......</t>
        </r>
        <r>
          <rPr>
            <sz val="8"/>
            <color indexed="81"/>
            <rFont val="Tahoma"/>
            <family val="2"/>
          </rPr>
          <t xml:space="preserve">
</t>
        </r>
      </text>
    </comment>
    <comment ref="B18" authorId="0" shapeId="0" xr:uid="{00000000-0006-0000-0200-000019000000}">
      <text>
        <r>
          <rPr>
            <sz val="8"/>
            <color indexed="81"/>
            <rFont val="Tahoma"/>
            <family val="2"/>
          </rPr>
          <t>Portion of longterm debt that will come due in the current period.</t>
        </r>
      </text>
    </comment>
    <comment ref="C18" authorId="1" shapeId="0" xr:uid="{00000000-0006-0000-0200-00001A000000}">
      <text>
        <r>
          <rPr>
            <b/>
            <sz val="8"/>
            <color indexed="81"/>
            <rFont val="Tahoma"/>
            <family val="2"/>
          </rPr>
          <t>حصه التزام طويل الاجل و التي تستحق في الفتره الماليه</t>
        </r>
        <r>
          <rPr>
            <sz val="8"/>
            <color indexed="81"/>
            <rFont val="Tahoma"/>
            <family val="2"/>
          </rPr>
          <t xml:space="preserve">
</t>
        </r>
      </text>
    </comment>
    <comment ref="B19" authorId="0" shapeId="0" xr:uid="{00000000-0006-0000-0200-00001B000000}">
      <text>
        <r>
          <rPr>
            <sz val="8"/>
            <color indexed="81"/>
            <rFont val="Tahoma"/>
            <family val="2"/>
          </rPr>
          <t>All other current liabilities such as taxes payable, advances from customers, etc.</t>
        </r>
      </text>
    </comment>
    <comment ref="C19" authorId="1" shapeId="0" xr:uid="{00000000-0006-0000-0200-00001C000000}">
      <text>
        <r>
          <rPr>
            <b/>
            <sz val="8"/>
            <color indexed="81"/>
            <rFont val="Tahoma"/>
            <family val="2"/>
          </rPr>
          <t>جميع الالتزامات قصيره الاجل مثل الضرائب  المستحقه و مستحقات للزبائن</t>
        </r>
        <r>
          <rPr>
            <sz val="8"/>
            <color indexed="81"/>
            <rFont val="Tahoma"/>
            <family val="2"/>
          </rPr>
          <t xml:space="preserve">
</t>
        </r>
      </text>
    </comment>
    <comment ref="B21" authorId="0" shapeId="0" xr:uid="{00000000-0006-0000-0200-00001D000000}">
      <text>
        <r>
          <rPr>
            <sz val="8"/>
            <color indexed="81"/>
            <rFont val="Tahoma"/>
            <family val="2"/>
          </rPr>
          <t>Longterm bank loans, bonds, mortgages, capital lease obligations, etc.</t>
        </r>
      </text>
    </comment>
    <comment ref="C21" authorId="1" shapeId="0" xr:uid="{00000000-0006-0000-0200-00001E000000}">
      <text>
        <r>
          <rPr>
            <b/>
            <sz val="8"/>
            <color indexed="81"/>
            <rFont val="Tahoma"/>
            <family val="2"/>
          </rPr>
          <t>قروض من بنوك طويله الاجل,سندات, التزامات راسماليه. الخ........</t>
        </r>
        <r>
          <rPr>
            <sz val="8"/>
            <color indexed="81"/>
            <rFont val="Tahoma"/>
            <family val="2"/>
          </rPr>
          <t xml:space="preserve">
</t>
        </r>
      </text>
    </comment>
    <comment ref="B22" authorId="0" shapeId="0" xr:uid="{00000000-0006-0000-0200-00001F000000}">
      <text>
        <r>
          <rPr>
            <sz val="8"/>
            <color indexed="81"/>
            <rFont val="Tahoma"/>
            <family val="2"/>
          </rPr>
          <t>All other noncurrent liabilities, such as pensions, product warranties, and future obligations recognized.</t>
        </r>
      </text>
    </comment>
    <comment ref="B25" authorId="0" shapeId="0" xr:uid="{00000000-0006-0000-0200-000020000000}">
      <text>
        <r>
          <rPr>
            <sz val="8"/>
            <color indexed="81"/>
            <rFont val="Tahoma"/>
            <family val="2"/>
          </rPr>
          <t>Total Equity from issuing preferred stock.</t>
        </r>
      </text>
    </comment>
    <comment ref="C25" authorId="1" shapeId="0" xr:uid="{00000000-0006-0000-0200-000021000000}">
      <text>
        <r>
          <rPr>
            <b/>
            <sz val="8"/>
            <color indexed="81"/>
            <rFont val="Tahoma"/>
            <family val="2"/>
          </rPr>
          <t>مجموع حقوق الملكيه من اصدار اسهم ممتازه</t>
        </r>
        <r>
          <rPr>
            <sz val="8"/>
            <color indexed="81"/>
            <rFont val="Tahoma"/>
            <family val="2"/>
          </rPr>
          <t xml:space="preserve">
</t>
        </r>
      </text>
    </comment>
    <comment ref="B26" authorId="0" shapeId="0" xr:uid="{00000000-0006-0000-0200-000022000000}">
      <text>
        <r>
          <rPr>
            <sz val="8"/>
            <color indexed="81"/>
            <rFont val="Tahoma"/>
            <family val="2"/>
          </rPr>
          <t xml:space="preserve">Common stock equity at par value.
</t>
        </r>
      </text>
    </comment>
    <comment ref="C26" authorId="1" shapeId="0" xr:uid="{00000000-0006-0000-0200-000023000000}">
      <text>
        <r>
          <rPr>
            <b/>
            <sz val="8"/>
            <color indexed="81"/>
            <rFont val="Tahoma"/>
            <family val="2"/>
          </rPr>
          <t>حقوق الملكيه من الاسهم العاديه حسب قيمه الاسهم العاديه :</t>
        </r>
        <r>
          <rPr>
            <sz val="8"/>
            <color indexed="81"/>
            <rFont val="Tahoma"/>
            <family val="2"/>
          </rPr>
          <t xml:space="preserve">
</t>
        </r>
      </text>
    </comment>
    <comment ref="B27" authorId="0" shapeId="0" xr:uid="{00000000-0006-0000-0200-000024000000}">
      <text>
        <r>
          <rPr>
            <sz val="8"/>
            <color indexed="81"/>
            <rFont val="Tahoma"/>
            <family val="2"/>
          </rPr>
          <t>Common Equity above par value.</t>
        </r>
      </text>
    </comment>
    <comment ref="C27" authorId="1" shapeId="0" xr:uid="{00000000-0006-0000-0200-000025000000}">
      <text>
        <r>
          <rPr>
            <b/>
            <sz val="8"/>
            <color indexed="81"/>
            <rFont val="Tahoma"/>
            <family val="2"/>
          </rPr>
          <t>حقوق ملكيه عاديه فوق القيمه الاسميه(علاوه اصدار )</t>
        </r>
        <r>
          <rPr>
            <sz val="8"/>
            <color indexed="81"/>
            <rFont val="Tahoma"/>
            <family val="2"/>
          </rPr>
          <t xml:space="preserve">
</t>
        </r>
      </text>
    </comment>
    <comment ref="B28" authorId="0" shapeId="0" xr:uid="{00000000-0006-0000-0200-000026000000}">
      <text>
        <r>
          <rPr>
            <sz val="8"/>
            <color indexed="81"/>
            <rFont val="Tahoma"/>
            <family val="2"/>
          </rPr>
          <t>Transfer of earnings from various periods less dividends paid to shareholders.</t>
        </r>
      </text>
    </comment>
    <comment ref="C28" authorId="1" shapeId="0" xr:uid="{00000000-0006-0000-0200-000027000000}">
      <text>
        <r>
          <rPr>
            <b/>
            <sz val="8"/>
            <color indexed="81"/>
            <rFont val="Tahoma"/>
            <family val="2"/>
          </rPr>
          <t>ارباح محتجزه 
(نقل الارباح خلال الفترات المختلفه - التوزيعات التى يتم دفعها للمساهمين )</t>
        </r>
      </text>
    </comment>
    <comment ref="B29" authorId="0" shapeId="0" xr:uid="{00000000-0006-0000-0200-000028000000}">
      <text>
        <r>
          <rPr>
            <sz val="8"/>
            <color indexed="81"/>
            <rFont val="Tahoma"/>
            <family val="2"/>
          </rPr>
          <t xml:space="preserve">Foreign currency translations accounted for under the Current Rate Method are reported in the Balance Sheet. Foreign currency translations accounted for under the Temporal Method are reported in the Income Statement. </t>
        </r>
      </text>
    </comment>
    <comment ref="C29" authorId="1" shapeId="0" xr:uid="{00000000-0006-0000-0200-000029000000}">
      <text>
        <r>
          <rPr>
            <b/>
            <sz val="8"/>
            <color indexed="81"/>
            <rFont val="Tahoma"/>
            <family val="2"/>
          </rPr>
          <t>هي الاسهم  التى تم اعاده شرائها و الاحتفاظ بها (الخزينه حسب تكلفه الشراء يعبر عنها باشاره سالبه لحقوق الملكيه)</t>
        </r>
        <r>
          <rPr>
            <sz val="8"/>
            <color indexed="81"/>
            <rFont val="Tahoma"/>
            <family val="2"/>
          </rPr>
          <t xml:space="preserve">
</t>
        </r>
      </text>
    </comment>
    <comment ref="B30" authorId="0" shapeId="0" xr:uid="{00000000-0006-0000-0200-00002A000000}">
      <text>
        <r>
          <rPr>
            <sz val="8"/>
            <color indexed="81"/>
            <rFont val="Tahoma"/>
            <family val="2"/>
          </rPr>
          <t>Stock buybacks and held in treasury at purchase cost. Reported as a negative amount to equity.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Unknown User</author>
    <author>alarabia</author>
    <author>Matt H. Evans</author>
  </authors>
  <commentList>
    <comment ref="B2" authorId="0" shapeId="0" xr:uid="{00000000-0006-0000-0300-000001000000}">
      <text>
        <r>
          <rPr>
            <sz val="8"/>
            <color indexed="81"/>
            <rFont val="Tahoma"/>
            <family val="2"/>
          </rPr>
          <t xml:space="preserve">Net Sales includes all revenues from various operating activities. "Net" refers to the fact that Sales have been adjusted for returns, credits, and other adjustments. </t>
        </r>
      </text>
    </comment>
    <comment ref="C2" authorId="1" shapeId="0" xr:uid="{00000000-0006-0000-0300-000002000000}">
      <text>
        <r>
          <rPr>
            <b/>
            <sz val="8"/>
            <color indexed="81"/>
            <rFont val="Tahoma"/>
            <family val="2"/>
          </rPr>
          <t>صافي المبيعات تسجل الايرادات من مختلف الاعمال التشغيليه . تعود إلى حقيقه آن المبيعات تم تعديلها إلى العائد الدائن و أي تعديلات اخرى</t>
        </r>
        <r>
          <rPr>
            <sz val="8"/>
            <color indexed="81"/>
            <rFont val="Tahoma"/>
            <family val="2"/>
          </rPr>
          <t xml:space="preserve">
</t>
        </r>
      </text>
    </comment>
    <comment ref="B3" authorId="0" shapeId="0" xr:uid="{00000000-0006-0000-0300-000003000000}">
      <text>
        <r>
          <rPr>
            <sz val="8"/>
            <color indexed="81"/>
            <rFont val="Tahoma"/>
            <family val="2"/>
          </rPr>
          <t xml:space="preserve">All revenues not from the main operating activities of the company
</t>
        </r>
      </text>
    </comment>
    <comment ref="C3" authorId="1" shapeId="0" xr:uid="{00000000-0006-0000-0300-000004000000}">
      <text>
        <r>
          <rPr>
            <b/>
            <sz val="8"/>
            <color indexed="81"/>
            <rFont val="Tahoma"/>
            <family val="2"/>
          </rPr>
          <t xml:space="preserve">كل الايرادات غير الايرادات التشغيليه الرئيسيه مثل نشاطات اخرى للمؤسسه </t>
        </r>
        <r>
          <rPr>
            <sz val="8"/>
            <color indexed="81"/>
            <rFont val="Tahoma"/>
            <family val="2"/>
          </rPr>
          <t xml:space="preserve">
</t>
        </r>
      </text>
    </comment>
    <comment ref="B5" authorId="0" shapeId="0" xr:uid="{00000000-0006-0000-0300-000005000000}">
      <text>
        <r>
          <rPr>
            <sz val="8"/>
            <color indexed="81"/>
            <rFont val="Tahoma"/>
            <family val="2"/>
          </rPr>
          <t xml:space="preserve">The costs of products sold (labor, materials, overhead, etc.). The Cost of Goods Sold is calculated by looking at changes in the inventory accounts:
    Beginning Inventory                           $ 50,000
+ Purchases during the period                  25,000
    Total goods available for sale              100,000
-   Ending Inventory                                  40,000
    Cost of Goods Sold                                60,000
</t>
        </r>
      </text>
    </comment>
    <comment ref="C5" authorId="1" shapeId="0" xr:uid="{00000000-0006-0000-0300-000006000000}">
      <text>
        <r>
          <rPr>
            <b/>
            <sz val="8"/>
            <color indexed="81"/>
            <rFont val="Tahoma"/>
            <family val="2"/>
          </rPr>
          <t>هي تكلفه المنتج المباع ( عمل ,ماده ,تكاليف  غير مباشره اضافيه. الخ.......) 
يتسب تكلفه البضاعه المباعه بالنظر إلى التغيرات في حسابات المخزون)</t>
        </r>
        <r>
          <rPr>
            <sz val="8"/>
            <color indexed="81"/>
            <rFont val="Tahoma"/>
            <family val="2"/>
          </rPr>
          <t xml:space="preserve">
بضاعه اول المده      50000   
+ مشتريات خلال الفتره              25000
مجموع البضاعه  المعده للبيع             100000
- بضاعه اخر المده                         40000
تكلفه البضاعه  المباعه                     60000</t>
        </r>
      </text>
    </comment>
    <comment ref="B8" authorId="0" shapeId="0" xr:uid="{00000000-0006-0000-0300-000007000000}">
      <text>
        <r>
          <rPr>
            <sz val="8"/>
            <color indexed="81"/>
            <rFont val="Tahoma"/>
            <family val="2"/>
          </rPr>
          <t xml:space="preserve">All indirect costs, such as marketing, engineering, research, accounting, technology support, etc.
</t>
        </r>
      </text>
    </comment>
    <comment ref="C8" authorId="1" shapeId="0" xr:uid="{00000000-0006-0000-0300-000008000000}">
      <text>
        <r>
          <rPr>
            <b/>
            <sz val="8"/>
            <color indexed="81"/>
            <rFont val="Tahoma"/>
            <family val="2"/>
          </rPr>
          <t>جميع التكاليف غير المباشره مثل التسويق ( الهندسه ,البحث , المحاسبه ,الدعم التكنولوجي)</t>
        </r>
        <r>
          <rPr>
            <sz val="8"/>
            <color indexed="81"/>
            <rFont val="Tahoma"/>
            <family val="2"/>
          </rPr>
          <t xml:space="preserve">
</t>
        </r>
      </text>
    </comment>
    <comment ref="B10" authorId="0" shapeId="0" xr:uid="{00000000-0006-0000-0300-000009000000}">
      <text>
        <r>
          <rPr>
            <sz val="8"/>
            <color indexed="81"/>
            <rFont val="Tahoma"/>
            <family val="2"/>
          </rPr>
          <t xml:space="preserve">Cost of borrowing - short term and long term debt, factoring, etc.
</t>
        </r>
      </text>
    </comment>
    <comment ref="C10" authorId="1" shapeId="0" xr:uid="{00000000-0006-0000-0300-00000A000000}">
      <text>
        <r>
          <rPr>
            <b/>
            <sz val="8"/>
            <color indexed="81"/>
            <rFont val="Tahoma"/>
            <family val="2"/>
          </rPr>
          <t>تكلفه الاقتراض , قصير و طويل الاجل</t>
        </r>
        <r>
          <rPr>
            <sz val="8"/>
            <color indexed="81"/>
            <rFont val="Tahoma"/>
            <family val="2"/>
          </rPr>
          <t xml:space="preserve">
</t>
        </r>
      </text>
    </comment>
    <comment ref="B11" authorId="0" shapeId="0" xr:uid="{00000000-0006-0000-0300-00000B000000}">
      <text>
        <r>
          <rPr>
            <sz val="8"/>
            <color indexed="81"/>
            <rFont val="Tahoma"/>
            <family val="2"/>
          </rPr>
          <t>Loss or Gain from investments overseas, including translations not reported in the Balance Sheet.
If using the Current Rate Method, translation adjustments are reported in the equity section of the Balance Sheet.</t>
        </r>
      </text>
    </comment>
    <comment ref="C11" authorId="1" shapeId="0" xr:uid="{00000000-0006-0000-0300-00000C000000}">
      <text>
        <r>
          <rPr>
            <b/>
            <sz val="8"/>
            <color indexed="81"/>
            <rFont val="Tahoma"/>
            <family val="2"/>
          </rPr>
          <t>الخساره و الربح من  الاستثمارات الدوليه شامله تحويل العمله , الغير مفصح عنها في الميزانيه اذا تم استخدام طريقه المعدلات الماليه و تعديلات الترجمه  فانه سيتم الاقرار عن ذلك  في قسم حقوق الملكيه في الميزانيه</t>
        </r>
        <r>
          <rPr>
            <sz val="8"/>
            <color indexed="81"/>
            <rFont val="Tahoma"/>
            <family val="2"/>
          </rPr>
          <t xml:space="preserve">
</t>
        </r>
      </text>
    </comment>
    <comment ref="B12" authorId="0" shapeId="0" xr:uid="{00000000-0006-0000-0300-00000D000000}">
      <text>
        <r>
          <rPr>
            <sz val="8"/>
            <color indexed="81"/>
            <rFont val="Tahoma"/>
            <family val="2"/>
          </rPr>
          <t xml:space="preserve">Equity interest in other companies; I.e. the undistributed loss or income under the Equity Method.
</t>
        </r>
      </text>
    </comment>
    <comment ref="C12" authorId="1" shapeId="0" xr:uid="{00000000-0006-0000-0300-00000E000000}">
      <text>
        <r>
          <rPr>
            <b/>
            <sz val="8"/>
            <color indexed="81"/>
            <rFont val="Tahoma"/>
            <family val="2"/>
          </rPr>
          <t xml:space="preserve">فوائد حقوق الملكيه في شركات اخرى .مثال - عدم توزيع الخساره او اربح  حسب نظريه حقوق الملكيه </t>
        </r>
        <r>
          <rPr>
            <sz val="8"/>
            <color indexed="81"/>
            <rFont val="Tahoma"/>
            <family val="2"/>
          </rPr>
          <t xml:space="preserve">
</t>
        </r>
      </text>
    </comment>
    <comment ref="B13" authorId="0" shapeId="0" xr:uid="{00000000-0006-0000-0300-00000F000000}">
      <text>
        <r>
          <rPr>
            <sz val="8"/>
            <color indexed="81"/>
            <rFont val="Tahoma"/>
            <family val="2"/>
          </rPr>
          <t xml:space="preserve">Loss or Gains from sale of investments and assets.
</t>
        </r>
      </text>
    </comment>
    <comment ref="C13" authorId="1" shapeId="0" xr:uid="{00000000-0006-0000-0300-000010000000}">
      <text>
        <r>
          <rPr>
            <b/>
            <sz val="8"/>
            <color indexed="81"/>
            <rFont val="Tahoma"/>
            <family val="2"/>
          </rPr>
          <t xml:space="preserve"> الخساره او الربح من مبيعات الاستثمارات و الاصول</t>
        </r>
        <r>
          <rPr>
            <sz val="8"/>
            <color indexed="81"/>
            <rFont val="Tahoma"/>
            <family val="2"/>
          </rPr>
          <t xml:space="preserve">
</t>
        </r>
      </text>
    </comment>
    <comment ref="B14" authorId="0" shapeId="0" xr:uid="{00000000-0006-0000-0300-000011000000}">
      <text>
        <r>
          <rPr>
            <sz val="8"/>
            <color indexed="81"/>
            <rFont val="Tahoma"/>
            <family val="2"/>
          </rPr>
          <t xml:space="preserve">All federal, state, and local taxes imposed on taxable income. Taxable income may differ from Reported Income.
</t>
        </r>
      </text>
    </comment>
    <comment ref="C14" authorId="1" shapeId="0" xr:uid="{00000000-0006-0000-0300-000012000000}">
      <text>
        <r>
          <rPr>
            <b/>
            <sz val="8"/>
            <color indexed="81"/>
            <rFont val="Tahoma"/>
            <family val="2"/>
          </rPr>
          <t>كل الضرائب المفروضه سواء الفدراليه او المحليه على الدخل الخاضع للضريبه و قد يختلف هذا الدخل عن الدخل المعبر عنه في القائمه</t>
        </r>
        <r>
          <rPr>
            <sz val="8"/>
            <color indexed="81"/>
            <rFont val="Tahoma"/>
            <family val="2"/>
          </rPr>
          <t xml:space="preserve">
</t>
        </r>
      </text>
    </comment>
    <comment ref="B15" authorId="0" shapeId="0" xr:uid="{00000000-0006-0000-0300-000013000000}">
      <text>
        <r>
          <rPr>
            <sz val="8"/>
            <color indexed="81"/>
            <rFont val="Tahoma"/>
            <family val="2"/>
          </rPr>
          <t xml:space="preserve">Establishing a reserve for events unrelated to normal operations, such as a lawsuit or merger.
</t>
        </r>
      </text>
    </comment>
    <comment ref="C15" authorId="1" shapeId="0" xr:uid="{00000000-0006-0000-0300-000014000000}">
      <text>
        <r>
          <rPr>
            <b/>
            <sz val="8"/>
            <color indexed="81"/>
            <rFont val="Tahoma"/>
            <family val="2"/>
          </rPr>
          <t>تاسيس مخصصات لمقابله الاحداث المرتبطه بعمليات غير اعتياديه مثل  الصفقات و الاندماجات .</t>
        </r>
        <r>
          <rPr>
            <sz val="8"/>
            <color indexed="81"/>
            <rFont val="Tahoma"/>
            <family val="2"/>
          </rPr>
          <t xml:space="preserve">
</t>
        </r>
      </text>
    </comment>
    <comment ref="B17" authorId="0" shapeId="0" xr:uid="{00000000-0006-0000-0300-000015000000}">
      <text>
        <r>
          <rPr>
            <sz val="8"/>
            <color indexed="81"/>
            <rFont val="Tahoma"/>
            <family val="2"/>
          </rPr>
          <t xml:space="preserve">Unusual and infrequent events such as floods, fires, war, discontinued operations, changes in accounting, etc.
</t>
        </r>
      </text>
    </comment>
    <comment ref="C17" authorId="1" shapeId="0" xr:uid="{00000000-0006-0000-0300-000016000000}">
      <text>
        <r>
          <rPr>
            <b/>
            <sz val="8"/>
            <color indexed="81"/>
            <rFont val="Tahoma"/>
            <family val="2"/>
          </rPr>
          <t>احداث غير اعتياديه مثل الفيضانات , الحريق , الحروب, عمليات تشغيليه غير مستمره , تغيرات في الحسابات</t>
        </r>
        <r>
          <rPr>
            <sz val="8"/>
            <color indexed="81"/>
            <rFont val="Tahoma"/>
            <family val="2"/>
          </rPr>
          <t xml:space="preserve">
</t>
        </r>
      </text>
    </comment>
    <comment ref="B18" authorId="0" shapeId="0" xr:uid="{00000000-0006-0000-0300-000017000000}">
      <text>
        <r>
          <rPr>
            <sz val="8"/>
            <color indexed="81"/>
            <rFont val="Tahoma"/>
            <family val="2"/>
          </rPr>
          <t xml:space="preserve">Tax charges or credits related to extraordinary items are disclosed separately.
</t>
        </r>
      </text>
    </comment>
    <comment ref="B19" authorId="0" shapeId="0" xr:uid="{00000000-0006-0000-0300-000018000000}">
      <text>
        <r>
          <rPr>
            <sz val="8"/>
            <color indexed="81"/>
            <rFont val="Tahoma"/>
            <family val="2"/>
          </rPr>
          <t xml:space="preserve">If a company owns less than 100% in another company, report  the undistributed loss / earnings for minority interest held by the company.
</t>
        </r>
      </text>
    </comment>
    <comment ref="B21" authorId="0" shapeId="0" xr:uid="{00000000-0006-0000-0300-000019000000}">
      <text>
        <r>
          <rPr>
            <sz val="8"/>
            <color indexed="81"/>
            <rFont val="Tahoma"/>
            <family val="2"/>
          </rPr>
          <t xml:space="preserve">Net Income (ref 4-19) divided by weighted average common shares outstanding for the period.
</t>
        </r>
      </text>
    </comment>
    <comment ref="C21" authorId="1" shapeId="0" xr:uid="{00000000-0006-0000-0300-00001A000000}">
      <text>
        <r>
          <rPr>
            <b/>
            <sz val="8"/>
            <color indexed="81"/>
            <rFont val="Tahoma"/>
            <family val="2"/>
          </rPr>
          <t>صافي الدخل مقسوم على متوسط الاسهم العاديه المصدره للفتره</t>
        </r>
        <r>
          <rPr>
            <sz val="8"/>
            <color indexed="81"/>
            <rFont val="Tahoma"/>
            <family val="2"/>
          </rPr>
          <t xml:space="preserve">
</t>
        </r>
      </text>
    </comment>
    <comment ref="B23" authorId="0" shapeId="0" xr:uid="{00000000-0006-0000-0300-00001B000000}">
      <text>
        <r>
          <rPr>
            <sz val="8"/>
            <color indexed="81"/>
            <rFont val="Tahoma"/>
            <family val="2"/>
          </rPr>
          <t xml:space="preserve">All depreciation, amortization, and depletion expenses. </t>
        </r>
      </text>
    </comment>
    <comment ref="C23" authorId="1" shapeId="0" xr:uid="{00000000-0006-0000-0300-00001C000000}">
      <text>
        <r>
          <rPr>
            <b/>
            <sz val="8"/>
            <color indexed="81"/>
            <rFont val="Tahoma"/>
            <family val="2"/>
          </rPr>
          <t xml:space="preserve">تكاليف  البحث و التطوير و عاده  يتم احتسابها كمصروف عائد للشركه </t>
        </r>
        <r>
          <rPr>
            <sz val="8"/>
            <color indexed="81"/>
            <rFont val="Tahoma"/>
            <family val="2"/>
          </rPr>
          <t xml:space="preserve">
</t>
        </r>
      </text>
    </comment>
    <comment ref="B24" authorId="0" shapeId="0" xr:uid="{00000000-0006-0000-0300-00001D000000}">
      <text>
        <r>
          <rPr>
            <sz val="8"/>
            <color indexed="81"/>
            <rFont val="Tahoma"/>
            <family val="2"/>
          </rPr>
          <t>Costs of research and development; usually treated as a general expense of the business.</t>
        </r>
      </text>
    </comment>
    <comment ref="C24" authorId="1" shapeId="0" xr:uid="{00000000-0006-0000-0300-00001E000000}">
      <text>
        <r>
          <rPr>
            <b/>
            <sz val="8"/>
            <color indexed="81"/>
            <rFont val="Tahoma"/>
            <family val="2"/>
          </rPr>
          <t>هي تكلفه الفوائد الذى يمكن تحويلها او استهلاكها من خلال البضائع او الاصول الثابته:</t>
        </r>
        <r>
          <rPr>
            <sz val="8"/>
            <color indexed="81"/>
            <rFont val="Tahoma"/>
            <family val="2"/>
          </rPr>
          <t xml:space="preserve">
</t>
        </r>
      </text>
    </comment>
    <comment ref="B25" authorId="0" shapeId="0" xr:uid="{00000000-0006-0000-0300-00001F000000}">
      <text>
        <r>
          <rPr>
            <sz val="8"/>
            <color indexed="81"/>
            <rFont val="Tahoma"/>
            <family val="2"/>
          </rPr>
          <t xml:space="preserve">Interest costs that can be allocated or absorbed by inventories or fixed assets. </t>
        </r>
      </text>
    </comment>
    <comment ref="C25" authorId="1" shapeId="0" xr:uid="{00000000-0006-0000-0300-000020000000}">
      <text>
        <r>
          <rPr>
            <b/>
            <sz val="8"/>
            <color indexed="81"/>
            <rFont val="Tahoma"/>
            <family val="2"/>
          </rPr>
          <t>هي تكلفه الفوائد الذي يمكن تحويلها او استهلاكها من خلال البضائع او الاصول الثابته</t>
        </r>
        <r>
          <rPr>
            <sz val="8"/>
            <color indexed="81"/>
            <rFont val="Tahoma"/>
            <family val="2"/>
          </rPr>
          <t xml:space="preserve">
</t>
        </r>
      </text>
    </comment>
    <comment ref="B26" authorId="2" shapeId="0" xr:uid="{00000000-0006-0000-0300-000021000000}">
      <text>
        <r>
          <rPr>
            <sz val="8"/>
            <color indexed="81"/>
            <rFont val="Tahoma"/>
            <family val="2"/>
          </rPr>
          <t xml:space="preserve">Interest Income on Marketable Securities and other investments. If this item is material, you may want to break it out on the Income Statement. </t>
        </r>
      </text>
    </comment>
    <comment ref="B29" authorId="0" shapeId="0" xr:uid="{00000000-0006-0000-0300-000022000000}">
      <text>
        <r>
          <rPr>
            <sz val="8"/>
            <color indexed="81"/>
            <rFont val="Tahoma"/>
            <family val="2"/>
          </rPr>
          <t>An estimated calculation of the tax rate by dividing Income Tax Expense by Income Before Taxes. 
Note: We entered the formula so that only positive income would be taxed. If you have a Loss, then 0 is entered.</t>
        </r>
      </text>
    </comment>
    <comment ref="C29" authorId="1" shapeId="0" xr:uid="{00000000-0006-0000-0300-000023000000}">
      <text>
        <r>
          <rPr>
            <b/>
            <sz val="8"/>
            <color indexed="81"/>
            <rFont val="Tahoma"/>
            <family val="2"/>
          </rPr>
          <t>هو احتساب تقديري  لمعدل الضريبه من خلال قسمه مصروف ضريبه الدخل  على  الدخل قبل  الضرائب</t>
        </r>
        <r>
          <rPr>
            <sz val="8"/>
            <color indexed="81"/>
            <rFont val="Tahoma"/>
            <family val="2"/>
          </rPr>
          <t xml:space="preserve">
</t>
        </r>
        <r>
          <rPr>
            <b/>
            <i/>
            <u/>
            <sz val="8"/>
            <color indexed="81"/>
            <rFont val="Tahoma"/>
            <family val="2"/>
          </rPr>
          <t>ملاحظه</t>
        </r>
        <r>
          <rPr>
            <b/>
            <i/>
            <sz val="8"/>
            <color indexed="81"/>
            <rFont val="Tahoma"/>
            <family val="2"/>
          </rPr>
          <t xml:space="preserve"> </t>
        </r>
        <r>
          <rPr>
            <sz val="8"/>
            <color indexed="81"/>
            <rFont val="Tahoma"/>
            <family val="2"/>
          </rPr>
          <t xml:space="preserve">: ادخلنا المعادله من اجل آن يكون الدخل الموجب هو الوحيد الخاضع للضريبه  , اذا كان خساره فسيكتب </t>
        </r>
        <r>
          <rPr>
            <b/>
            <sz val="8"/>
            <color indexed="81"/>
            <rFont val="Tahoma"/>
            <family val="2"/>
          </rPr>
          <t>صفر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Unknown User</author>
    <author>alarabia</author>
  </authors>
  <commentList>
    <comment ref="B2" authorId="0" shapeId="0" xr:uid="{00000000-0006-0000-0400-000001000000}">
      <text>
        <r>
          <rPr>
            <sz val="8"/>
            <color indexed="81"/>
            <rFont val="Tahoma"/>
            <family val="2"/>
          </rPr>
          <t xml:space="preserve">Using the Indirect Approach, we start with Net Income and adjust back to Cash Flow from Operations. In some cases, we may need to start with a line item between Operating Income and Net Income. </t>
        </r>
      </text>
    </comment>
    <comment ref="C2" authorId="1" shapeId="0" xr:uid="{00000000-0006-0000-0400-000002000000}">
      <text>
        <r>
          <rPr>
            <b/>
            <sz val="8"/>
            <color indexed="81"/>
            <rFont val="Tahoma"/>
            <family val="2"/>
          </rPr>
          <t xml:space="preserve">استخدام الطريقه  الغير مباشره   نبداء في صافي الدخل و نعمل تسويه رصيد نحو  شكل التدفق النقدي  </t>
        </r>
        <r>
          <rPr>
            <sz val="8"/>
            <color indexed="81"/>
            <rFont val="Tahoma"/>
            <family val="2"/>
          </rPr>
          <t xml:space="preserve">
</t>
        </r>
      </text>
    </comment>
    <comment ref="B3" authorId="0" shapeId="0" xr:uid="{00000000-0006-0000-0400-000003000000}">
      <text>
        <r>
          <rPr>
            <sz val="8"/>
            <color indexed="81"/>
            <rFont val="Tahoma"/>
            <family val="2"/>
          </rPr>
          <t>Major noncash expenses include depreciation on fixed assets, amortization of intangibles, and depletion of natural resources. Changes in the Accumulated accounts can help identify the total amount of noncash expenses.</t>
        </r>
      </text>
    </comment>
    <comment ref="C3" authorId="1" shapeId="0" xr:uid="{00000000-0006-0000-0400-000004000000}">
      <text>
        <r>
          <rPr>
            <b/>
            <sz val="8"/>
            <color indexed="81"/>
            <rFont val="Tahoma"/>
            <family val="2"/>
          </rPr>
          <t xml:space="preserve">مصاريف غير نقديه رئيسيه و تشمل الاستهلاك للاصول  الثابته و  الاطفاء غير الملموس  و الاملاك لمصادر الطبيعه </t>
        </r>
        <r>
          <rPr>
            <sz val="8"/>
            <color indexed="81"/>
            <rFont val="Tahoma"/>
            <family val="2"/>
          </rPr>
          <t xml:space="preserve">
</t>
        </r>
      </text>
    </comment>
    <comment ref="B4" authorId="0" shapeId="0" xr:uid="{00000000-0006-0000-0400-000005000000}">
      <text>
        <r>
          <rPr>
            <sz val="8"/>
            <color indexed="81"/>
            <rFont val="Tahoma"/>
            <family val="2"/>
          </rPr>
          <t>Provisions for deferred taxes increase and decrease according to time differences between income reported in the financial statements as opposed to income reported for paying taxes. Increases to the provision account are subtracted / decreases are added back to Net Income.</t>
        </r>
      </text>
    </comment>
    <comment ref="C4" authorId="1" shapeId="0" xr:uid="{00000000-0006-0000-0400-000006000000}">
      <text>
        <r>
          <rPr>
            <b/>
            <sz val="8"/>
            <color indexed="81"/>
            <rFont val="Tahoma"/>
            <family val="2"/>
          </rPr>
          <t>النفص يتم اضافته إلى الدخل و الزياده  طرحها  ل الضرائب المستحقه  بناءً على الفتره الزمنيه</t>
        </r>
        <r>
          <rPr>
            <sz val="8"/>
            <color indexed="81"/>
            <rFont val="Tahoma"/>
            <family val="2"/>
          </rPr>
          <t xml:space="preserve">
</t>
        </r>
      </text>
    </comment>
    <comment ref="B5" authorId="0" shapeId="0" xr:uid="{00000000-0006-0000-0400-000007000000}">
      <text>
        <r>
          <rPr>
            <sz val="8"/>
            <color indexed="81"/>
            <rFont val="Tahoma"/>
            <family val="2"/>
          </rPr>
          <t>Gains and Losses show up in Net Income, but they are non-cash items. We need to reverse out Gains and add back Losses.</t>
        </r>
      </text>
    </comment>
    <comment ref="C5" authorId="1" shapeId="0" xr:uid="{00000000-0006-0000-0400-000008000000}">
      <text>
        <r>
          <rPr>
            <b/>
            <sz val="8"/>
            <color indexed="81"/>
            <rFont val="Tahoma"/>
            <family val="2"/>
          </rPr>
          <t>الارباح و الخسائر الظاهره  في قائمه الدخل لكنها ليست بنود نقديه . يجب آن ننظر في الارباح و نعيد  اضافه الخساره</t>
        </r>
        <r>
          <rPr>
            <sz val="8"/>
            <color indexed="81"/>
            <rFont val="Tahoma"/>
            <family val="2"/>
          </rPr>
          <t xml:space="preserve">
</t>
        </r>
      </text>
    </comment>
    <comment ref="B6" authorId="0" shapeId="0" xr:uid="{00000000-0006-0000-0400-000009000000}">
      <text>
        <r>
          <rPr>
            <sz val="8"/>
            <color indexed="81"/>
            <rFont val="Tahoma"/>
            <family val="2"/>
          </rPr>
          <t>Changes to working capital other than cash will affect cash. Increases to current assets are reversed out and decreases are added back to Net Income.</t>
        </r>
      </text>
    </comment>
    <comment ref="C6" authorId="1" shapeId="0" xr:uid="{00000000-0006-0000-0400-00000A000000}">
      <text>
        <r>
          <rPr>
            <b/>
            <sz val="8"/>
            <color indexed="81"/>
            <rFont val="Tahoma"/>
            <family val="2"/>
          </rPr>
          <t xml:space="preserve">التغير في راس امال العامل   غير النقديه  سيأثر على النقديه .الزياده في الاصول المتداوله يتم تخفيضها و التخفيضات يتم اضافتها إلى الدخل              </t>
        </r>
        <r>
          <rPr>
            <sz val="8"/>
            <color indexed="81"/>
            <rFont val="Tahoma"/>
            <family val="2"/>
          </rPr>
          <t xml:space="preserve">
 </t>
        </r>
      </text>
    </comment>
    <comment ref="B7" authorId="0" shapeId="0" xr:uid="{00000000-0006-0000-0400-00000B000000}">
      <text>
        <r>
          <rPr>
            <sz val="8"/>
            <color indexed="81"/>
            <rFont val="Tahoma"/>
            <family val="2"/>
          </rPr>
          <t xml:space="preserve">Increases to current liabilities are added back while decreases to current liabilities are deducted from Net Income. </t>
        </r>
      </text>
    </comment>
    <comment ref="C7" authorId="1" shapeId="0" xr:uid="{00000000-0006-0000-0400-00000C000000}">
      <text>
        <r>
          <rPr>
            <b/>
            <sz val="8"/>
            <color indexed="81"/>
            <rFont val="Tahoma"/>
            <family val="2"/>
          </rPr>
          <t xml:space="preserve">الزياده في الالتزامات المتداوله يتم اضافتها لكن الانخفاض في الالتزامات المتداوله يتم تخفيضها من الدخل </t>
        </r>
        <r>
          <rPr>
            <sz val="8"/>
            <color indexed="81"/>
            <rFont val="Tahoma"/>
            <family val="2"/>
          </rPr>
          <t xml:space="preserve">
</t>
        </r>
      </text>
    </comment>
    <comment ref="B9" authorId="0" shapeId="0" xr:uid="{00000000-0006-0000-0400-00000D000000}">
      <text>
        <r>
          <rPr>
            <sz val="8"/>
            <color indexed="81"/>
            <rFont val="Tahoma"/>
            <family val="2"/>
          </rPr>
          <t>Amounts spent to acquire capital assets used in the operations of the business.</t>
        </r>
      </text>
    </comment>
    <comment ref="C9" authorId="1" shapeId="0" xr:uid="{00000000-0006-0000-0400-00000E000000}">
      <text>
        <r>
          <rPr>
            <b/>
            <sz val="8"/>
            <color indexed="81"/>
            <rFont val="Tahoma"/>
            <family val="2"/>
          </rPr>
          <t>المقدار الذي يتم صرفه للحصول على اصول راس  ماليه تستخدم  في عمليات  تستخدم في عمليات الشركه</t>
        </r>
        <r>
          <rPr>
            <sz val="8"/>
            <color indexed="81"/>
            <rFont val="Tahoma"/>
            <family val="2"/>
          </rPr>
          <t xml:space="preserve">
</t>
        </r>
      </text>
    </comment>
    <comment ref="B10" authorId="0" shapeId="0" xr:uid="{00000000-0006-0000-0400-00000F000000}">
      <text>
        <r>
          <rPr>
            <sz val="8"/>
            <color indexed="81"/>
            <rFont val="Tahoma"/>
            <family val="2"/>
          </rPr>
          <t>Special Acquisitions such as acquiring another company.</t>
        </r>
      </text>
    </comment>
    <comment ref="C10" authorId="1" shapeId="0" xr:uid="{00000000-0006-0000-0400-000010000000}">
      <text>
        <r>
          <rPr>
            <b/>
            <sz val="8"/>
            <color indexed="81"/>
            <rFont val="Tahoma"/>
            <family val="2"/>
          </rPr>
          <t>حيازات خاصه مثل حيازه شركه اخرى</t>
        </r>
        <r>
          <rPr>
            <sz val="8"/>
            <color indexed="81"/>
            <rFont val="Tahoma"/>
            <family val="2"/>
          </rPr>
          <t xml:space="preserve">
</t>
        </r>
      </text>
    </comment>
    <comment ref="B11" authorId="0" shapeId="0" xr:uid="{00000000-0006-0000-0400-000011000000}">
      <text>
        <r>
          <rPr>
            <sz val="8"/>
            <color indexed="81"/>
            <rFont val="Tahoma"/>
            <family val="2"/>
          </rPr>
          <t>Amounts received from divestitures and other special assets.</t>
        </r>
      </text>
    </comment>
    <comment ref="C11" authorId="1" shapeId="0" xr:uid="{00000000-0006-0000-0400-000012000000}">
      <text>
        <r>
          <rPr>
            <b/>
            <sz val="8"/>
            <color indexed="81"/>
            <rFont val="Tahoma"/>
            <family val="2"/>
          </rPr>
          <t>الكميات التى يحصل عليها من اصول خاصه</t>
        </r>
        <r>
          <rPr>
            <sz val="8"/>
            <color indexed="81"/>
            <rFont val="Tahoma"/>
            <family val="2"/>
          </rPr>
          <t xml:space="preserve">
</t>
        </r>
      </text>
    </comment>
    <comment ref="B12" authorId="0" shapeId="0" xr:uid="{00000000-0006-0000-0400-000013000000}">
      <text>
        <r>
          <rPr>
            <sz val="8"/>
            <color indexed="81"/>
            <rFont val="Tahoma"/>
            <family val="2"/>
          </rPr>
          <t xml:space="preserve">Amounts spent on investments, such as the purchase of marketable securities. </t>
        </r>
      </text>
    </comment>
    <comment ref="C12" authorId="1" shapeId="0" xr:uid="{00000000-0006-0000-0400-000014000000}">
      <text>
        <r>
          <rPr>
            <b/>
            <sz val="8"/>
            <color indexed="81"/>
            <rFont val="Tahoma"/>
            <family val="2"/>
          </rPr>
          <t xml:space="preserve">المبالغ المدفوعه على الاستثمارات  مثل شراء اسهم سوقيه </t>
        </r>
        <r>
          <rPr>
            <sz val="8"/>
            <color indexed="81"/>
            <rFont val="Tahoma"/>
            <family val="2"/>
          </rPr>
          <t xml:space="preserve">
</t>
        </r>
      </text>
    </comment>
    <comment ref="B13" authorId="0" shapeId="0" xr:uid="{00000000-0006-0000-0400-000015000000}">
      <text>
        <r>
          <rPr>
            <sz val="8"/>
            <color indexed="81"/>
            <rFont val="Tahoma"/>
            <family val="2"/>
          </rPr>
          <t>Amounts received from the sale of various investments, such as securities.</t>
        </r>
      </text>
    </comment>
    <comment ref="C13" authorId="1" shapeId="0" xr:uid="{00000000-0006-0000-0400-000016000000}">
      <text>
        <r>
          <rPr>
            <b/>
            <sz val="8"/>
            <color indexed="81"/>
            <rFont val="Tahoma"/>
            <family val="2"/>
          </rPr>
          <t>المبالغ  المقبوضه من بيع استثمارات  متنوعه مثل الاسهم في الشركات الاخرى</t>
        </r>
        <r>
          <rPr>
            <sz val="8"/>
            <color indexed="81"/>
            <rFont val="Tahoma"/>
            <family val="2"/>
          </rPr>
          <t xml:space="preserve">
</t>
        </r>
      </text>
    </comment>
    <comment ref="B16" authorId="0" shapeId="0" xr:uid="{00000000-0006-0000-0400-000017000000}">
      <text>
        <r>
          <rPr>
            <sz val="8"/>
            <color indexed="81"/>
            <rFont val="Tahoma"/>
            <family val="2"/>
          </rPr>
          <t xml:space="preserve">Amounts received from all forms of borrowings, both short term and long term. </t>
        </r>
      </text>
    </comment>
    <comment ref="C16" authorId="1" shapeId="0" xr:uid="{00000000-0006-0000-0400-000018000000}">
      <text>
        <r>
          <rPr>
            <b/>
            <sz val="8"/>
            <color indexed="81"/>
            <rFont val="Tahoma"/>
            <family val="2"/>
          </rPr>
          <t>المبالغ المقبوضه من جميع اشكال الاقتراض قصيره و طويل ه المدى</t>
        </r>
        <r>
          <rPr>
            <sz val="8"/>
            <color indexed="81"/>
            <rFont val="Tahoma"/>
            <family val="2"/>
          </rPr>
          <t xml:space="preserve">
</t>
        </r>
      </text>
    </comment>
    <comment ref="B17" authorId="0" shapeId="0" xr:uid="{00000000-0006-0000-0400-000019000000}">
      <text>
        <r>
          <rPr>
            <sz val="8"/>
            <color indexed="81"/>
            <rFont val="Tahoma"/>
            <family val="2"/>
          </rPr>
          <t>Amounts paid out on all borrowings, both interest and principal payments.</t>
        </r>
      </text>
    </comment>
    <comment ref="C17" authorId="1" shapeId="0" xr:uid="{00000000-0006-0000-0400-00001A000000}">
      <text>
        <r>
          <rPr>
            <b/>
            <sz val="8"/>
            <color indexed="81"/>
            <rFont val="Tahoma"/>
            <family val="2"/>
          </rPr>
          <t>المبالغ المدفوعه على جميع القروض كلا الفوائد و الدفعات المبدئيه</t>
        </r>
        <r>
          <rPr>
            <sz val="8"/>
            <color indexed="81"/>
            <rFont val="Tahoma"/>
            <family val="2"/>
          </rPr>
          <t xml:space="preserve">
</t>
        </r>
      </text>
    </comment>
    <comment ref="B18" authorId="0" shapeId="0" xr:uid="{00000000-0006-0000-0400-00001B000000}">
      <text>
        <r>
          <rPr>
            <sz val="8"/>
            <color indexed="81"/>
            <rFont val="Tahoma"/>
            <family val="2"/>
          </rPr>
          <t>Dividends actually disbursed to all shareholders (common and preferred).</t>
        </r>
      </text>
    </comment>
    <comment ref="C18" authorId="1" shapeId="0" xr:uid="{00000000-0006-0000-0400-00001C000000}">
      <text>
        <r>
          <rPr>
            <b/>
            <sz val="8"/>
            <color indexed="81"/>
            <rFont val="Tahoma"/>
            <family val="2"/>
          </rPr>
          <t>التوزيعات التى يتم توزيعها  حقيقيه إلى جميع المساهمين (اسهم عاديه , ممتازه )</t>
        </r>
        <r>
          <rPr>
            <sz val="8"/>
            <color indexed="81"/>
            <rFont val="Tahoma"/>
            <family val="2"/>
          </rPr>
          <t xml:space="preserve">
</t>
        </r>
      </text>
    </comment>
    <comment ref="B19" authorId="0" shapeId="0" xr:uid="{00000000-0006-0000-0400-00001D000000}">
      <text>
        <r>
          <rPr>
            <sz val="8"/>
            <color indexed="81"/>
            <rFont val="Tahoma"/>
            <family val="2"/>
          </rPr>
          <t>Amounts paid to the company for its equity ownership interest in another company.</t>
        </r>
      </text>
    </comment>
    <comment ref="C19" authorId="1" shapeId="0" xr:uid="{00000000-0006-0000-0400-00001E000000}">
      <text>
        <r>
          <rPr>
            <b/>
            <sz val="8"/>
            <color indexed="81"/>
            <rFont val="Tahoma"/>
            <family val="2"/>
          </rPr>
          <t xml:space="preserve">المبالغ المدفوعه  إلى الشركه مقابل فوائد على خصومات ملكيتها في شركات اخرى </t>
        </r>
        <r>
          <rPr>
            <sz val="8"/>
            <color indexed="81"/>
            <rFont val="Tahoma"/>
            <family val="2"/>
          </rPr>
          <t xml:space="preserve">
</t>
        </r>
      </text>
    </comment>
    <comment ref="B20" authorId="0" shapeId="0" xr:uid="{00000000-0006-0000-0400-00001F000000}">
      <text>
        <r>
          <rPr>
            <sz val="8"/>
            <color indexed="81"/>
            <rFont val="Tahoma"/>
            <family val="2"/>
          </rPr>
          <t>Issuing new stock and the conversion of securities into cash for the purpose of financing the business.</t>
        </r>
      </text>
    </comment>
    <comment ref="C20" authorId="1" shapeId="0" xr:uid="{00000000-0006-0000-0400-000020000000}">
      <text>
        <r>
          <rPr>
            <b/>
            <sz val="8"/>
            <color indexed="81"/>
            <rFont val="Tahoma"/>
            <family val="2"/>
          </rPr>
          <t>اصدار اسهم جديده و قلب الاسهم إلى نقديه من اجل تمويل الشركه</t>
        </r>
        <r>
          <rPr>
            <sz val="8"/>
            <color indexed="81"/>
            <rFont val="Tahoma"/>
            <family val="2"/>
          </rPr>
          <t xml:space="preserve">
</t>
        </r>
      </text>
    </comment>
    <comment ref="B21" authorId="0" shapeId="0" xr:uid="{00000000-0006-0000-0400-000021000000}">
      <text>
        <r>
          <rPr>
            <sz val="8"/>
            <color indexed="81"/>
            <rFont val="Tahoma"/>
            <family val="2"/>
          </rPr>
          <t>The amounts paid out to acquire outstanding stock of the company through a buyback program.</t>
        </r>
      </text>
    </comment>
    <comment ref="C21" authorId="1" shapeId="0" xr:uid="{00000000-0006-0000-0400-000022000000}">
      <text>
        <r>
          <rPr>
            <b/>
            <sz val="8"/>
            <color indexed="81"/>
            <rFont val="Tahoma"/>
            <family val="2"/>
          </rPr>
          <t>المبالغ المدفوعه للحصول على اسهم معروضه للشركه من خلال  الماده و شرائها</t>
        </r>
        <r>
          <rPr>
            <sz val="8"/>
            <color indexed="81"/>
            <rFont val="Tahoma"/>
            <family val="2"/>
          </rPr>
          <t xml:space="preserve">
</t>
        </r>
      </text>
    </comment>
    <comment ref="C22" authorId="1" shapeId="0" xr:uid="{00000000-0006-0000-0400-000023000000}">
      <text>
        <r>
          <rPr>
            <b/>
            <sz val="8"/>
            <color indexed="81"/>
            <rFont val="Tahoma"/>
            <family val="2"/>
          </rPr>
          <t>alarabia:</t>
        </r>
        <r>
          <rPr>
            <sz val="8"/>
            <color indexed="81"/>
            <rFont val="Tahoma"/>
            <family val="2"/>
          </rPr>
          <t xml:space="preserve">
</t>
        </r>
      </text>
    </comment>
    <comment ref="B25" authorId="0" shapeId="0" xr:uid="{00000000-0006-0000-0400-000024000000}">
      <text>
        <r>
          <rPr>
            <sz val="8"/>
            <color indexed="81"/>
            <rFont val="Tahoma"/>
            <family val="2"/>
          </rPr>
          <t>Ending cash balance from the previous year is carried forward as the beginning cash balance for the current reporting period.</t>
        </r>
      </text>
    </comment>
    <comment ref="C25" authorId="1" shapeId="0" xr:uid="{00000000-0006-0000-0400-000025000000}">
      <text>
        <r>
          <rPr>
            <b/>
            <sz val="8"/>
            <color indexed="81"/>
            <rFont val="Tahoma"/>
            <family val="2"/>
          </rPr>
          <t>رصيد الصندوق نهايه الفتره السابقه يتم استحضاره على اساس رصيد بدايه الفتره إلى  الفتره الحاليه</t>
        </r>
        <r>
          <rPr>
            <sz val="8"/>
            <color indexed="81"/>
            <rFont val="Tahoma"/>
            <family val="2"/>
          </rPr>
          <t xml:space="preserve">
</t>
        </r>
      </text>
    </comment>
    <comment ref="B27" authorId="0" shapeId="0" xr:uid="{00000000-0006-0000-0400-000026000000}">
      <text>
        <r>
          <rPr>
            <sz val="8"/>
            <color indexed="81"/>
            <rFont val="Tahoma"/>
            <family val="2"/>
          </rPr>
          <t>The ending cash balance should agree with the Balance Sheet account.</t>
        </r>
      </text>
    </comment>
    <comment ref="C27" authorId="1" shapeId="0" xr:uid="{00000000-0006-0000-0400-000027000000}">
      <text>
        <r>
          <rPr>
            <b/>
            <sz val="8"/>
            <color indexed="81"/>
            <rFont val="Tahoma"/>
            <family val="2"/>
          </rPr>
          <t>رصيد نهايه الفتره للصندوق يجب آن يتوافق مع الرصيد في الميزانيه</t>
        </r>
        <r>
          <rPr>
            <sz val="8"/>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Matt H. Evans</author>
    <author>alarabia</author>
  </authors>
  <commentList>
    <comment ref="D11" authorId="0" shapeId="0" xr:uid="{00000000-0006-0000-0500-000007000000}">
      <text>
        <r>
          <rPr>
            <sz val="8"/>
            <color indexed="81"/>
            <rFont val="Tahoma"/>
            <family val="2"/>
          </rPr>
          <t>Preferred Stock has a fixed obligation to Preferred Shareholders and must be paid</t>
        </r>
      </text>
    </comment>
    <comment ref="E11" authorId="1" shapeId="0" xr:uid="{00000000-0006-0000-0500-000008000000}">
      <text>
        <r>
          <rPr>
            <b/>
            <sz val="8"/>
            <color indexed="81"/>
            <rFont val="Tahoma"/>
            <family val="2"/>
          </rPr>
          <t xml:space="preserve">هي عباره عن الاسهم الممتازه التي يجب الالتزام  بدفع حقوقها </t>
        </r>
        <r>
          <rPr>
            <sz val="8"/>
            <color indexed="81"/>
            <rFont val="Tahoma"/>
            <family val="2"/>
          </rPr>
          <t xml:space="preserve">
</t>
        </r>
      </text>
    </comment>
    <comment ref="D12" authorId="0" shapeId="0" xr:uid="{00000000-0006-0000-0500-000009000000}">
      <text>
        <r>
          <rPr>
            <sz val="8"/>
            <color indexed="81"/>
            <rFont val="Tahoma"/>
            <family val="2"/>
          </rPr>
          <t>Consists mainly of principal payments against debt and lease obligations.</t>
        </r>
      </text>
    </comment>
    <comment ref="E12" authorId="1" shapeId="0" xr:uid="{00000000-0006-0000-0500-00000A000000}">
      <text>
        <r>
          <rPr>
            <b/>
            <sz val="8"/>
            <color indexed="81"/>
            <rFont val="Tahoma"/>
            <family val="2"/>
          </rPr>
          <t>تتكون بشكل اساسي من الدفعات الاساسيه مقابل الدين و التزاملات التاجير</t>
        </r>
        <r>
          <rPr>
            <sz val="8"/>
            <color indexed="81"/>
            <rFont val="Tahoma"/>
            <family val="2"/>
          </rPr>
          <t xml:space="preserve">
</t>
        </r>
      </text>
    </comment>
    <comment ref="D13" authorId="0" shapeId="0" xr:uid="{00000000-0006-0000-0500-00000B000000}">
      <text>
        <r>
          <rPr>
            <sz val="8"/>
            <color indexed="81"/>
            <rFont val="Tahoma"/>
            <family val="2"/>
          </rPr>
          <t>Any other critical cash outlays required to sustain the business.</t>
        </r>
      </text>
    </comment>
    <comment ref="E13" authorId="1" shapeId="0" xr:uid="{00000000-0006-0000-0500-00000C000000}">
      <text>
        <r>
          <rPr>
            <b/>
            <sz val="8"/>
            <color indexed="81"/>
            <rFont val="Tahoma"/>
            <family val="2"/>
          </rPr>
          <t xml:space="preserve">أي دفعات  نقديه اساسيه تتطلب  انشاء المنشاه  </t>
        </r>
        <r>
          <rPr>
            <sz val="8"/>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Unknown User</author>
    <author>alarabia</author>
    <author>Matt H. Evans</author>
  </authors>
  <commentList>
    <comment ref="D10" authorId="0" shapeId="0" xr:uid="{00000000-0006-0000-0600-000001000000}">
      <text>
        <r>
          <rPr>
            <sz val="8"/>
            <color indexed="81"/>
            <rFont val="Tahoma"/>
            <family val="2"/>
          </rPr>
          <t xml:space="preserve">Acid Test or Quick Ratio is the ratio of quick assets (cash, receivables, and marketable securities) in relation to current liabilities. </t>
        </r>
      </text>
    </comment>
    <comment ref="E10" authorId="1" shapeId="0" xr:uid="{00000000-0006-0000-0600-000002000000}">
      <text>
        <r>
          <rPr>
            <sz val="8"/>
            <color indexed="81"/>
            <rFont val="Tahoma"/>
            <family val="2"/>
          </rPr>
          <t xml:space="preserve">السيولة السريعة :هي النسبة ل(نقدية،اسهم سوقية )  نسبتا إلى الالتزامات المتداولة   
</t>
        </r>
      </text>
    </comment>
    <comment ref="D12" authorId="2" shapeId="0" xr:uid="{00000000-0006-0000-0600-000003000000}">
      <text>
        <r>
          <rPr>
            <sz val="8"/>
            <color indexed="81"/>
            <rFont val="Tahoma"/>
            <family val="2"/>
          </rPr>
          <t xml:space="preserve">The ratio of current assets to current liabilities. </t>
        </r>
      </text>
    </comment>
    <comment ref="E12" authorId="1" shapeId="0" xr:uid="{00000000-0006-0000-0600-000004000000}">
      <text>
        <r>
          <rPr>
            <b/>
            <sz val="8"/>
            <color indexed="81"/>
            <rFont val="Tahoma"/>
            <family val="2"/>
          </rPr>
          <t xml:space="preserve">نسبة الاصول المتداولة إلى الالتزامات المتداولة    </t>
        </r>
        <r>
          <rPr>
            <sz val="8"/>
            <color indexed="81"/>
            <rFont val="Tahoma"/>
            <family val="2"/>
          </rPr>
          <t xml:space="preserve">
</t>
        </r>
      </text>
    </comment>
    <comment ref="D14" authorId="0" shapeId="0" xr:uid="{00000000-0006-0000-0600-000005000000}">
      <text>
        <r>
          <rPr>
            <sz val="8"/>
            <color indexed="81"/>
            <rFont val="Tahoma"/>
            <family val="2"/>
          </rPr>
          <t>The extent to which Net Income is supported by Operating Cash Flows.</t>
        </r>
      </text>
    </comment>
    <comment ref="E14" authorId="1" shapeId="0" xr:uid="{00000000-0006-0000-0600-000006000000}">
      <text>
        <r>
          <rPr>
            <b/>
            <sz val="8"/>
            <color indexed="81"/>
            <rFont val="Tahoma"/>
            <family val="2"/>
          </rPr>
          <t>هي المدى الذي يدعم صافي الدخل</t>
        </r>
        <r>
          <rPr>
            <sz val="8"/>
            <color indexed="81"/>
            <rFont val="Tahoma"/>
            <family val="2"/>
          </rPr>
          <t xml:space="preserve">
من خلال التدفق النقدي التشغيلي     </t>
        </r>
      </text>
    </comment>
    <comment ref="D16" authorId="2" shapeId="0" xr:uid="{00000000-0006-0000-0600-000007000000}">
      <text>
        <r>
          <rPr>
            <sz val="8"/>
            <color indexed="81"/>
            <rFont val="Tahoma"/>
            <family val="2"/>
          </rPr>
          <t xml:space="preserve">An index for expressing the number of days that current assets are not liquid (available in the form of cash). It is calculated by multiplying the number of days each current asset is removed from cash / total amount of current assets. </t>
        </r>
      </text>
    </comment>
    <comment ref="E16" authorId="1" shapeId="0" xr:uid="{00000000-0006-0000-0600-000008000000}">
      <text>
        <r>
          <rPr>
            <b/>
            <sz val="8"/>
            <color indexed="81"/>
            <rFont val="Tahoma"/>
            <family val="2"/>
          </rPr>
          <t>مؤشر السيولة: مؤشر يعبر عن عدد الايام التي تكون فيها الاصول المتداولة</t>
        </r>
        <r>
          <rPr>
            <sz val="8"/>
            <color indexed="81"/>
            <rFont val="Tahoma"/>
            <family val="2"/>
          </rPr>
          <t xml:space="preserve">
ليست سائلة (متوفر على شكل نقدية) يتم احتسابها من خلال عدد الايام  .   يتحول فيها كل اصل متداول من النقدية على جميع الاصول المتداولة    </t>
        </r>
      </text>
    </comment>
    <comment ref="D17" authorId="2" shapeId="0" xr:uid="{00000000-0006-0000-0600-000009000000}">
      <text>
        <r>
          <rPr>
            <sz val="8"/>
            <color indexed="81"/>
            <rFont val="Tahoma"/>
            <family val="2"/>
          </rPr>
          <t>Since cash is not removed from cash, number of days is usually equal to zero.</t>
        </r>
      </text>
    </comment>
    <comment ref="E17" authorId="1" shapeId="0" xr:uid="{00000000-0006-0000-0600-00000A000000}">
      <text>
        <r>
          <rPr>
            <b/>
            <sz val="8"/>
            <color indexed="81"/>
            <rFont val="Tahoma"/>
            <family val="2"/>
          </rPr>
          <t xml:space="preserve">منذ آن لم يتم تحويل النقدية من الصندوق ، عدد الايام عادتا يطون صفر </t>
        </r>
        <r>
          <rPr>
            <sz val="8"/>
            <color indexed="81"/>
            <rFont val="Tahoma"/>
            <family val="2"/>
          </rPr>
          <t xml:space="preserve">
</t>
        </r>
      </text>
    </comment>
    <comment ref="D20" authorId="2" shapeId="0" xr:uid="{00000000-0006-0000-0600-00000B000000}">
      <text>
        <r>
          <rPr>
            <sz val="8"/>
            <color indexed="81"/>
            <rFont val="Tahoma"/>
            <family val="2"/>
          </rPr>
          <t>Number of days marketable securities are removed from cash.</t>
        </r>
      </text>
    </comment>
    <comment ref="E20" authorId="1" shapeId="0" xr:uid="{00000000-0006-0000-0600-00000C000000}">
      <text>
        <r>
          <rPr>
            <b/>
            <sz val="8"/>
            <color indexed="81"/>
            <rFont val="Tahoma"/>
            <family val="2"/>
          </rPr>
          <t xml:space="preserve">عدد اليام التي يتم نقل الاسهم السوقية من النقدية              </t>
        </r>
        <r>
          <rPr>
            <sz val="8"/>
            <color indexed="81"/>
            <rFont val="Tahoma"/>
            <family val="2"/>
          </rPr>
          <t xml:space="preserve">
</t>
        </r>
      </text>
    </comment>
    <comment ref="D29" authorId="2" shapeId="0" xr:uid="{00000000-0006-0000-0600-00000D000000}">
      <text>
        <r>
          <rPr>
            <sz val="8"/>
            <color indexed="81"/>
            <rFont val="Tahoma"/>
            <family val="2"/>
          </rPr>
          <t>Estimated days that all other current assets are removed from cash.</t>
        </r>
      </text>
    </comment>
    <comment ref="E29" authorId="1" shapeId="0" xr:uid="{00000000-0006-0000-0600-00000E000000}">
      <text>
        <r>
          <rPr>
            <b/>
            <sz val="8"/>
            <color indexed="81"/>
            <rFont val="Tahoma"/>
            <family val="2"/>
          </rPr>
          <t xml:space="preserve">عدد الايام المقدرة التي ستتحول جميع الاصول المتداولة من النقدية(  تخرج من النقدية) </t>
        </r>
        <r>
          <rPr>
            <sz val="8"/>
            <color indexed="81"/>
            <rFont val="Tahoma"/>
            <family val="2"/>
          </rPr>
          <t xml:space="preserve">
</t>
        </r>
      </text>
    </comment>
    <comment ref="D30" authorId="2" shapeId="0" xr:uid="{00000000-0006-0000-0600-00000F000000}">
      <text>
        <r>
          <rPr>
            <sz val="8"/>
            <color indexed="81"/>
            <rFont val="Tahoma"/>
            <family val="2"/>
          </rPr>
          <t>Other current assets may include prepaid expenses or deposits.</t>
        </r>
      </text>
    </comment>
    <comment ref="E30" authorId="1" shapeId="0" xr:uid="{00000000-0006-0000-0600-000010000000}">
      <text>
        <r>
          <rPr>
            <b/>
            <sz val="8"/>
            <color indexed="81"/>
            <rFont val="Tahoma"/>
            <family val="2"/>
          </rPr>
          <t xml:space="preserve">الاصول الاخرى المتداولة : قد تحتوي </t>
        </r>
        <r>
          <rPr>
            <sz val="8"/>
            <color indexed="81"/>
            <rFont val="Tahoma"/>
            <family val="2"/>
          </rPr>
          <t xml:space="preserve">
مصروف مدفوع مقدما   او الايداعات </t>
        </r>
      </text>
    </comment>
    <comment ref="D32" authorId="2" shapeId="0" xr:uid="{00000000-0006-0000-0600-000011000000}">
      <text>
        <r>
          <rPr>
            <sz val="8"/>
            <color indexed="81"/>
            <rFont val="Tahoma"/>
            <family val="2"/>
          </rPr>
          <t>Overall average days current assets are removed from cash. The reference locations for making this calculation is as follows:
8-12 = (8-5 + 8-7 + 8-8 + 8-9 + 8-11) / (3-1 + 3-2 +
              3-3 + 3-4 + 3-5)</t>
        </r>
      </text>
    </comment>
    <comment ref="E32" authorId="1" shapeId="0" xr:uid="{00000000-0006-0000-0600-000012000000}">
      <text>
        <r>
          <rPr>
            <b/>
            <sz val="8"/>
            <color indexed="81"/>
            <rFont val="Tahoma"/>
            <family val="2"/>
          </rPr>
          <t>المتوسط الكلي لايام التي يمكن آن نخرج الاصول المتداولة من النقدية المرجع لاحتسابها   .
8-12=(8-5+8-7+8-8+8-9+8-11+8-12+3-3+3-4+3-5)</t>
        </r>
      </text>
    </comment>
    <comment ref="D34" authorId="0" shapeId="0" xr:uid="{00000000-0006-0000-0600-000013000000}">
      <text>
        <r>
          <rPr>
            <sz val="8"/>
            <color indexed="81"/>
            <rFont val="Tahoma"/>
            <family val="2"/>
          </rPr>
          <t>The Z Score is an overall indicator of a company's risk of failing due to financial weakness. It consists of five combined calculations. The resulting score is compared to the following scale:
Z Score                   Probability of Business Failure
1.8 or less              Very high
1.81 to 2.99           Not Able to Determine
3.0 or more            Very low</t>
        </r>
      </text>
    </comment>
    <comment ref="E34" authorId="1" shapeId="0" xr:uid="{00000000-0006-0000-0600-000014000000}">
      <text>
        <r>
          <rPr>
            <sz val="8"/>
            <color indexed="81"/>
            <rFont val="Tahoma"/>
            <family val="2"/>
          </rPr>
          <t xml:space="preserve">هو محدد عام للمخاطرة التي تتعرض لها الشركة ، المخاطرة الناتجة عن ضعفها المالي  ،الفشل، يحتوي على خمس احتسابات متداخلة والناتج عنها . يتم مقارنتة إلى المقياس التالي. 
Zcore: احتمالية فشل الشركة  
1.8 orless مرتفع جدا     .
1.8 -to2.99 لاتستطيع التحديد
3   ormor منخفض جدا   
</t>
        </r>
      </text>
    </comment>
    <comment ref="E40" authorId="0" shapeId="0" xr:uid="{00000000-0006-0000-0600-000015000000}">
      <text>
        <r>
          <rPr>
            <sz val="8"/>
            <color indexed="81"/>
            <rFont val="Tahoma"/>
            <family val="2"/>
          </rPr>
          <t>The Z Score is an overall indicator of a company's risk of failing due to financial weakness. It consists of five combined calculations. The resulting score is compared to the following scale:
Z Score                   Probability of Business Failure
1.8 or less              Very high
1.81 to 2.99           Not Able to Determine
3.0 or more            Very low</t>
        </r>
      </text>
    </comment>
    <comment ref="D45" authorId="0" shapeId="0" xr:uid="{00000000-0006-0000-0600-000016000000}">
      <text>
        <r>
          <rPr>
            <sz val="8"/>
            <color indexed="81"/>
            <rFont val="Tahoma"/>
            <family val="2"/>
          </rPr>
          <t>Total Sales on credit as opposed to cash sales.</t>
        </r>
      </text>
    </comment>
    <comment ref="E45" authorId="1" shapeId="0" xr:uid="{00000000-0006-0000-0600-000017000000}">
      <text>
        <r>
          <rPr>
            <b/>
            <sz val="8"/>
            <color indexed="81"/>
            <rFont val="Tahoma"/>
            <family val="2"/>
          </rPr>
          <t xml:space="preserve">مجموع المبيعات الدائنة   </t>
        </r>
        <r>
          <rPr>
            <sz val="8"/>
            <color indexed="81"/>
            <rFont val="Tahoma"/>
            <family val="2"/>
          </rPr>
          <t xml:space="preserve">
</t>
        </r>
      </text>
    </comment>
    <comment ref="D46" authorId="0" shapeId="0" xr:uid="{00000000-0006-0000-0600-000018000000}">
      <text>
        <r>
          <rPr>
            <sz val="8"/>
            <color indexed="81"/>
            <rFont val="Tahoma"/>
            <family val="2"/>
          </rPr>
          <t>Beginning and Ending Receivable Balances divided by 2</t>
        </r>
      </text>
    </comment>
    <comment ref="E46" authorId="1" shapeId="0" xr:uid="{00000000-0006-0000-0600-000019000000}">
      <text>
        <r>
          <rPr>
            <sz val="8"/>
            <color indexed="81"/>
            <rFont val="Tahoma"/>
            <family val="2"/>
          </rPr>
          <t xml:space="preserve">بداية ونهاية الفترة من ارصدة الذمم المدينة
</t>
        </r>
      </text>
    </comment>
    <comment ref="D47" authorId="0" shapeId="0" xr:uid="{00000000-0006-0000-0600-00001A000000}">
      <text>
        <r>
          <rPr>
            <sz val="8"/>
            <color indexed="81"/>
            <rFont val="Tahoma"/>
            <family val="2"/>
          </rPr>
          <t>Number of times during the period receivables were turned over into sales.</t>
        </r>
      </text>
    </comment>
    <comment ref="E47" authorId="1" shapeId="0" xr:uid="{00000000-0006-0000-0600-00001B000000}">
      <text>
        <r>
          <rPr>
            <b/>
            <sz val="8"/>
            <color indexed="81"/>
            <rFont val="Tahoma"/>
            <family val="2"/>
          </rPr>
          <t xml:space="preserve">عدد المرات خلال الفترة تتقلب فيها الذمم المدينة إلى مبيعات   </t>
        </r>
        <r>
          <rPr>
            <sz val="8"/>
            <color indexed="81"/>
            <rFont val="Tahoma"/>
            <family val="2"/>
          </rPr>
          <t xml:space="preserve">
</t>
        </r>
      </text>
    </comment>
    <comment ref="D49" authorId="2" shapeId="0" xr:uid="{00000000-0006-0000-0600-00001C000000}">
      <text>
        <r>
          <rPr>
            <sz val="8"/>
            <color indexed="81"/>
            <rFont val="Tahoma"/>
            <family val="2"/>
          </rPr>
          <t>Number of Days before receivables are collected in cash. The receivable balance is divided by Credit Sales per Day.</t>
        </r>
      </text>
    </comment>
    <comment ref="E49" authorId="1" shapeId="0" xr:uid="{00000000-0006-0000-0600-00001D000000}">
      <text>
        <r>
          <rPr>
            <b/>
            <sz val="8"/>
            <color indexed="81"/>
            <rFont val="Tahoma"/>
            <family val="2"/>
          </rPr>
          <t>عدد الايام قبل آن يتم تجميع الذمم المدينة وتحويلها إلى نقدية( رصيد الذمم المينة/ المبيعات)</t>
        </r>
        <r>
          <rPr>
            <sz val="8"/>
            <color indexed="81"/>
            <rFont val="Tahoma"/>
            <family val="2"/>
          </rPr>
          <t xml:space="preserve">
</t>
        </r>
      </text>
    </comment>
    <comment ref="D54" authorId="2" shapeId="0" xr:uid="{00000000-0006-0000-0600-00001E000000}">
      <text>
        <r>
          <rPr>
            <sz val="8"/>
            <color indexed="81"/>
            <rFont val="Tahoma"/>
            <family val="2"/>
          </rPr>
          <t xml:space="preserve">The number of times inventory turned over during the period. Calculated as: Cost of Goods Sold divided by Average Inventory for the period. </t>
        </r>
      </text>
    </comment>
    <comment ref="E54" authorId="1" shapeId="0" xr:uid="{00000000-0006-0000-0600-00001F000000}">
      <text>
        <r>
          <rPr>
            <b/>
            <sz val="8"/>
            <color indexed="81"/>
            <rFont val="Tahoma"/>
            <family val="2"/>
          </rPr>
          <t xml:space="preserve">معدل دوران المخزون: عدد مرات دوران المخزون خلال الفترة  وتحتسب ( تكلفة البضاعة المباعة/ متوسط المخزون خلا ل الفترة)   </t>
        </r>
        <r>
          <rPr>
            <sz val="8"/>
            <color indexed="81"/>
            <rFont val="Tahoma"/>
            <family val="2"/>
          </rPr>
          <t xml:space="preserve">
</t>
        </r>
      </text>
    </comment>
    <comment ref="D56" authorId="2" shapeId="0" xr:uid="{00000000-0006-0000-0600-000020000000}">
      <text>
        <r>
          <rPr>
            <sz val="8"/>
            <color indexed="81"/>
            <rFont val="Tahoma"/>
            <family val="2"/>
          </rPr>
          <t>Number of days inventory is held before being turned over. Simply divide the Turnover Rate into total number of days.</t>
        </r>
      </text>
    </comment>
    <comment ref="E56" authorId="1" shapeId="0" xr:uid="{00000000-0006-0000-0600-000021000000}">
      <text>
        <r>
          <rPr>
            <b/>
            <sz val="8"/>
            <color indexed="81"/>
            <rFont val="Tahoma"/>
            <family val="2"/>
          </rPr>
          <t>عدد الايام  الاحتفاظ بالمخزون قبل آن يتم تدويرة( بيعة)    =معدل دوران /عدد الايام</t>
        </r>
        <r>
          <rPr>
            <sz val="8"/>
            <color indexed="81"/>
            <rFont val="Tahoma"/>
            <family val="2"/>
          </rPr>
          <t xml:space="preserve">
</t>
        </r>
      </text>
    </comment>
    <comment ref="D58" authorId="0" shapeId="0" xr:uid="{00000000-0006-0000-0600-000022000000}">
      <text>
        <r>
          <rPr>
            <sz val="8"/>
            <color indexed="81"/>
            <rFont val="Tahoma"/>
            <family val="2"/>
          </rPr>
          <t>Number of times assets are turned over into sales.</t>
        </r>
      </text>
    </comment>
    <comment ref="E58" authorId="1" shapeId="0" xr:uid="{00000000-0006-0000-0600-000023000000}">
      <text>
        <r>
          <rPr>
            <b/>
            <sz val="8"/>
            <color indexed="81"/>
            <rFont val="Tahoma"/>
            <family val="2"/>
          </rPr>
          <t>عدد المرات التي يتم فيها تحويل الاصول إلى مبيعات</t>
        </r>
        <r>
          <rPr>
            <sz val="8"/>
            <color indexed="81"/>
            <rFont val="Tahoma"/>
            <family val="2"/>
          </rPr>
          <t xml:space="preserve">
</t>
        </r>
      </text>
    </comment>
    <comment ref="D60" authorId="2" shapeId="0" xr:uid="{00000000-0006-0000-0600-000024000000}">
      <text>
        <r>
          <rPr>
            <sz val="8"/>
            <color indexed="81"/>
            <rFont val="Tahoma"/>
            <family val="2"/>
          </rPr>
          <t>Degree to which operating assets are applied to the business in relation to overall total assets within the company.</t>
        </r>
      </text>
    </comment>
    <comment ref="E60" authorId="1" shapeId="0" xr:uid="{00000000-0006-0000-0600-000025000000}">
      <text>
        <r>
          <rPr>
            <b/>
            <sz val="8"/>
            <color indexed="81"/>
            <rFont val="Tahoma"/>
            <family val="2"/>
          </rPr>
          <t>الدرجة التي تكون  الاصول التشغيلية في الشركة نسبة إلى جميع الاصول</t>
        </r>
        <r>
          <rPr>
            <sz val="8"/>
            <color indexed="81"/>
            <rFont val="Tahoma"/>
            <family val="2"/>
          </rPr>
          <t xml:space="preserve">
</t>
        </r>
      </text>
    </comment>
    <comment ref="D63" authorId="2" shapeId="0" xr:uid="{00000000-0006-0000-0600-000026000000}">
      <text>
        <r>
          <rPr>
            <sz val="8"/>
            <color indexed="81"/>
            <rFont val="Tahoma"/>
            <family val="2"/>
          </rPr>
          <t>Gross Profit is the amount remaining after Cost of Goods Sold is deducted from Sales. Gross Profit divided by Sales is the Gross Profit Margin.</t>
        </r>
      </text>
    </comment>
    <comment ref="E63" authorId="1" shapeId="0" xr:uid="{00000000-0006-0000-0600-000027000000}">
      <text>
        <r>
          <rPr>
            <b/>
            <sz val="8"/>
            <color indexed="81"/>
            <rFont val="Tahoma"/>
            <family val="2"/>
          </rPr>
          <t>مجمل الربح هو المبلغ المتبقي بعد طرح تكلفة البضاعة من المبيعات .  قسمة مجمل الربح على المبيعات  يولد هامش مجمل ربح</t>
        </r>
        <r>
          <rPr>
            <sz val="8"/>
            <color indexed="81"/>
            <rFont val="Tahoma"/>
            <family val="2"/>
          </rPr>
          <t xml:space="preserve">
</t>
        </r>
      </text>
    </comment>
    <comment ref="D65" authorId="2" shapeId="0" xr:uid="{00000000-0006-0000-0600-000028000000}">
      <text>
        <r>
          <rPr>
            <sz val="8"/>
            <color indexed="81"/>
            <rFont val="Tahoma"/>
            <family val="2"/>
          </rPr>
          <t>Operating Income divided by Sales.</t>
        </r>
      </text>
    </comment>
    <comment ref="E65" authorId="1" shapeId="0" xr:uid="{00000000-0006-0000-0600-000029000000}">
      <text>
        <r>
          <rPr>
            <b/>
            <sz val="8"/>
            <color indexed="81"/>
            <rFont val="Tahoma"/>
            <family val="2"/>
          </rPr>
          <t>الدخل التشغيلي على المبيعات</t>
        </r>
        <r>
          <rPr>
            <sz val="8"/>
            <color indexed="81"/>
            <rFont val="Tahoma"/>
            <family val="2"/>
          </rPr>
          <t xml:space="preserve">
</t>
        </r>
      </text>
    </comment>
    <comment ref="D67" authorId="2" shapeId="0" xr:uid="{00000000-0006-0000-0600-00002A000000}">
      <text>
        <r>
          <rPr>
            <sz val="8"/>
            <color indexed="81"/>
            <rFont val="Tahoma"/>
            <family val="2"/>
          </rPr>
          <t xml:space="preserve">Net Income in relation to Total Revenues. You can also use Earnings after Taxes divided by Sales. </t>
        </r>
      </text>
    </comment>
    <comment ref="E67" authorId="1" shapeId="0" xr:uid="{00000000-0006-0000-0600-00002B000000}">
      <text>
        <r>
          <rPr>
            <b/>
            <sz val="8"/>
            <color indexed="81"/>
            <rFont val="Tahoma"/>
            <family val="2"/>
          </rPr>
          <t xml:space="preserve">صافي الدخل وعلاقتة إلى مجموع الايرادات ، يمكن آن نستخدم الايرادات بعد قسمة الضريبة إلى المبيعات                 </t>
        </r>
        <r>
          <rPr>
            <sz val="8"/>
            <color indexed="81"/>
            <rFont val="Tahoma"/>
            <family val="2"/>
          </rPr>
          <t xml:space="preserve">
</t>
        </r>
      </text>
    </comment>
    <comment ref="D69" authorId="2" shapeId="0" xr:uid="{00000000-0006-0000-0600-00002C000000}">
      <text>
        <r>
          <rPr>
            <sz val="8"/>
            <color indexed="81"/>
            <rFont val="Tahoma"/>
            <family val="2"/>
          </rPr>
          <t xml:space="preserve">Total direct cost (materials, labor, overhead) in relation to operating revenues. Provides a quick indication of managing operating costs as sales change. </t>
        </r>
      </text>
    </comment>
    <comment ref="E69" authorId="1" shapeId="0" xr:uid="{00000000-0006-0000-0600-00002D000000}">
      <text>
        <r>
          <rPr>
            <b/>
            <sz val="8"/>
            <color indexed="81"/>
            <rFont val="Tahoma"/>
            <family val="2"/>
          </rPr>
          <t>مجموع التكلفة المباشرة (مادة، عمل ، تكاليف صناعية غير مباشرة)</t>
        </r>
        <r>
          <rPr>
            <sz val="8"/>
            <color indexed="81"/>
            <rFont val="Tahoma"/>
            <family val="2"/>
          </rPr>
          <t xml:space="preserve">
وعلاقتها بالدخل التشغيلي وتؤدي إلى مؤشر سريع لمستوى ادارة التكاليف التشغيليةمع تغيير المبيعات</t>
        </r>
        <r>
          <rPr>
            <sz val="10"/>
            <color indexed="81"/>
            <rFont val="Tahoma"/>
            <family val="2"/>
          </rPr>
          <t xml:space="preserve">
</t>
        </r>
      </text>
    </comment>
    <comment ref="D71" authorId="0" shapeId="0" xr:uid="{00000000-0006-0000-0600-00002E000000}">
      <text>
        <r>
          <rPr>
            <sz val="8"/>
            <color indexed="81"/>
            <rFont val="Tahoma"/>
            <family val="2"/>
          </rPr>
          <t>Cap Rate or Income Yield is used by real estate and other companies that invest heavily in assets that are financed. Ratio is calculated as:
Net Operating Income / Purchase Price of Asset
You can also divide Operating Income after taxes by the total cost of Operating Assets to express Return on Operating Assets.</t>
        </r>
      </text>
    </comment>
    <comment ref="E71" authorId="1" shapeId="0" xr:uid="{00000000-0006-0000-0600-00002F000000}">
      <text>
        <r>
          <rPr>
            <b/>
            <sz val="8"/>
            <color indexed="81"/>
            <rFont val="Tahoma"/>
            <family val="2"/>
          </rPr>
          <t xml:space="preserve">الدخل الناتج يستخدم من خلال شركات التي تستثمر بكثافة في الاصول التي يتم تمويلها , النسب يتم احتسابها كالتالي:
صافي الدخل التشغيلي/سعر المشترياتالاصول .
نستطيع آن نقسم الدخل التشغيلي بعد الضرائب  على التكلفة الكلية للاصول التشغيلية إلى عائدالمصاريف عن الاصول التشغيلية    </t>
        </r>
        <r>
          <rPr>
            <sz val="8"/>
            <color indexed="81"/>
            <rFont val="Tahoma"/>
            <family val="2"/>
          </rPr>
          <t xml:space="preserve">
</t>
        </r>
      </text>
    </comment>
    <comment ref="D76" authorId="2" shapeId="0" xr:uid="{00000000-0006-0000-0600-000030000000}">
      <text>
        <r>
          <rPr>
            <sz val="8"/>
            <color indexed="81"/>
            <rFont val="Tahoma"/>
            <family val="2"/>
          </rPr>
          <t xml:space="preserve">Earnings after Taxes divided by common equity (includes retained earnings.) Extra Ordinary Items were not included in order to obtain a more "normal" ratio. However, you can use Net Income as your numerator. Also, you need to deduct Preferred Dividends if they were paid out from Earnings. You can also improve the accuracy somewhat by using the Average Common Equity in your denominator.
</t>
        </r>
      </text>
    </comment>
    <comment ref="E76" authorId="1" shapeId="0" xr:uid="{00000000-0006-0000-0600-000031000000}">
      <text>
        <r>
          <rPr>
            <b/>
            <sz val="8"/>
            <color indexed="81"/>
            <rFont val="Tahoma"/>
            <family val="2"/>
          </rPr>
          <t>العائد بعد الضريبة/ حقوق الاسهم العادية (ويشمل الارباح المحتجزة )او البنود غير عادية لم تشمل  من اجل الحصول على نسبة طبيعية اكثر ,بالرغم من ذلك نستطيع استخدام صافي الدخل كبسط  ويتطلب ايضا آن تطرح  توزيعات الاسهم الممتازة اذا تم دفعها من خلال الايرادات . نستطيع تطوير الدقة من خلال  استخدام متوسط الاسهم العادية في المقام</t>
        </r>
        <r>
          <rPr>
            <sz val="8"/>
            <color indexed="81"/>
            <rFont val="Tahoma"/>
            <family val="2"/>
          </rPr>
          <t xml:space="preserve">
</t>
        </r>
      </text>
    </comment>
    <comment ref="D79" authorId="2" shapeId="0" xr:uid="{00000000-0006-0000-0600-000032000000}">
      <text>
        <r>
          <rPr>
            <sz val="8"/>
            <color indexed="81"/>
            <rFont val="Tahoma"/>
            <family val="2"/>
          </rPr>
          <t xml:space="preserve">Total leverage (current liabilities + longterm debt) in relation to total assets. </t>
        </r>
      </text>
    </comment>
    <comment ref="D81" authorId="2" shapeId="0" xr:uid="{00000000-0006-0000-0600-000033000000}">
      <text>
        <r>
          <rPr>
            <sz val="8"/>
            <color indexed="81"/>
            <rFont val="Tahoma"/>
            <family val="2"/>
          </rPr>
          <t>Ratio of total liabilities in relation to common equity (includes retained earnings).</t>
        </r>
      </text>
    </comment>
    <comment ref="E81" authorId="1" shapeId="0" xr:uid="{00000000-0006-0000-0600-000034000000}">
      <text>
        <r>
          <rPr>
            <b/>
            <sz val="8"/>
            <color indexed="81"/>
            <rFont val="Tahoma"/>
            <family val="2"/>
          </rPr>
          <t>نسبة مجموع الالتزامات إلى حقوق الملكية الاسهم العادية  (وتشمل الارباح المحتجزة)</t>
        </r>
        <r>
          <rPr>
            <sz val="8"/>
            <color indexed="81"/>
            <rFont val="Tahoma"/>
            <family val="2"/>
          </rPr>
          <t xml:space="preserve">
</t>
        </r>
      </text>
    </comment>
    <comment ref="D83" authorId="2" shapeId="0" xr:uid="{00000000-0006-0000-0600-000035000000}">
      <text>
        <r>
          <rPr>
            <sz val="8"/>
            <color indexed="81"/>
            <rFont val="Tahoma"/>
            <family val="2"/>
          </rPr>
          <t>Number of times Earnings Before Interest and Taxes covers Interest Expense.</t>
        </r>
      </text>
    </comment>
    <comment ref="E83" authorId="1" shapeId="0" xr:uid="{00000000-0006-0000-0600-000036000000}">
      <text>
        <r>
          <rPr>
            <b/>
            <sz val="8"/>
            <color indexed="81"/>
            <rFont val="Tahoma"/>
            <family val="2"/>
          </rPr>
          <t xml:space="preserve">عددد المرات  الايراد قبل الفوائد والضرائب يغطي مصروف الفائدة </t>
        </r>
        <r>
          <rPr>
            <sz val="8"/>
            <color indexed="81"/>
            <rFont val="Tahoma"/>
            <family val="2"/>
          </rPr>
          <t xml:space="preserve">
</t>
        </r>
      </text>
    </comment>
    <comment ref="D86" authorId="2" shapeId="0" xr:uid="{00000000-0006-0000-0600-000037000000}">
      <text>
        <r>
          <rPr>
            <sz val="8"/>
            <color indexed="81"/>
            <rFont val="Tahoma"/>
            <family val="2"/>
          </rPr>
          <t>Price of Stock / Earnings Per Share</t>
        </r>
      </text>
    </comment>
    <comment ref="E86" authorId="1" shapeId="0" xr:uid="{00000000-0006-0000-0600-000038000000}">
      <text>
        <r>
          <rPr>
            <b/>
            <sz val="8"/>
            <color indexed="81"/>
            <rFont val="Tahoma"/>
            <family val="2"/>
          </rPr>
          <t>ثمن الاسهم مقسوم على العائد لكل سهم</t>
        </r>
        <r>
          <rPr>
            <sz val="8"/>
            <color indexed="81"/>
            <rFont val="Tahoma"/>
            <family val="2"/>
          </rPr>
          <t xml:space="preserve">
</t>
        </r>
      </text>
    </comment>
    <comment ref="D88" authorId="2" shapeId="0" xr:uid="{00000000-0006-0000-0600-000039000000}">
      <text>
        <r>
          <rPr>
            <sz val="8"/>
            <color indexed="81"/>
            <rFont val="Tahoma"/>
            <family val="2"/>
          </rPr>
          <t>Price of Stock in relation to Book Value per Share</t>
        </r>
      </text>
    </comment>
    <comment ref="E88" authorId="1" shapeId="0" xr:uid="{00000000-0006-0000-0600-00003A000000}">
      <text>
        <r>
          <rPr>
            <b/>
            <sz val="8"/>
            <color indexed="81"/>
            <rFont val="Tahoma"/>
            <family val="2"/>
          </rPr>
          <t>سعر السهم بناء على القيمة الدفترية لكل سهم</t>
        </r>
        <r>
          <rPr>
            <sz val="8"/>
            <color indexed="81"/>
            <rFont val="Tahoma"/>
            <family val="2"/>
          </rPr>
          <t xml:space="preserve">
</t>
        </r>
      </text>
    </comment>
    <comment ref="D90" authorId="2" shapeId="0" xr:uid="{00000000-0006-0000-0600-00003B000000}">
      <text>
        <r>
          <rPr>
            <sz val="8"/>
            <color indexed="81"/>
            <rFont val="Tahoma"/>
            <family val="2"/>
          </rPr>
          <t>Dividend paid per share divided by the Price of the Stock.</t>
        </r>
      </text>
    </comment>
    <comment ref="E90" authorId="1" shapeId="0" xr:uid="{00000000-0006-0000-0600-00003C000000}">
      <text>
        <r>
          <rPr>
            <b/>
            <sz val="8"/>
            <color indexed="81"/>
            <rFont val="Tahoma"/>
            <family val="2"/>
          </rPr>
          <t>التوزيعات المدفوعة لكل سهم مقسوم على السعر لهذا السهم</t>
        </r>
        <r>
          <rPr>
            <sz val="8"/>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Matt H. Evans</author>
    <author>alarabia</author>
  </authors>
  <commentList>
    <comment ref="A1" authorId="0" shapeId="0" xr:uid="{00000000-0006-0000-0700-000001000000}">
      <text>
        <r>
          <rPr>
            <b/>
            <sz val="8"/>
            <color indexed="81"/>
            <rFont val="Tahoma"/>
            <family val="2"/>
          </rPr>
          <t>Return to 1st Worksheet</t>
        </r>
      </text>
    </comment>
    <comment ref="B1" authorId="0" shapeId="0" xr:uid="{00000000-0006-0000-0700-000002000000}">
      <text>
        <r>
          <rPr>
            <b/>
            <sz val="8"/>
            <color indexed="81"/>
            <rFont val="Tahoma"/>
            <family val="2"/>
          </rPr>
          <t>General Input</t>
        </r>
      </text>
    </comment>
    <comment ref="A2" authorId="0" shapeId="0" xr:uid="{00000000-0006-0000-0700-000003000000}">
      <text>
        <r>
          <rPr>
            <b/>
            <sz val="8"/>
            <color indexed="81"/>
            <rFont val="Tahoma"/>
            <family val="2"/>
          </rPr>
          <t>Balance Sheet</t>
        </r>
      </text>
    </comment>
    <comment ref="B2" authorId="0" shapeId="0" xr:uid="{00000000-0006-0000-0700-000004000000}">
      <text>
        <r>
          <rPr>
            <b/>
            <sz val="8"/>
            <color indexed="81"/>
            <rFont val="Tahoma"/>
            <family val="2"/>
          </rPr>
          <t>Income Statement</t>
        </r>
      </text>
    </comment>
    <comment ref="A3" authorId="0" shapeId="0" xr:uid="{00000000-0006-0000-0700-000005000000}">
      <text>
        <r>
          <rPr>
            <b/>
            <sz val="8"/>
            <color indexed="81"/>
            <rFont val="Tahoma"/>
            <family val="2"/>
          </rPr>
          <t>Cash Flow Statement</t>
        </r>
      </text>
    </comment>
    <comment ref="B3" authorId="0" shapeId="0" xr:uid="{00000000-0006-0000-0700-000006000000}">
      <text>
        <r>
          <rPr>
            <b/>
            <sz val="8"/>
            <color indexed="81"/>
            <rFont val="Tahoma"/>
            <family val="2"/>
          </rPr>
          <t>Key Financials</t>
        </r>
      </text>
    </comment>
    <comment ref="A4" authorId="0" shapeId="0" xr:uid="{00000000-0006-0000-0700-000007000000}">
      <text>
        <r>
          <rPr>
            <b/>
            <sz val="8"/>
            <color indexed="81"/>
            <rFont val="Tahoma"/>
            <family val="2"/>
          </rPr>
          <t>Ratio Analysis</t>
        </r>
      </text>
    </comment>
    <comment ref="A5" authorId="0" shapeId="0" xr:uid="{00000000-0006-0000-0700-000008000000}">
      <text>
        <r>
          <rPr>
            <b/>
            <sz val="8"/>
            <color indexed="81"/>
            <rFont val="Tahoma"/>
            <family val="2"/>
          </rPr>
          <t>Horizontal Analysis</t>
        </r>
      </text>
    </comment>
    <comment ref="B5" authorId="0" shapeId="0" xr:uid="{00000000-0006-0000-0700-000009000000}">
      <text>
        <r>
          <rPr>
            <b/>
            <sz val="8"/>
            <color indexed="81"/>
            <rFont val="Tahoma"/>
            <family val="2"/>
          </rPr>
          <t>Vertical Analysis</t>
        </r>
      </text>
    </comment>
    <comment ref="A6" authorId="0" shapeId="0" xr:uid="{00000000-0006-0000-0700-00000A000000}">
      <text>
        <r>
          <rPr>
            <b/>
            <sz val="8"/>
            <color indexed="81"/>
            <rFont val="Tahoma"/>
            <family val="2"/>
          </rPr>
          <t>Pro Forma Financials - Simple Projection Model</t>
        </r>
      </text>
    </comment>
    <comment ref="B6" authorId="0" shapeId="0" xr:uid="{00000000-0006-0000-0700-00000B000000}">
      <text>
        <r>
          <rPr>
            <b/>
            <sz val="8"/>
            <color indexed="81"/>
            <rFont val="Tahoma"/>
            <family val="2"/>
          </rPr>
          <t>Pro Forma Financials - Linear Trend Model</t>
        </r>
      </text>
    </comment>
    <comment ref="A7" authorId="0" shapeId="0" xr:uid="{00000000-0006-0000-0700-00000C000000}">
      <text>
        <r>
          <rPr>
            <b/>
            <sz val="8"/>
            <color indexed="81"/>
            <rFont val="Tahoma"/>
            <family val="2"/>
          </rPr>
          <t>Pro Forma Financials - Exponential Smoothing</t>
        </r>
      </text>
    </comment>
    <comment ref="B7" authorId="0" shapeId="0" xr:uid="{00000000-0006-0000-0700-00000D000000}">
      <text>
        <r>
          <rPr>
            <b/>
            <sz val="8"/>
            <color indexed="81"/>
            <rFont val="Tahoma"/>
            <family val="2"/>
          </rPr>
          <t>Scenario Analysis</t>
        </r>
      </text>
    </comment>
    <comment ref="A8" authorId="0" shapeId="0" xr:uid="{00000000-0006-0000-0700-00000E000000}">
      <text>
        <r>
          <rPr>
            <b/>
            <sz val="8"/>
            <color indexed="81"/>
            <rFont val="Tahoma"/>
            <family val="2"/>
          </rPr>
          <t>Budget Analysis</t>
        </r>
      </text>
    </comment>
    <comment ref="B8" authorId="0" shapeId="0" xr:uid="{00000000-0006-0000-0700-00000F000000}">
      <text>
        <r>
          <rPr>
            <b/>
            <sz val="8"/>
            <color indexed="81"/>
            <rFont val="Tahoma"/>
            <family val="2"/>
          </rPr>
          <t>Final Budgets</t>
        </r>
      </text>
    </comment>
    <comment ref="C43" authorId="0" shapeId="0" xr:uid="{00000000-0006-0000-0700-000010000000}">
      <text>
        <r>
          <rPr>
            <sz val="8"/>
            <color indexed="81"/>
            <rFont val="Tahoma"/>
            <family val="2"/>
          </rPr>
          <t>We added this ratio to our comparison since the benchmark data included this ratio. In our original ratio analysis on Worksheet 7, we did not include it since we wanted to focus on Operating Assets as opposed to Total Assets. However, feel free modify the ratios that you think are important to your specific analysis.</t>
        </r>
      </text>
    </comment>
    <comment ref="D43" authorId="1" shapeId="0" xr:uid="{00000000-0006-0000-0700-000011000000}">
      <text>
        <r>
          <rPr>
            <b/>
            <sz val="8"/>
            <color indexed="81"/>
            <rFont val="Tahoma"/>
            <family val="2"/>
          </rPr>
          <t>اضفنا هذة النسبة في المقارنة لان معلومات المقارنة تشمل هذه النسبة ، في تحليلنا الاساسي لنسب المالية لم تشملها لاننا كن معنيين آن نركز على الاصول التشغيلية كما ظهرت  إلى مجموع الاصول  رغم ذلك بالراحة لتعديل هذه النسب اذا شعرت بحاجة لذلك .</t>
        </r>
        <r>
          <rPr>
            <sz val="8"/>
            <color indexed="81"/>
            <rFont val="Tahoma"/>
            <family val="2"/>
          </rPr>
          <t xml:space="preserve">
</t>
        </r>
      </text>
    </comment>
    <comment ref="C55" authorId="0" shapeId="0" xr:uid="{00000000-0006-0000-0700-000012000000}">
      <text>
        <r>
          <rPr>
            <sz val="8"/>
            <color indexed="81"/>
            <rFont val="Tahoma"/>
            <family val="2"/>
          </rPr>
          <t>We excluded a provision for taxes to arrive at Net Worth (Total Shareholder Equity less Income Taxes)</t>
        </r>
      </text>
    </comment>
    <comment ref="D55" authorId="1" shapeId="0" xr:uid="{00000000-0006-0000-0700-000013000000}">
      <text>
        <r>
          <rPr>
            <b/>
            <sz val="8"/>
            <color indexed="81"/>
            <rFont val="Tahoma"/>
            <family val="2"/>
          </rPr>
          <t>نستثني عقود الضريبة للوصول إلى صافي القيمة</t>
        </r>
        <r>
          <rPr>
            <sz val="8"/>
            <color indexed="81"/>
            <rFont val="Tahoma"/>
            <family val="2"/>
          </rPr>
          <t xml:space="preserve">
</t>
        </r>
      </text>
    </comment>
    <comment ref="C56" authorId="0" shapeId="0" xr:uid="{00000000-0006-0000-0700-000014000000}">
      <text>
        <r>
          <rPr>
            <sz val="8"/>
            <color indexed="81"/>
            <rFont val="Tahoma"/>
            <family val="2"/>
          </rPr>
          <t xml:space="preserve">If this ratio is too large in relation to the industry average, it could indicate that we have excessive growth. A high ratio implies that the company is financing its fixed assets more and more from debt and liquidation of assets vs. internal sources of capital and thus, it may not be able to sustain such high growth rates. We can also monitor Net Sales to Net Worth as another indicator of runaway growth. 
</t>
        </r>
      </text>
    </comment>
    <comment ref="D56" authorId="1" shapeId="0" xr:uid="{00000000-0006-0000-0700-000015000000}">
      <text>
        <r>
          <rPr>
            <b/>
            <sz val="8"/>
            <color indexed="81"/>
            <rFont val="Tahoma"/>
            <family val="2"/>
          </rPr>
          <t xml:space="preserve">اذا كانت هذه الالنسبة طويلة جدا بعلا قتها إلى مؤشر الصناعة  يمكن آن تؤشر إلى وجود مكثف نسبة كبيرة تشير آن الشركة تمول  اصولها الثابتة اكثر واكثر من الديون وتسييل للاصول عكس المصادر الداخلية من راس المال    . انها لا تستطيع آن تستمر في هذا المستوى من النمو  وتستطيع ان توجة صافي المبيعات لكي يعطينا صافي الوزن   وهو مؤشر اخر للنمو   </t>
        </r>
        <r>
          <rPr>
            <sz val="8"/>
            <color indexed="81"/>
            <rFont val="Tahoma"/>
            <family val="2"/>
          </rPr>
          <t xml:space="preserve">
</t>
        </r>
      </text>
    </comment>
    <comment ref="C59" authorId="0" shapeId="0" xr:uid="{00000000-0006-0000-0700-000016000000}">
      <text>
        <r>
          <rPr>
            <sz val="8"/>
            <color indexed="81"/>
            <rFont val="Tahoma"/>
            <family val="2"/>
          </rPr>
          <t>If growth in Sales is not internally financed, then this ratio will grow due to external (debt) financing and this could lead to declining liquidity and much higher risk.</t>
        </r>
      </text>
    </comment>
    <comment ref="D59" authorId="1" shapeId="0" xr:uid="{00000000-0006-0000-0700-000017000000}">
      <text>
        <r>
          <rPr>
            <b/>
            <sz val="8"/>
            <color indexed="81"/>
            <rFont val="Tahoma"/>
            <family val="2"/>
          </rPr>
          <t>اذا كان النمو في المبيعات لم يتم تمويلة داخليا فالنسبة ستنمو  ينجح التمويل الخارجي وهذا يؤدي إلى انخفاض السيولة ومخاطرة اكبر</t>
        </r>
        <r>
          <rPr>
            <sz val="8"/>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Matt H. Evans</author>
    <author>alarabia</author>
  </authors>
  <commentList>
    <comment ref="A1" authorId="0" shapeId="0" xr:uid="{00000000-0006-0000-0800-000001000000}">
      <text>
        <r>
          <rPr>
            <b/>
            <sz val="8"/>
            <color indexed="81"/>
            <rFont val="Tahoma"/>
            <family val="2"/>
          </rPr>
          <t>Return to 1st Worksheet</t>
        </r>
      </text>
    </comment>
    <comment ref="B1" authorId="0" shapeId="0" xr:uid="{00000000-0006-0000-0800-000002000000}">
      <text>
        <r>
          <rPr>
            <b/>
            <sz val="8"/>
            <color indexed="81"/>
            <rFont val="Tahoma"/>
            <family val="2"/>
          </rPr>
          <t>General Input</t>
        </r>
      </text>
    </comment>
    <comment ref="A2" authorId="0" shapeId="0" xr:uid="{00000000-0006-0000-0800-000003000000}">
      <text>
        <r>
          <rPr>
            <b/>
            <sz val="8"/>
            <color indexed="81"/>
            <rFont val="Tahoma"/>
            <family val="2"/>
          </rPr>
          <t>Balance Sheet</t>
        </r>
      </text>
    </comment>
    <comment ref="B2" authorId="0" shapeId="0" xr:uid="{00000000-0006-0000-0800-000004000000}">
      <text>
        <r>
          <rPr>
            <b/>
            <sz val="8"/>
            <color indexed="81"/>
            <rFont val="Tahoma"/>
            <family val="2"/>
          </rPr>
          <t>Income Statement</t>
        </r>
      </text>
    </comment>
    <comment ref="A3" authorId="0" shapeId="0" xr:uid="{00000000-0006-0000-0800-000005000000}">
      <text>
        <r>
          <rPr>
            <b/>
            <sz val="8"/>
            <color indexed="81"/>
            <rFont val="Tahoma"/>
            <family val="2"/>
          </rPr>
          <t>Cash Flow Statement</t>
        </r>
      </text>
    </comment>
    <comment ref="B3" authorId="0" shapeId="0" xr:uid="{00000000-0006-0000-0800-000006000000}">
      <text>
        <r>
          <rPr>
            <b/>
            <sz val="8"/>
            <color indexed="81"/>
            <rFont val="Tahoma"/>
            <family val="2"/>
          </rPr>
          <t>Key Financials</t>
        </r>
      </text>
    </comment>
    <comment ref="A4" authorId="0" shapeId="0" xr:uid="{00000000-0006-0000-0800-000007000000}">
      <text>
        <r>
          <rPr>
            <b/>
            <sz val="8"/>
            <color indexed="81"/>
            <rFont val="Tahoma"/>
            <family val="2"/>
          </rPr>
          <t>Ratio Analysis</t>
        </r>
      </text>
    </comment>
    <comment ref="B4" authorId="0" shapeId="0" xr:uid="{00000000-0006-0000-0800-000008000000}">
      <text>
        <r>
          <rPr>
            <b/>
            <sz val="8"/>
            <color indexed="81"/>
            <rFont val="Tahoma"/>
            <family val="2"/>
          </rPr>
          <t>Benchmark Analysis</t>
        </r>
      </text>
    </comment>
    <comment ref="A5" authorId="0" shapeId="0" xr:uid="{00000000-0006-0000-0800-000009000000}">
      <text>
        <r>
          <rPr>
            <b/>
            <sz val="8"/>
            <color indexed="81"/>
            <rFont val="Tahoma"/>
            <family val="2"/>
          </rPr>
          <t>Horizontal Analysis</t>
        </r>
      </text>
    </comment>
    <comment ref="B5" authorId="0" shapeId="0" xr:uid="{00000000-0006-0000-0800-00000A000000}">
      <text>
        <r>
          <rPr>
            <b/>
            <sz val="8"/>
            <color indexed="81"/>
            <rFont val="Tahoma"/>
            <family val="2"/>
          </rPr>
          <t>Vertical Analysis</t>
        </r>
      </text>
    </comment>
    <comment ref="A6" authorId="0" shapeId="0" xr:uid="{00000000-0006-0000-0800-00000B000000}">
      <text>
        <r>
          <rPr>
            <b/>
            <sz val="8"/>
            <color indexed="81"/>
            <rFont val="Tahoma"/>
            <family val="2"/>
          </rPr>
          <t>Pro Forma Financials - Simple Projection Model</t>
        </r>
      </text>
    </comment>
    <comment ref="B6" authorId="0" shapeId="0" xr:uid="{00000000-0006-0000-0800-00000C000000}">
      <text>
        <r>
          <rPr>
            <b/>
            <sz val="8"/>
            <color indexed="81"/>
            <rFont val="Tahoma"/>
            <family val="2"/>
          </rPr>
          <t>Pro Forma Financials - Linear Trend Model</t>
        </r>
      </text>
    </comment>
    <comment ref="A7" authorId="0" shapeId="0" xr:uid="{00000000-0006-0000-0800-00000D000000}">
      <text>
        <r>
          <rPr>
            <b/>
            <sz val="8"/>
            <color indexed="81"/>
            <rFont val="Tahoma"/>
            <family val="2"/>
          </rPr>
          <t>Pro Forma Financials - Exponential Smoothing</t>
        </r>
      </text>
    </comment>
    <comment ref="B7" authorId="0" shapeId="0" xr:uid="{00000000-0006-0000-0800-00000E000000}">
      <text>
        <r>
          <rPr>
            <b/>
            <sz val="8"/>
            <color indexed="81"/>
            <rFont val="Tahoma"/>
            <family val="2"/>
          </rPr>
          <t>Scenario Analysis</t>
        </r>
      </text>
    </comment>
    <comment ref="A8" authorId="0" shapeId="0" xr:uid="{00000000-0006-0000-0800-00000F000000}">
      <text>
        <r>
          <rPr>
            <b/>
            <sz val="8"/>
            <color indexed="81"/>
            <rFont val="Tahoma"/>
            <family val="2"/>
          </rPr>
          <t>Budget Analysis</t>
        </r>
      </text>
    </comment>
    <comment ref="B8" authorId="0" shapeId="0" xr:uid="{00000000-0006-0000-0800-000010000000}">
      <text>
        <r>
          <rPr>
            <b/>
            <sz val="8"/>
            <color indexed="81"/>
            <rFont val="Tahoma"/>
            <family val="2"/>
          </rPr>
          <t>Final Budgets</t>
        </r>
      </text>
    </comment>
    <comment ref="G39" authorId="0" shapeId="0" xr:uid="{00000000-0006-0000-0800-000011000000}">
      <text>
        <r>
          <rPr>
            <sz val="8"/>
            <color indexed="81"/>
            <rFont val="Tahoma"/>
            <family val="2"/>
          </rPr>
          <t>If a cell has no value, it is set to 0 and Excel does not allow DIV (Division) by 0 and thus, the message: #DIV/0!</t>
        </r>
      </text>
    </comment>
    <comment ref="C64" authorId="0" shapeId="0" xr:uid="{00000000-0006-0000-0800-000012000000}">
      <text>
        <r>
          <rPr>
            <sz val="8"/>
            <color indexed="81"/>
            <rFont val="Tahoma"/>
            <family val="2"/>
          </rPr>
          <t>Net Worth is sometimes adjusted for Provision for Taxes.</t>
        </r>
      </text>
    </comment>
    <comment ref="D64" authorId="1" shapeId="0" xr:uid="{00000000-0006-0000-0800-000013000000}">
      <text>
        <r>
          <rPr>
            <b/>
            <sz val="8"/>
            <color indexed="81"/>
            <rFont val="Tahoma"/>
            <family val="2"/>
          </rPr>
          <t>صافي القيمة يتم تعديلها احيانا حسب العقود الضريبية</t>
        </r>
        <r>
          <rPr>
            <sz val="8"/>
            <color indexed="81"/>
            <rFont val="Tahoma"/>
            <family val="2"/>
          </rPr>
          <t xml:space="preserve">
</t>
        </r>
      </text>
    </comment>
    <comment ref="C66" authorId="0" shapeId="0" xr:uid="{00000000-0006-0000-0800-000014000000}">
      <text>
        <r>
          <rPr>
            <sz val="8"/>
            <color indexed="81"/>
            <rFont val="Tahoma"/>
            <family val="2"/>
          </rPr>
          <t>An indication of what can be sustained in growing sales revenues at current financial ratios and without having to issue new equity. The formula for calculating the sustainable growth rate is:
g = Return on Equity x (1 - % of earnings paid out as dividends)</t>
        </r>
      </text>
    </comment>
    <comment ref="D66" authorId="1" shapeId="0" xr:uid="{00000000-0006-0000-0800-000015000000}">
      <text>
        <r>
          <rPr>
            <b/>
            <sz val="8"/>
            <color indexed="81"/>
            <rFont val="Tahoma"/>
            <family val="2"/>
          </rPr>
          <t xml:space="preserve">انه مؤشر على بقاء واستمرار نمو المبيعات والارادات عالى النسب المالية الحالية وبدون اصدار حقوق ملكية جديدة    .
العائد على حقوق الملكية *(1-نسبة العائد المدفوعلى التوزيعات)=j                           </t>
        </r>
        <r>
          <rPr>
            <sz val="8"/>
            <color indexed="81"/>
            <rFont val="Tahoma"/>
            <family val="2"/>
          </rPr>
          <t xml:space="preserve">
</t>
        </r>
      </text>
    </comment>
    <comment ref="C67" authorId="0" shapeId="0" xr:uid="{00000000-0006-0000-0800-000016000000}">
      <text>
        <r>
          <rPr>
            <sz val="8"/>
            <color indexed="81"/>
            <rFont val="Tahoma"/>
            <family val="2"/>
          </rPr>
          <t>A second approach to calculating sustainable growth rate is :
Return on Equity x Dividend Payout Ratio</t>
        </r>
      </text>
    </comment>
    <comment ref="D67" authorId="1" shapeId="0" xr:uid="{00000000-0006-0000-0800-000017000000}">
      <text>
        <r>
          <rPr>
            <b/>
            <sz val="8"/>
            <color indexed="81"/>
            <rFont val="Tahoma"/>
            <family val="2"/>
          </rPr>
          <t xml:space="preserve">انه مؤشر على بقاء واستمرار نمو المبيعات والارادات عالى النسب المالية الحالية وبدون اصدار حقوق ملكية جديدة    .
العائد على حقوق الملكية *(1-نسبة العائد المدفوعلى التوزيعات)=j                           </t>
        </r>
        <r>
          <rPr>
            <sz val="8"/>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Matt H. Evans</author>
  </authors>
  <commentList>
    <comment ref="B1" authorId="0" shapeId="0" xr:uid="{00000000-0006-0000-0900-000001000000}">
      <text>
        <r>
          <rPr>
            <b/>
            <sz val="8"/>
            <color indexed="81"/>
            <rFont val="Tahoma"/>
            <family val="2"/>
          </rPr>
          <t>Return to 1st Worksheet</t>
        </r>
      </text>
    </comment>
    <comment ref="C1" authorId="0" shapeId="0" xr:uid="{00000000-0006-0000-0900-000002000000}">
      <text>
        <r>
          <rPr>
            <b/>
            <sz val="8"/>
            <color indexed="81"/>
            <rFont val="Tahoma"/>
            <family val="2"/>
          </rPr>
          <t>General Input</t>
        </r>
      </text>
    </comment>
    <comment ref="B2" authorId="0" shapeId="0" xr:uid="{00000000-0006-0000-0900-000003000000}">
      <text>
        <r>
          <rPr>
            <b/>
            <sz val="8"/>
            <color indexed="81"/>
            <rFont val="Tahoma"/>
            <family val="2"/>
          </rPr>
          <t>Balance Sheet</t>
        </r>
      </text>
    </comment>
    <comment ref="C2" authorId="0" shapeId="0" xr:uid="{00000000-0006-0000-0900-000004000000}">
      <text>
        <r>
          <rPr>
            <b/>
            <sz val="8"/>
            <color indexed="81"/>
            <rFont val="Tahoma"/>
            <family val="2"/>
          </rPr>
          <t>Income Statement</t>
        </r>
      </text>
    </comment>
    <comment ref="B3" authorId="0" shapeId="0" xr:uid="{00000000-0006-0000-0900-000005000000}">
      <text>
        <r>
          <rPr>
            <b/>
            <sz val="8"/>
            <color indexed="81"/>
            <rFont val="Tahoma"/>
            <family val="2"/>
          </rPr>
          <t>Cash Flow Statement</t>
        </r>
      </text>
    </comment>
    <comment ref="C3" authorId="0" shapeId="0" xr:uid="{00000000-0006-0000-0900-000006000000}">
      <text>
        <r>
          <rPr>
            <b/>
            <sz val="8"/>
            <color indexed="81"/>
            <rFont val="Tahoma"/>
            <family val="2"/>
          </rPr>
          <t>Key Financials</t>
        </r>
      </text>
    </comment>
    <comment ref="B4" authorId="0" shapeId="0" xr:uid="{00000000-0006-0000-0900-000007000000}">
      <text>
        <r>
          <rPr>
            <b/>
            <sz val="8"/>
            <color indexed="81"/>
            <rFont val="Tahoma"/>
            <family val="2"/>
          </rPr>
          <t>Ratio Analysis</t>
        </r>
      </text>
    </comment>
    <comment ref="C4" authorId="0" shapeId="0" xr:uid="{00000000-0006-0000-0900-000008000000}">
      <text>
        <r>
          <rPr>
            <b/>
            <sz val="8"/>
            <color indexed="81"/>
            <rFont val="Tahoma"/>
            <family val="2"/>
          </rPr>
          <t>Benchmark Analysis</t>
        </r>
      </text>
    </comment>
    <comment ref="B5" authorId="0" shapeId="0" xr:uid="{00000000-0006-0000-0900-000009000000}">
      <text>
        <r>
          <rPr>
            <b/>
            <sz val="8"/>
            <color indexed="81"/>
            <rFont val="Tahoma"/>
            <family val="2"/>
          </rPr>
          <t>Horizontal Analysis</t>
        </r>
      </text>
    </comment>
    <comment ref="C5" authorId="0" shapeId="0" xr:uid="{00000000-0006-0000-0900-00000A000000}">
      <text>
        <r>
          <rPr>
            <b/>
            <sz val="8"/>
            <color indexed="81"/>
            <rFont val="Tahoma"/>
            <family val="2"/>
          </rPr>
          <t>Vertical Analysis</t>
        </r>
      </text>
    </comment>
    <comment ref="B6" authorId="0" shapeId="0" xr:uid="{00000000-0006-0000-0900-00000B000000}">
      <text>
        <r>
          <rPr>
            <b/>
            <sz val="8"/>
            <color indexed="81"/>
            <rFont val="Tahoma"/>
            <family val="2"/>
          </rPr>
          <t>Pro Forma Financials - Simple Projection Model</t>
        </r>
      </text>
    </comment>
    <comment ref="C6" authorId="0" shapeId="0" xr:uid="{00000000-0006-0000-0900-00000C000000}">
      <text>
        <r>
          <rPr>
            <b/>
            <sz val="8"/>
            <color indexed="81"/>
            <rFont val="Tahoma"/>
            <family val="2"/>
          </rPr>
          <t>Pro Forma Financials - Linear Trend Model</t>
        </r>
      </text>
    </comment>
    <comment ref="B7" authorId="0" shapeId="0" xr:uid="{00000000-0006-0000-0900-00000D000000}">
      <text>
        <r>
          <rPr>
            <b/>
            <sz val="8"/>
            <color indexed="81"/>
            <rFont val="Tahoma"/>
            <family val="2"/>
          </rPr>
          <t>Pro Forma Financials - Exponential Smoothing</t>
        </r>
      </text>
    </comment>
    <comment ref="C7" authorId="0" shapeId="0" xr:uid="{00000000-0006-0000-0900-00000E000000}">
      <text>
        <r>
          <rPr>
            <b/>
            <sz val="8"/>
            <color indexed="81"/>
            <rFont val="Tahoma"/>
            <family val="2"/>
          </rPr>
          <t>Scenario Analysis</t>
        </r>
      </text>
    </comment>
    <comment ref="B8" authorId="0" shapeId="0" xr:uid="{00000000-0006-0000-0900-00000F000000}">
      <text>
        <r>
          <rPr>
            <b/>
            <sz val="8"/>
            <color indexed="81"/>
            <rFont val="Tahoma"/>
            <family val="2"/>
          </rPr>
          <t>Budget Analysis</t>
        </r>
      </text>
    </comment>
    <comment ref="C8" authorId="0" shapeId="0" xr:uid="{00000000-0006-0000-0900-000010000000}">
      <text>
        <r>
          <rPr>
            <b/>
            <sz val="8"/>
            <color indexed="81"/>
            <rFont val="Tahoma"/>
            <family val="2"/>
          </rPr>
          <t>Final Budgets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Matt H. Evans</author>
  </authors>
  <commentList>
    <comment ref="A1" authorId="0" shapeId="0" xr:uid="{00000000-0006-0000-0A00-000001000000}">
      <text>
        <r>
          <rPr>
            <b/>
            <sz val="8"/>
            <color indexed="81"/>
            <rFont val="Tahoma"/>
            <family val="2"/>
          </rPr>
          <t>Return to 1st Worksheet</t>
        </r>
      </text>
    </comment>
    <comment ref="B1" authorId="0" shapeId="0" xr:uid="{00000000-0006-0000-0A00-000002000000}">
      <text>
        <r>
          <rPr>
            <b/>
            <sz val="8"/>
            <color indexed="81"/>
            <rFont val="Tahoma"/>
            <family val="2"/>
          </rPr>
          <t>General Input</t>
        </r>
      </text>
    </comment>
    <comment ref="A2" authorId="0" shapeId="0" xr:uid="{00000000-0006-0000-0A00-000003000000}">
      <text>
        <r>
          <rPr>
            <b/>
            <sz val="8"/>
            <color indexed="81"/>
            <rFont val="Tahoma"/>
            <family val="2"/>
          </rPr>
          <t>Balance Sheet</t>
        </r>
      </text>
    </comment>
    <comment ref="B2" authorId="0" shapeId="0" xr:uid="{00000000-0006-0000-0A00-000004000000}">
      <text>
        <r>
          <rPr>
            <b/>
            <sz val="8"/>
            <color indexed="81"/>
            <rFont val="Tahoma"/>
            <family val="2"/>
          </rPr>
          <t>Income Statement</t>
        </r>
      </text>
    </comment>
    <comment ref="A3" authorId="0" shapeId="0" xr:uid="{00000000-0006-0000-0A00-000005000000}">
      <text>
        <r>
          <rPr>
            <b/>
            <sz val="8"/>
            <color indexed="81"/>
            <rFont val="Tahoma"/>
            <family val="2"/>
          </rPr>
          <t>Cash Flow Statement</t>
        </r>
      </text>
    </comment>
    <comment ref="B3" authorId="0" shapeId="0" xr:uid="{00000000-0006-0000-0A00-000006000000}">
      <text>
        <r>
          <rPr>
            <b/>
            <sz val="8"/>
            <color indexed="81"/>
            <rFont val="Tahoma"/>
            <family val="2"/>
          </rPr>
          <t>Key Financials</t>
        </r>
      </text>
    </comment>
    <comment ref="A4" authorId="0" shapeId="0" xr:uid="{00000000-0006-0000-0A00-000007000000}">
      <text>
        <r>
          <rPr>
            <b/>
            <sz val="8"/>
            <color indexed="81"/>
            <rFont val="Tahoma"/>
            <family val="2"/>
          </rPr>
          <t>Ratio Analysis</t>
        </r>
      </text>
    </comment>
    <comment ref="B4" authorId="0" shapeId="0" xr:uid="{00000000-0006-0000-0A00-000008000000}">
      <text>
        <r>
          <rPr>
            <b/>
            <sz val="8"/>
            <color indexed="81"/>
            <rFont val="Tahoma"/>
            <family val="2"/>
          </rPr>
          <t>Benchmark Analysis</t>
        </r>
      </text>
    </comment>
    <comment ref="A5" authorId="0" shapeId="0" xr:uid="{00000000-0006-0000-0A00-000009000000}">
      <text>
        <r>
          <rPr>
            <b/>
            <sz val="8"/>
            <color indexed="81"/>
            <rFont val="Tahoma"/>
            <family val="2"/>
          </rPr>
          <t>Horizontal Analysis</t>
        </r>
      </text>
    </comment>
    <comment ref="B5" authorId="0" shapeId="0" xr:uid="{00000000-0006-0000-0A00-00000A000000}">
      <text>
        <r>
          <rPr>
            <b/>
            <sz val="8"/>
            <color indexed="81"/>
            <rFont val="Tahoma"/>
            <family val="2"/>
          </rPr>
          <t>Vertical Analysis</t>
        </r>
      </text>
    </comment>
    <comment ref="A6" authorId="0" shapeId="0" xr:uid="{00000000-0006-0000-0A00-00000B000000}">
      <text>
        <r>
          <rPr>
            <b/>
            <sz val="8"/>
            <color indexed="81"/>
            <rFont val="Tahoma"/>
            <family val="2"/>
          </rPr>
          <t>Pro Forma Financials - Simple Projection Model</t>
        </r>
      </text>
    </comment>
    <comment ref="B6" authorId="0" shapeId="0" xr:uid="{00000000-0006-0000-0A00-00000C000000}">
      <text>
        <r>
          <rPr>
            <b/>
            <sz val="8"/>
            <color indexed="81"/>
            <rFont val="Tahoma"/>
            <family val="2"/>
          </rPr>
          <t>Pro Forma Financials - Linear Trend Model</t>
        </r>
      </text>
    </comment>
    <comment ref="A7" authorId="0" shapeId="0" xr:uid="{00000000-0006-0000-0A00-00000D000000}">
      <text>
        <r>
          <rPr>
            <b/>
            <sz val="8"/>
            <color indexed="81"/>
            <rFont val="Tahoma"/>
            <family val="2"/>
          </rPr>
          <t>Pro Forma Financials - Exponential Smoothing</t>
        </r>
      </text>
    </comment>
    <comment ref="B7" authorId="0" shapeId="0" xr:uid="{00000000-0006-0000-0A00-00000E000000}">
      <text>
        <r>
          <rPr>
            <b/>
            <sz val="8"/>
            <color indexed="81"/>
            <rFont val="Tahoma"/>
            <family val="2"/>
          </rPr>
          <t>Scenario Analysis</t>
        </r>
      </text>
    </comment>
    <comment ref="A8" authorId="0" shapeId="0" xr:uid="{00000000-0006-0000-0A00-00000F000000}">
      <text>
        <r>
          <rPr>
            <b/>
            <sz val="8"/>
            <color indexed="81"/>
            <rFont val="Tahoma"/>
            <family val="2"/>
          </rPr>
          <t>Budget Analysis</t>
        </r>
      </text>
    </comment>
    <comment ref="B8" authorId="0" shapeId="0" xr:uid="{00000000-0006-0000-0A00-000010000000}">
      <text>
        <r>
          <rPr>
            <b/>
            <sz val="8"/>
            <color indexed="81"/>
            <rFont val="Tahoma"/>
            <family val="2"/>
          </rPr>
          <t>Final Budgets</t>
        </r>
      </text>
    </comment>
    <comment ref="C15" authorId="0" shapeId="0" xr:uid="{00000000-0006-0000-0A00-000011000000}">
      <text>
        <r>
          <rPr>
            <sz val="8"/>
            <color indexed="81"/>
            <rFont val="Tahoma"/>
            <family val="2"/>
          </rPr>
          <t xml:space="preserve">The usual order of preparing a set of pro forma (forecasted) financials is to begin first with the Income Statement since you need to start with your Revenue forecast. Once you complete the Pro Forma Income Statement, move to the Cash Flows Statement and finish with the Balance Sheet. </t>
        </r>
      </text>
    </comment>
    <comment ref="C17" authorId="0" shapeId="0" xr:uid="{00000000-0006-0000-0A00-000012000000}">
      <text>
        <r>
          <rPr>
            <sz val="8"/>
            <color indexed="81"/>
            <rFont val="Tahoma"/>
            <family val="2"/>
          </rPr>
          <t>Start your pro forma forecast with Revenues as the "independent" driver for certain other variables in the forecast.</t>
        </r>
      </text>
    </comment>
    <comment ref="C18" authorId="0" shapeId="0" xr:uid="{00000000-0006-0000-0A00-000013000000}">
      <text>
        <r>
          <rPr>
            <sz val="8"/>
            <color indexed="81"/>
            <rFont val="Tahoma"/>
            <family val="2"/>
          </rPr>
          <t xml:space="preserve">Revenue growth assumptions are based on the most recent information. We did not want to use an overall average from the historical data since there is a clear trend downward. </t>
        </r>
      </text>
    </comment>
    <comment ref="C20" authorId="0" shapeId="0" xr:uid="{00000000-0006-0000-0A00-000014000000}">
      <text>
        <r>
          <rPr>
            <sz val="8"/>
            <color indexed="81"/>
            <rFont val="Tahoma"/>
            <family val="2"/>
          </rPr>
          <t xml:space="preserve">Cost of Goods Sold is calculated by taking the % relationship found in our vertical analysis. We applied an average % to Gross Revenues in this worksheet to arrive at projected Cost of Goods Sold. </t>
        </r>
      </text>
    </comment>
    <comment ref="C21" authorId="0" shapeId="0" xr:uid="{00000000-0006-0000-0A00-000015000000}">
      <text>
        <r>
          <rPr>
            <sz val="8"/>
            <color indexed="81"/>
            <rFont val="Tahoma"/>
            <family val="2"/>
          </rPr>
          <t>We simply took the average % change from our vertical analysis.</t>
        </r>
      </text>
    </comment>
    <comment ref="C23" authorId="0" shapeId="0" xr:uid="{00000000-0006-0000-0A00-000016000000}">
      <text>
        <r>
          <rPr>
            <sz val="8"/>
            <color indexed="81"/>
            <rFont val="Tahoma"/>
            <family val="2"/>
          </rPr>
          <t>We applied an average % to Gross Revenues above to calculate our projected Operating Expenses.</t>
        </r>
      </text>
    </comment>
    <comment ref="C24" authorId="0" shapeId="0" xr:uid="{00000000-0006-0000-0A00-000017000000}">
      <text>
        <r>
          <rPr>
            <sz val="8"/>
            <color indexed="81"/>
            <rFont val="Tahoma"/>
            <family val="2"/>
          </rPr>
          <t>Just as we did with Cost of Goods Sold, we took an average % to establish what % of total revenue are represented by Operating Expenses.</t>
        </r>
      </text>
    </comment>
    <comment ref="C26" authorId="0" shapeId="0" xr:uid="{00000000-0006-0000-0A00-000018000000}">
      <text>
        <r>
          <rPr>
            <sz val="8"/>
            <color indexed="81"/>
            <rFont val="Tahoma"/>
            <family val="2"/>
          </rPr>
          <t xml:space="preserve">We estimated NonOperating Expenses by simply looking at our past historical information. We factored into our forecast some step ups in expenses as we move forward. If there were no trends, we might want to simply take an average.
</t>
        </r>
      </text>
    </comment>
    <comment ref="C28" authorId="0" shapeId="0" xr:uid="{00000000-0006-0000-0A00-000019000000}">
      <text>
        <r>
          <rPr>
            <sz val="8"/>
            <color indexed="81"/>
            <rFont val="Tahoma"/>
            <family val="2"/>
          </rPr>
          <t xml:space="preserve">Just like our Non Operating Expenses, we simply estimated by looking back at our historical data. If there was no trend, we could have taken an average. </t>
        </r>
      </text>
    </comment>
    <comment ref="C30" authorId="0" shapeId="0" xr:uid="{00000000-0006-0000-0A00-00001A000000}">
      <text>
        <r>
          <rPr>
            <sz val="8"/>
            <color indexed="81"/>
            <rFont val="Tahoma"/>
            <family val="2"/>
          </rPr>
          <t xml:space="preserve">This is our forecasted Net Income for the forecast period based on simple assumptions that we derived from our historical information. 
</t>
        </r>
      </text>
    </comment>
    <comment ref="C37" authorId="0" shapeId="0" xr:uid="{00000000-0006-0000-0A00-00001B000000}">
      <text>
        <r>
          <rPr>
            <sz val="8"/>
            <color indexed="81"/>
            <rFont val="Tahoma"/>
            <family val="2"/>
          </rPr>
          <t>As calculated above</t>
        </r>
      </text>
    </comment>
    <comment ref="C38" authorId="0" shapeId="0" xr:uid="{00000000-0006-0000-0A00-00001C000000}">
      <text>
        <r>
          <rPr>
            <sz val="8"/>
            <color indexed="81"/>
            <rFont val="Tahoma"/>
            <family val="2"/>
          </rPr>
          <t>Depreciation is projected based on planned future capital expenditures. Since no major expenditures of Fixed Assets are planned, we simply projected out incremental increases for future depreciation and amortization.</t>
        </r>
      </text>
    </comment>
    <comment ref="C39" authorId="0" shapeId="0" xr:uid="{00000000-0006-0000-0A00-00001D000000}">
      <text>
        <r>
          <rPr>
            <sz val="8"/>
            <color indexed="81"/>
            <rFont val="Tahoma"/>
            <family val="2"/>
          </rPr>
          <t>No material changes are anticipated.</t>
        </r>
      </text>
    </comment>
    <comment ref="C40" authorId="0" shapeId="0" xr:uid="{00000000-0006-0000-0A00-00001E000000}">
      <text>
        <r>
          <rPr>
            <sz val="8"/>
            <color indexed="81"/>
            <rFont val="Tahoma"/>
            <family val="2"/>
          </rPr>
          <t>Per review of past asset sales, most are sold for modest losses. The Financial Planning Department advised that a few sales would be made in the next two to three years. Estimated losses have been projected into our forecast.</t>
        </r>
      </text>
    </comment>
    <comment ref="C41" authorId="0" shapeId="0" xr:uid="{00000000-0006-0000-0A00-00001F000000}">
      <text>
        <r>
          <rPr>
            <sz val="8"/>
            <color indexed="81"/>
            <rFont val="Tahoma"/>
            <family val="2"/>
          </rPr>
          <t xml:space="preserve">We estimated our change in current assets by looking back at our last current asset balance and comparing to a projected balance. The projected balance was calculated as a % of Revenues per review of our vertical analysis.
</t>
        </r>
      </text>
    </comment>
    <comment ref="C42" authorId="0" shapeId="0" xr:uid="{00000000-0006-0000-0A00-000020000000}">
      <text>
        <r>
          <rPr>
            <sz val="8"/>
            <color indexed="81"/>
            <rFont val="Tahoma"/>
            <family val="2"/>
          </rPr>
          <t>Same as current assets, we went back to our vertical analysis and applied a % to Revenues to project a current liability balance. We compared this to the previous balance to get a change in current liabilities.</t>
        </r>
      </text>
    </comment>
    <comment ref="C47" authorId="0" shapeId="0" xr:uid="{00000000-0006-0000-0A00-000021000000}">
      <text>
        <r>
          <rPr>
            <sz val="8"/>
            <color indexed="81"/>
            <rFont val="Tahoma"/>
            <family val="2"/>
          </rPr>
          <t xml:space="preserve">Per discussion with Financial Planning and CFO, they did indicate that assets would be sold off since there is a recurring review of underperforming assets with subsequent sale. </t>
        </r>
      </text>
    </comment>
    <comment ref="C48" authorId="0" shapeId="0" xr:uid="{00000000-0006-0000-0A00-000022000000}">
      <text>
        <r>
          <rPr>
            <sz val="8"/>
            <color indexed="81"/>
            <rFont val="Tahoma"/>
            <family val="2"/>
          </rPr>
          <t xml:space="preserve">Per discussions with the Financial Planning Dept and the CFO, we estimated future expected sales of investments. We also reviewed the past historical trend. </t>
        </r>
      </text>
    </comment>
    <comment ref="C49" authorId="0" shapeId="0" xr:uid="{00000000-0006-0000-0A00-000023000000}">
      <text>
        <r>
          <rPr>
            <sz val="8"/>
            <color indexed="81"/>
            <rFont val="Tahoma"/>
            <family val="2"/>
          </rPr>
          <t>The CFO and Financial Planning indicated no other major investment sources would be used for generating cash.</t>
        </r>
      </text>
    </comment>
    <comment ref="C53" authorId="0" shapeId="0" xr:uid="{00000000-0006-0000-0A00-000024000000}">
      <text>
        <r>
          <rPr>
            <sz val="8"/>
            <color indexed="81"/>
            <rFont val="Tahoma"/>
            <family val="2"/>
          </rPr>
          <t xml:space="preserve">A Capital Expenditure Budget was compiled and showed a slowly declining investment pattern in Fixed Assets. The Company has plans to move more into investments in other companies and assets that provide higher returns. </t>
        </r>
      </text>
    </comment>
    <comment ref="C54" authorId="0" shapeId="0" xr:uid="{00000000-0006-0000-0A00-000025000000}">
      <text>
        <r>
          <rPr>
            <sz val="8"/>
            <color indexed="81"/>
            <rFont val="Tahoma"/>
            <family val="2"/>
          </rPr>
          <t xml:space="preserve">There was strong indication from management to start investing much more in other companies. Most of the current business lines in place are very mature with declining growth rates. A shift in strategy towards acquiring interest in high growth emerging companies that have similar product / service lines has been approved by Senior Management. </t>
        </r>
      </text>
    </comment>
    <comment ref="C55" authorId="0" shapeId="0" xr:uid="{00000000-0006-0000-0A00-000026000000}">
      <text>
        <r>
          <rPr>
            <sz val="8"/>
            <color indexed="81"/>
            <rFont val="Tahoma"/>
            <family val="2"/>
          </rPr>
          <t>The company will continue to purchase investments which will get converted over into possible acquisitions for improving growth rates.</t>
        </r>
      </text>
    </comment>
    <comment ref="C59" authorId="0" shapeId="0" xr:uid="{00000000-0006-0000-0A00-000027000000}">
      <text>
        <r>
          <rPr>
            <sz val="8"/>
            <color indexed="81"/>
            <rFont val="Tahoma"/>
            <family val="2"/>
          </rPr>
          <t xml:space="preserve">The company will rely less on debt financing for cash since it has high levels of unused internal financing that need to be applied and / or distributed as dividends / stock buybacks. </t>
        </r>
      </text>
    </comment>
    <comment ref="C60" authorId="0" shapeId="0" xr:uid="{00000000-0006-0000-0A00-000028000000}">
      <text>
        <r>
          <rPr>
            <sz val="8"/>
            <color indexed="81"/>
            <rFont val="Tahoma"/>
            <family val="2"/>
          </rPr>
          <t xml:space="preserve">Proceeds from interest in other companies is expected to grow as the company begins to invest more heavily in other companies. </t>
        </r>
      </text>
    </comment>
    <comment ref="C65" authorId="0" shapeId="0" xr:uid="{00000000-0006-0000-0A00-000029000000}">
      <text>
        <r>
          <rPr>
            <sz val="8"/>
            <color indexed="81"/>
            <rFont val="Tahoma"/>
            <family val="2"/>
          </rPr>
          <t>Payments on debt are expected to decline as more internal sources of financing are applied.</t>
        </r>
      </text>
    </comment>
    <comment ref="C66" authorId="0" shapeId="0" xr:uid="{00000000-0006-0000-0A00-00002A000000}">
      <text>
        <r>
          <rPr>
            <sz val="8"/>
            <color indexed="81"/>
            <rFont val="Tahoma"/>
            <family val="2"/>
          </rPr>
          <t xml:space="preserve">Continued strong dividend payments will be made in order to provide a strong yield for investors. </t>
        </r>
      </text>
    </comment>
    <comment ref="C67" authorId="0" shapeId="0" xr:uid="{00000000-0006-0000-0A00-00002B000000}">
      <text>
        <r>
          <rPr>
            <sz val="8"/>
            <color indexed="81"/>
            <rFont val="Tahoma"/>
            <family val="2"/>
          </rPr>
          <t xml:space="preserve">Due to declining stock prices, the company will start a stock buyback program. The program will slowly decline over time as the stock price recovers. </t>
        </r>
      </text>
    </comment>
    <comment ref="C79" authorId="0" shapeId="0" xr:uid="{00000000-0006-0000-0A00-00002C000000}">
      <text>
        <r>
          <rPr>
            <sz val="8"/>
            <color indexed="81"/>
            <rFont val="Tahoma"/>
            <family val="2"/>
          </rPr>
          <t>Balance is carried forward per the Cash Flow Statement.</t>
        </r>
      </text>
    </comment>
    <comment ref="C80" authorId="0" shapeId="0" xr:uid="{00000000-0006-0000-0A00-00002D000000}">
      <text>
        <r>
          <rPr>
            <sz val="8"/>
            <color indexed="81"/>
            <rFont val="Tahoma"/>
            <family val="2"/>
          </rPr>
          <t>We did forecast any material balances related to Marketable Securities.</t>
        </r>
      </text>
    </comment>
    <comment ref="C81" authorId="0" shapeId="0" xr:uid="{00000000-0006-0000-0A00-00002E000000}">
      <text>
        <r>
          <rPr>
            <sz val="8"/>
            <color indexed="81"/>
            <rFont val="Tahoma"/>
            <family val="2"/>
          </rPr>
          <t>Since receivable balances usually move with revenues, we projected this balance as a % of projected revenues. Ref 11-1 * %'s as indicated in our Vertical Analysis. For Accts Receivable we used a flat 10%</t>
        </r>
      </text>
    </comment>
    <comment ref="C82" authorId="0" shapeId="0" xr:uid="{00000000-0006-0000-0A00-00002F000000}">
      <text>
        <r>
          <rPr>
            <sz val="8"/>
            <color indexed="81"/>
            <rFont val="Tahoma"/>
            <family val="2"/>
          </rPr>
          <t>Same concept as receivables, we applied a % of Revenues in arriving at inventory. The % was derived by looking at our vertical analysis. For inventory, we used a flat 8% x Total Revenues per Ref 11-1</t>
        </r>
      </text>
    </comment>
    <comment ref="C83" authorId="0" shapeId="0" xr:uid="{00000000-0006-0000-0A00-000030000000}">
      <text>
        <r>
          <rPr>
            <sz val="8"/>
            <color indexed="81"/>
            <rFont val="Tahoma"/>
            <family val="2"/>
          </rPr>
          <t xml:space="preserve">Once again, we simply applied a % (6.5% in this case) to Total Revenues in arriving at Other Current Assets. The 6.5% was derived by looking at our vertical analysis. </t>
        </r>
      </text>
    </comment>
    <comment ref="C84" authorId="0" shapeId="0" xr:uid="{00000000-0006-0000-0A00-000031000000}">
      <text>
        <r>
          <rPr>
            <sz val="8"/>
            <color indexed="81"/>
            <rFont val="Tahoma"/>
            <family val="2"/>
          </rPr>
          <t>Sum of all current assets. We also compared this total to % of Revenues in arriving at Current Assets and did not see any material differences.</t>
        </r>
      </text>
    </comment>
    <comment ref="C86" authorId="0" shapeId="0" xr:uid="{00000000-0006-0000-0A00-000032000000}">
      <text>
        <r>
          <rPr>
            <sz val="8"/>
            <color indexed="81"/>
            <rFont val="Tahoma"/>
            <family val="2"/>
          </rPr>
          <t xml:space="preserve">We simply brought the account balance forward, adjusted it per our projections in the Cash Flow Statement. </t>
        </r>
      </text>
    </comment>
    <comment ref="C87" authorId="0" shapeId="0" xr:uid="{00000000-0006-0000-0A00-000033000000}">
      <text>
        <r>
          <rPr>
            <sz val="8"/>
            <color indexed="81"/>
            <rFont val="Tahoma"/>
            <family val="2"/>
          </rPr>
          <t xml:space="preserve">We simply brought the account balance forward, adjusted it per our projections in the Cash Flow Statement. </t>
        </r>
      </text>
    </comment>
    <comment ref="C89" authorId="0" shapeId="0" xr:uid="{00000000-0006-0000-0A00-000034000000}">
      <text>
        <r>
          <rPr>
            <sz val="8"/>
            <color indexed="81"/>
            <rFont val="Tahoma"/>
            <family val="2"/>
          </rPr>
          <t xml:space="preserve">We simply brought the account balance forward and adjusted for changes per the Cash Flow Statement. </t>
        </r>
      </text>
    </comment>
    <comment ref="C90" authorId="0" shapeId="0" xr:uid="{00000000-0006-0000-0A00-000035000000}">
      <text>
        <r>
          <rPr>
            <sz val="8"/>
            <color indexed="81"/>
            <rFont val="Tahoma"/>
            <family val="2"/>
          </rPr>
          <t xml:space="preserve">We simply brought the account balance forward and adjusted for changes per the Cash Flow Statement. </t>
        </r>
      </text>
    </comment>
    <comment ref="C91" authorId="0" shapeId="0" xr:uid="{00000000-0006-0000-0A00-000036000000}">
      <text>
        <r>
          <rPr>
            <sz val="8"/>
            <color indexed="81"/>
            <rFont val="Tahoma"/>
            <family val="2"/>
          </rPr>
          <t>Projected out based on increasing acquisitions in other companies.</t>
        </r>
      </text>
    </comment>
    <comment ref="C96" authorId="0" shapeId="0" xr:uid="{00000000-0006-0000-0A00-000037000000}">
      <text>
        <r>
          <rPr>
            <sz val="8"/>
            <color indexed="81"/>
            <rFont val="Tahoma"/>
            <family val="2"/>
          </rPr>
          <t>Projected based on % of Revenues per our Vertical Analysis. Same as what we did with most of our current assets.</t>
        </r>
      </text>
    </comment>
    <comment ref="C97" authorId="0" shapeId="0" xr:uid="{00000000-0006-0000-0A00-000038000000}">
      <text>
        <r>
          <rPr>
            <sz val="8"/>
            <color indexed="81"/>
            <rFont val="Tahoma"/>
            <family val="2"/>
          </rPr>
          <t xml:space="preserve">Same concept as for accounts payable and current assets, we took a percent per our Vertical Analysis and applied it to Total Revenues per this worksheet. </t>
        </r>
      </text>
    </comment>
    <comment ref="C98" authorId="0" shapeId="0" xr:uid="{00000000-0006-0000-0A00-000039000000}">
      <text>
        <r>
          <rPr>
            <sz val="8"/>
            <color indexed="81"/>
            <rFont val="Tahoma"/>
            <family val="2"/>
          </rPr>
          <t>Estimated based on past financials and what we expect to happen with longterm debt borrowings.</t>
        </r>
      </text>
    </comment>
    <comment ref="C99" authorId="0" shapeId="0" xr:uid="{00000000-0006-0000-0A00-00003A000000}">
      <text>
        <r>
          <rPr>
            <sz val="8"/>
            <color indexed="81"/>
            <rFont val="Tahoma"/>
            <family val="2"/>
          </rPr>
          <t xml:space="preserve">Same concept as Accounts Payable, estimated based on % of Revenues per Vertical Analysis. </t>
        </r>
      </text>
    </comment>
    <comment ref="C102" authorId="0" shapeId="0" xr:uid="{00000000-0006-0000-0A00-00003B000000}">
      <text>
        <r>
          <rPr>
            <sz val="8"/>
            <color indexed="81"/>
            <rFont val="Tahoma"/>
            <family val="2"/>
          </rPr>
          <t xml:space="preserve">We simply brought forward our longterm liability balance by adding proceeds per the Cash Flow Statement and deducting payments on debt per the Cash Flow Statement. </t>
        </r>
      </text>
    </comment>
    <comment ref="C103" authorId="0" shapeId="0" xr:uid="{00000000-0006-0000-0A00-00003C000000}">
      <text>
        <r>
          <rPr>
            <sz val="8"/>
            <color indexed="81"/>
            <rFont val="Tahoma"/>
            <family val="2"/>
          </rPr>
          <t>Estimated based on past historical trends and no anticipated changes in the use of Other Longterm Liab (such as leasing arrangements).</t>
        </r>
      </text>
    </comment>
    <comment ref="C109" authorId="0" shapeId="0" xr:uid="{00000000-0006-0000-0A00-00003D000000}">
      <text>
        <r>
          <rPr>
            <sz val="8"/>
            <color indexed="81"/>
            <rFont val="Tahoma"/>
            <family val="2"/>
          </rPr>
          <t>No changes are expected with common equity. We simply used a flat amount per prior financials.</t>
        </r>
      </text>
    </comment>
    <comment ref="C110" authorId="0" shapeId="0" xr:uid="{00000000-0006-0000-0A00-00003E000000}">
      <text>
        <r>
          <rPr>
            <sz val="8"/>
            <color indexed="81"/>
            <rFont val="Tahoma"/>
            <family val="2"/>
          </rPr>
          <t>This is an estimated flat amount per past financials. It could change once we start our stock buyback program.</t>
        </r>
      </text>
    </comment>
    <comment ref="C111" authorId="0" shapeId="0" xr:uid="{00000000-0006-0000-0A00-00003F000000}">
      <text>
        <r>
          <rPr>
            <sz val="8"/>
            <color indexed="81"/>
            <rFont val="Tahoma"/>
            <family val="2"/>
          </rPr>
          <t xml:space="preserve">This is an estimate based on simply bringing the balance forward by adding Net Income and subtracting Dividends per above. </t>
        </r>
      </text>
    </comment>
    <comment ref="C113" authorId="0" shapeId="0" xr:uid="{00000000-0006-0000-0A00-000040000000}">
      <text>
        <r>
          <rPr>
            <sz val="8"/>
            <color indexed="81"/>
            <rFont val="Tahoma"/>
            <family val="2"/>
          </rPr>
          <t xml:space="preserve">This is a rough estimate based on the prior balance, brought forward by simply looking at what we expect to pay for the buyback of stock within our Cash Flow Statement per above. </t>
        </r>
      </text>
    </comment>
    <comment ref="C116" authorId="0" shapeId="0" xr:uid="{00000000-0006-0000-0A00-000041000000}">
      <text>
        <r>
          <rPr>
            <sz val="8"/>
            <color indexed="81"/>
            <rFont val="Tahoma"/>
            <family val="2"/>
          </rPr>
          <t>The out of balance amount represents either a deficit (requires internal and/or external financing) or a surplus - additional forecasted income closed to Retained Earnings.</t>
        </r>
      </text>
    </comment>
    <comment ref="C119" authorId="0" shapeId="0" xr:uid="{00000000-0006-0000-0A00-000042000000}">
      <text>
        <r>
          <rPr>
            <sz val="8"/>
            <color indexed="81"/>
            <rFont val="Tahoma"/>
            <family val="2"/>
          </rPr>
          <t xml:space="preserve">Formula for calculating External Financing Required:
((Assets that change with Sales / Sales) x Projected Sales Increase) - ((Liabilities that change with Sales / Sales) x Projected Sales Increase) - (Profit Margin x Projected Sales x Retention Ratio)   </t>
        </r>
      </text>
    </comment>
    <comment ref="C120" authorId="0" shapeId="0" xr:uid="{00000000-0006-0000-0A00-000043000000}">
      <text>
        <r>
          <rPr>
            <sz val="8"/>
            <color indexed="81"/>
            <rFont val="Tahoma"/>
            <family val="2"/>
          </rPr>
          <t xml:space="preserve">We selected only current assets, but Fixed Assets may also change given movements with Sales. </t>
        </r>
      </text>
    </comment>
    <comment ref="C122" authorId="0" shapeId="0" xr:uid="{00000000-0006-0000-0A00-000044000000}">
      <text>
        <r>
          <rPr>
            <sz val="8"/>
            <color indexed="81"/>
            <rFont val="Tahoma"/>
            <family val="2"/>
          </rPr>
          <t xml:space="preserve">We selected only current liabilities, but longterm liabilities may move given changes with sales.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Matt H. Evans</author>
  </authors>
  <commentList>
    <comment ref="A1" authorId="0" shapeId="0" xr:uid="{00000000-0006-0000-0B00-000001000000}">
      <text>
        <r>
          <rPr>
            <b/>
            <sz val="8"/>
            <color indexed="81"/>
            <rFont val="Tahoma"/>
            <family val="2"/>
          </rPr>
          <t>Return to 1st Worksheet</t>
        </r>
      </text>
    </comment>
    <comment ref="B1" authorId="0" shapeId="0" xr:uid="{00000000-0006-0000-0B00-000002000000}">
      <text>
        <r>
          <rPr>
            <b/>
            <sz val="8"/>
            <color indexed="81"/>
            <rFont val="Tahoma"/>
            <family val="2"/>
          </rPr>
          <t>General Input</t>
        </r>
      </text>
    </comment>
    <comment ref="A2" authorId="0" shapeId="0" xr:uid="{00000000-0006-0000-0B00-000003000000}">
      <text>
        <r>
          <rPr>
            <b/>
            <sz val="8"/>
            <color indexed="81"/>
            <rFont val="Tahoma"/>
            <family val="2"/>
          </rPr>
          <t>Balance Sheet</t>
        </r>
      </text>
    </comment>
    <comment ref="B2" authorId="0" shapeId="0" xr:uid="{00000000-0006-0000-0B00-000004000000}">
      <text>
        <r>
          <rPr>
            <b/>
            <sz val="8"/>
            <color indexed="81"/>
            <rFont val="Tahoma"/>
            <family val="2"/>
          </rPr>
          <t>Income Statement</t>
        </r>
      </text>
    </comment>
    <comment ref="A3" authorId="0" shapeId="0" xr:uid="{00000000-0006-0000-0B00-000005000000}">
      <text>
        <r>
          <rPr>
            <b/>
            <sz val="8"/>
            <color indexed="81"/>
            <rFont val="Tahoma"/>
            <family val="2"/>
          </rPr>
          <t>Cash Flow Statement</t>
        </r>
      </text>
    </comment>
    <comment ref="B3" authorId="0" shapeId="0" xr:uid="{00000000-0006-0000-0B00-000006000000}">
      <text>
        <r>
          <rPr>
            <b/>
            <sz val="8"/>
            <color indexed="81"/>
            <rFont val="Tahoma"/>
            <family val="2"/>
          </rPr>
          <t>Key Financials</t>
        </r>
      </text>
    </comment>
    <comment ref="A4" authorId="0" shapeId="0" xr:uid="{00000000-0006-0000-0B00-000007000000}">
      <text>
        <r>
          <rPr>
            <b/>
            <sz val="8"/>
            <color indexed="81"/>
            <rFont val="Tahoma"/>
            <family val="2"/>
          </rPr>
          <t>Ratio Analysis</t>
        </r>
      </text>
    </comment>
    <comment ref="B4" authorId="0" shapeId="0" xr:uid="{00000000-0006-0000-0B00-000008000000}">
      <text>
        <r>
          <rPr>
            <b/>
            <sz val="8"/>
            <color indexed="81"/>
            <rFont val="Tahoma"/>
            <family val="2"/>
          </rPr>
          <t>Benchmark Analysis</t>
        </r>
      </text>
    </comment>
    <comment ref="A5" authorId="0" shapeId="0" xr:uid="{00000000-0006-0000-0B00-000009000000}">
      <text>
        <r>
          <rPr>
            <b/>
            <sz val="8"/>
            <color indexed="81"/>
            <rFont val="Tahoma"/>
            <family val="2"/>
          </rPr>
          <t>Horizontal Analysis</t>
        </r>
      </text>
    </comment>
    <comment ref="B5" authorId="0" shapeId="0" xr:uid="{00000000-0006-0000-0B00-00000A000000}">
      <text>
        <r>
          <rPr>
            <b/>
            <sz val="8"/>
            <color indexed="81"/>
            <rFont val="Tahoma"/>
            <family val="2"/>
          </rPr>
          <t>Vertical Analysis</t>
        </r>
      </text>
    </comment>
    <comment ref="A6" authorId="0" shapeId="0" xr:uid="{00000000-0006-0000-0B00-00000B000000}">
      <text>
        <r>
          <rPr>
            <b/>
            <sz val="8"/>
            <color indexed="81"/>
            <rFont val="Tahoma"/>
            <family val="2"/>
          </rPr>
          <t>Pro Forma Financials - Simple Projection Model</t>
        </r>
      </text>
    </comment>
    <comment ref="B6" authorId="0" shapeId="0" xr:uid="{00000000-0006-0000-0B00-00000C000000}">
      <text>
        <r>
          <rPr>
            <b/>
            <sz val="8"/>
            <color indexed="81"/>
            <rFont val="Tahoma"/>
            <family val="2"/>
          </rPr>
          <t>Pro Forma Financials - Linear Trend Model</t>
        </r>
      </text>
    </comment>
    <comment ref="A7" authorId="0" shapeId="0" xr:uid="{00000000-0006-0000-0B00-00000D000000}">
      <text>
        <r>
          <rPr>
            <b/>
            <sz val="8"/>
            <color indexed="81"/>
            <rFont val="Tahoma"/>
            <family val="2"/>
          </rPr>
          <t>Pro Forma Financials - Exponential Smoothing</t>
        </r>
      </text>
    </comment>
    <comment ref="B7" authorId="0" shapeId="0" xr:uid="{00000000-0006-0000-0B00-00000E000000}">
      <text>
        <r>
          <rPr>
            <b/>
            <sz val="8"/>
            <color indexed="81"/>
            <rFont val="Tahoma"/>
            <family val="2"/>
          </rPr>
          <t>Scenario Analysis</t>
        </r>
      </text>
    </comment>
    <comment ref="A8" authorId="0" shapeId="0" xr:uid="{00000000-0006-0000-0B00-00000F000000}">
      <text>
        <r>
          <rPr>
            <b/>
            <sz val="8"/>
            <color indexed="81"/>
            <rFont val="Tahoma"/>
            <family val="2"/>
          </rPr>
          <t>Budget Analysis</t>
        </r>
      </text>
    </comment>
    <comment ref="B8" authorId="0" shapeId="0" xr:uid="{00000000-0006-0000-0B00-000010000000}">
      <text>
        <r>
          <rPr>
            <b/>
            <sz val="8"/>
            <color indexed="81"/>
            <rFont val="Tahoma"/>
            <family val="2"/>
          </rPr>
          <t>Final Budgets</t>
        </r>
      </text>
    </comment>
    <comment ref="G35" authorId="0" shapeId="0" xr:uid="{00000000-0006-0000-0B00-000011000000}">
      <text>
        <r>
          <rPr>
            <sz val="8"/>
            <color indexed="81"/>
            <rFont val="Tahoma"/>
            <family val="2"/>
          </rPr>
          <t>You can also use the =Forecast or =Trend function in Excel to calculate linear values. We used the =Trend function for our forecast which follows below</t>
        </r>
      </text>
    </comment>
    <comment ref="C55" authorId="0" shapeId="0" xr:uid="{00000000-0006-0000-0B00-000012000000}">
      <text>
        <r>
          <rPr>
            <sz val="8"/>
            <color indexed="81"/>
            <rFont val="Tahoma"/>
            <family val="2"/>
          </rPr>
          <t xml:space="preserve">Gross Revenues have been projected out along a straight linear line using regression analysis. The historical information is the source of the analysis using the TREND function in Microsoft Excel. </t>
        </r>
      </text>
    </comment>
    <comment ref="C57" authorId="0" shapeId="0" xr:uid="{00000000-0006-0000-0B00-000013000000}">
      <text>
        <r>
          <rPr>
            <sz val="8"/>
            <color indexed="81"/>
            <rFont val="Tahoma"/>
            <family val="2"/>
          </rPr>
          <t xml:space="preserve">We also applied linear regression to forecast our Cost of Goods Sold since it may move slightly differently than Revenues. </t>
        </r>
      </text>
    </comment>
    <comment ref="C59" authorId="0" shapeId="0" xr:uid="{00000000-0006-0000-0B00-000014000000}">
      <text>
        <r>
          <rPr>
            <sz val="8"/>
            <color indexed="81"/>
            <rFont val="Tahoma"/>
            <family val="2"/>
          </rPr>
          <t xml:space="preserve">We also applied regression analysis to forecast our Operating Expenses. </t>
        </r>
      </text>
    </comment>
    <comment ref="C61" authorId="0" shapeId="0" xr:uid="{00000000-0006-0000-0B00-000015000000}">
      <text>
        <r>
          <rPr>
            <sz val="8"/>
            <color indexed="81"/>
            <rFont val="Tahoma"/>
            <family val="2"/>
          </rPr>
          <t xml:space="preserve">Sum of Gross Revenues, Cost of Goods Sold, and Operating Expenses. </t>
        </r>
      </text>
    </comment>
    <comment ref="C63" authorId="0" shapeId="0" xr:uid="{00000000-0006-0000-0B00-000016000000}">
      <text>
        <r>
          <rPr>
            <sz val="8"/>
            <color indexed="81"/>
            <rFont val="Tahoma"/>
            <family val="2"/>
          </rPr>
          <t xml:space="preserve">Since there appears to be a gradual trend in our Non Operating Expenses, we also applied linear regression to forecast this item. </t>
        </r>
      </text>
    </comment>
    <comment ref="C65" authorId="0" shapeId="0" xr:uid="{00000000-0006-0000-0B00-000017000000}">
      <text>
        <r>
          <rPr>
            <sz val="8"/>
            <color indexed="81"/>
            <rFont val="Tahoma"/>
            <family val="2"/>
          </rPr>
          <t xml:space="preserve">Once again, we simply took an average from our historical data to project out Extra Ordinary Items. If there is a trend, then we may need to consider using regression analysis. </t>
        </r>
      </text>
    </comment>
    <comment ref="C67" authorId="0" shapeId="0" xr:uid="{00000000-0006-0000-0B00-000018000000}">
      <text>
        <r>
          <rPr>
            <sz val="8"/>
            <color indexed="81"/>
            <rFont val="Tahoma"/>
            <family val="2"/>
          </rPr>
          <t xml:space="preserve">This is our forecasted Net Income based on linear regression analysis. </t>
        </r>
      </text>
    </comment>
    <comment ref="C73" authorId="0" shapeId="0" xr:uid="{00000000-0006-0000-0B00-000019000000}">
      <text>
        <r>
          <rPr>
            <sz val="8"/>
            <color indexed="81"/>
            <rFont val="Tahoma"/>
            <family val="2"/>
          </rPr>
          <t>Carried forward per above.</t>
        </r>
      </text>
    </comment>
    <comment ref="C74" authorId="0" shapeId="0" xr:uid="{00000000-0006-0000-0B00-00001A000000}">
      <text>
        <r>
          <rPr>
            <sz val="8"/>
            <color indexed="81"/>
            <rFont val="Tahoma"/>
            <family val="2"/>
          </rPr>
          <t>Carried forward same estimates as used in the Simple Model - Worksheet 11.</t>
        </r>
      </text>
    </comment>
    <comment ref="C75" authorId="0" shapeId="0" xr:uid="{00000000-0006-0000-0B00-00001B000000}">
      <text>
        <r>
          <rPr>
            <sz val="8"/>
            <color indexed="81"/>
            <rFont val="Tahoma"/>
            <family val="2"/>
          </rPr>
          <t>Carried forward same estimates as used in the Simple Model - Worksheet 11.</t>
        </r>
      </text>
    </comment>
    <comment ref="C76" authorId="0" shapeId="0" xr:uid="{00000000-0006-0000-0B00-00001C000000}">
      <text>
        <r>
          <rPr>
            <sz val="8"/>
            <color indexed="81"/>
            <rFont val="Tahoma"/>
            <family val="2"/>
          </rPr>
          <t>Carried forward same estimates as used in the Simple Model - Worksheet 11.</t>
        </r>
      </text>
    </comment>
    <comment ref="C77" authorId="0" shapeId="0" xr:uid="{00000000-0006-0000-0B00-00001D000000}">
      <text>
        <r>
          <rPr>
            <sz val="8"/>
            <color indexed="81"/>
            <rFont val="Tahoma"/>
            <family val="2"/>
          </rPr>
          <t xml:space="preserve">We applied the same concept we used in the Simple Model, apply a % derived from our vertical analysis to Total Revenues. </t>
        </r>
      </text>
    </comment>
    <comment ref="C78" authorId="0" shapeId="0" xr:uid="{00000000-0006-0000-0B00-00001E000000}">
      <text>
        <r>
          <rPr>
            <sz val="8"/>
            <color indexed="81"/>
            <rFont val="Tahoma"/>
            <family val="2"/>
          </rPr>
          <t xml:space="preserve">We applied the same concept we used in the Simple Model, apply a % derived from our vertical analysis to Total Revenues. </t>
        </r>
      </text>
    </comment>
    <comment ref="C83" authorId="0" shapeId="0" xr:uid="{00000000-0006-0000-0B00-00001F000000}">
      <text>
        <r>
          <rPr>
            <sz val="8"/>
            <color indexed="81"/>
            <rFont val="Tahoma"/>
            <family val="2"/>
          </rPr>
          <t>Carried over same estimates from the Simple Model - Worksheet 11.</t>
        </r>
      </text>
    </comment>
    <comment ref="C84" authorId="0" shapeId="0" xr:uid="{00000000-0006-0000-0B00-000020000000}">
      <text>
        <r>
          <rPr>
            <sz val="8"/>
            <color indexed="81"/>
            <rFont val="Tahoma"/>
            <family val="2"/>
          </rPr>
          <t>Carried over same estimates from the Simple Model - Worksheet 11.</t>
        </r>
      </text>
    </comment>
    <comment ref="C85" authorId="0" shapeId="0" xr:uid="{00000000-0006-0000-0B00-000021000000}">
      <text>
        <r>
          <rPr>
            <sz val="8"/>
            <color indexed="81"/>
            <rFont val="Tahoma"/>
            <family val="2"/>
          </rPr>
          <t>Carried over same estimates from the Simple Model - Worksheet 11.</t>
        </r>
      </text>
    </comment>
    <comment ref="C89" authorId="0" shapeId="0" xr:uid="{00000000-0006-0000-0B00-000022000000}">
      <text>
        <r>
          <rPr>
            <sz val="8"/>
            <color indexed="81"/>
            <rFont val="Tahoma"/>
            <family val="2"/>
          </rPr>
          <t>Carried over same estimates from the Simple Model - Worksheet 11.</t>
        </r>
      </text>
    </comment>
    <comment ref="C90" authorId="0" shapeId="0" xr:uid="{00000000-0006-0000-0B00-000023000000}">
      <text>
        <r>
          <rPr>
            <sz val="8"/>
            <color indexed="81"/>
            <rFont val="Tahoma"/>
            <family val="2"/>
          </rPr>
          <t>Carried over same estimates from the Simple Model - Worksheet 11.</t>
        </r>
      </text>
    </comment>
    <comment ref="C91" authorId="0" shapeId="0" xr:uid="{00000000-0006-0000-0B00-000024000000}">
      <text>
        <r>
          <rPr>
            <sz val="8"/>
            <color indexed="81"/>
            <rFont val="Tahoma"/>
            <family val="2"/>
          </rPr>
          <t>Carried over same estimates from the Simple Model - Worksheet 11.</t>
        </r>
      </text>
    </comment>
    <comment ref="C95" authorId="0" shapeId="0" xr:uid="{00000000-0006-0000-0B00-000025000000}">
      <text>
        <r>
          <rPr>
            <sz val="8"/>
            <color indexed="81"/>
            <rFont val="Tahoma"/>
            <family val="2"/>
          </rPr>
          <t>Carried over same estimates from the Simple Model - Worksheet 11.</t>
        </r>
      </text>
    </comment>
    <comment ref="C96" authorId="0" shapeId="0" xr:uid="{00000000-0006-0000-0B00-000026000000}">
      <text>
        <r>
          <rPr>
            <sz val="8"/>
            <color indexed="81"/>
            <rFont val="Tahoma"/>
            <family val="2"/>
          </rPr>
          <t>Carried over same estimates from the Simple Model - Worksheet 11.</t>
        </r>
      </text>
    </comment>
    <comment ref="C97" authorId="0" shapeId="0" xr:uid="{00000000-0006-0000-0B00-000027000000}">
      <text>
        <r>
          <rPr>
            <sz val="8"/>
            <color indexed="81"/>
            <rFont val="Tahoma"/>
            <family val="2"/>
          </rPr>
          <t>Carried over same estimates from the Simple Model - Worksheet 11.</t>
        </r>
      </text>
    </comment>
    <comment ref="C115" authorId="0" shapeId="0" xr:uid="{00000000-0006-0000-0B00-000028000000}">
      <text>
        <r>
          <rPr>
            <sz val="8"/>
            <color indexed="81"/>
            <rFont val="Tahoma"/>
            <family val="2"/>
          </rPr>
          <t>Carried forward from above.</t>
        </r>
      </text>
    </comment>
    <comment ref="C116" authorId="0" shapeId="0" xr:uid="{00000000-0006-0000-0B00-000029000000}">
      <text>
        <r>
          <rPr>
            <sz val="8"/>
            <color indexed="81"/>
            <rFont val="Tahoma"/>
            <family val="2"/>
          </rPr>
          <t xml:space="preserve">No material balance was anticipated. </t>
        </r>
      </text>
    </comment>
    <comment ref="C117" authorId="0" shapeId="0" xr:uid="{00000000-0006-0000-0B00-00002A000000}">
      <text>
        <r>
          <rPr>
            <sz val="8"/>
            <color indexed="81"/>
            <rFont val="Tahoma"/>
            <family val="2"/>
          </rPr>
          <t>We applied a % of Total Revenues. The % was based on the Vertical Analysis - Worksheet 10.</t>
        </r>
      </text>
    </comment>
    <comment ref="C118" authorId="0" shapeId="0" xr:uid="{00000000-0006-0000-0B00-00002B000000}">
      <text>
        <r>
          <rPr>
            <sz val="8"/>
            <color indexed="81"/>
            <rFont val="Tahoma"/>
            <family val="2"/>
          </rPr>
          <t>We applied a % of Total Revenues. The % was based on the Vertical Analysis - Worksheet 10.</t>
        </r>
      </text>
    </comment>
    <comment ref="C119" authorId="0" shapeId="0" xr:uid="{00000000-0006-0000-0B00-00002C000000}">
      <text>
        <r>
          <rPr>
            <sz val="8"/>
            <color indexed="81"/>
            <rFont val="Tahoma"/>
            <family val="2"/>
          </rPr>
          <t>We applied a % of Total Revenues. The % was based on the Vertical Analysis - Worksheet 10.</t>
        </r>
      </text>
    </comment>
    <comment ref="C122" authorId="0" shapeId="0" xr:uid="{00000000-0006-0000-0B00-00002D000000}">
      <text>
        <r>
          <rPr>
            <sz val="8"/>
            <color indexed="81"/>
            <rFont val="Tahoma"/>
            <family val="2"/>
          </rPr>
          <t xml:space="preserve">We simply brought the account balance forward, adjusted it per our projections in the Cash Flow Statement. </t>
        </r>
      </text>
    </comment>
    <comment ref="C123" authorId="0" shapeId="0" xr:uid="{00000000-0006-0000-0B00-00002E000000}">
      <text>
        <r>
          <rPr>
            <sz val="8"/>
            <color indexed="81"/>
            <rFont val="Tahoma"/>
            <family val="2"/>
          </rPr>
          <t xml:space="preserve">We simply brought the account balance forward, adjusted it per our projections in the Cash Flow Statement. </t>
        </r>
      </text>
    </comment>
    <comment ref="C125" authorId="0" shapeId="0" xr:uid="{00000000-0006-0000-0B00-00002F000000}">
      <text>
        <r>
          <rPr>
            <sz val="8"/>
            <color indexed="81"/>
            <rFont val="Tahoma"/>
            <family val="2"/>
          </rPr>
          <t xml:space="preserve">We simply brought the account balance forward and adjusted for changes per the Cash Flow Statement. </t>
        </r>
      </text>
    </comment>
    <comment ref="C126" authorId="0" shapeId="0" xr:uid="{00000000-0006-0000-0B00-000030000000}">
      <text>
        <r>
          <rPr>
            <sz val="8"/>
            <color indexed="81"/>
            <rFont val="Tahoma"/>
            <family val="2"/>
          </rPr>
          <t xml:space="preserve">We simply brought the account balance forward and adjusted for changes per the Cash Flow Statement. </t>
        </r>
      </text>
    </comment>
    <comment ref="C127" authorId="0" shapeId="0" xr:uid="{00000000-0006-0000-0B00-000031000000}">
      <text>
        <r>
          <rPr>
            <sz val="8"/>
            <color indexed="81"/>
            <rFont val="Tahoma"/>
            <family val="2"/>
          </rPr>
          <t>Projected out based on increasing acquisitions in other companies.</t>
        </r>
      </text>
    </comment>
    <comment ref="C132" authorId="0" shapeId="0" xr:uid="{00000000-0006-0000-0B00-000032000000}">
      <text>
        <r>
          <rPr>
            <sz val="8"/>
            <color indexed="81"/>
            <rFont val="Tahoma"/>
            <family val="2"/>
          </rPr>
          <t>Projected based on % of Revenues per our Vertical Analysis. Same as what we did with most of our current assets.</t>
        </r>
      </text>
    </comment>
    <comment ref="C133" authorId="0" shapeId="0" xr:uid="{00000000-0006-0000-0B00-000033000000}">
      <text>
        <r>
          <rPr>
            <sz val="8"/>
            <color indexed="81"/>
            <rFont val="Tahoma"/>
            <family val="2"/>
          </rPr>
          <t xml:space="preserve">Same concept as for accounts payable and current assets, we took a percent per our Vertical Analysis and applied it to Total Revenues per this worksheet. </t>
        </r>
      </text>
    </comment>
    <comment ref="C134" authorId="0" shapeId="0" xr:uid="{00000000-0006-0000-0B00-000034000000}">
      <text>
        <r>
          <rPr>
            <sz val="8"/>
            <color indexed="81"/>
            <rFont val="Tahoma"/>
            <family val="2"/>
          </rPr>
          <t>We simply posted the same projection from our Simple Model in Worksheet 11.</t>
        </r>
      </text>
    </comment>
    <comment ref="C135" authorId="0" shapeId="0" xr:uid="{00000000-0006-0000-0B00-000035000000}">
      <text>
        <r>
          <rPr>
            <sz val="8"/>
            <color indexed="81"/>
            <rFont val="Tahoma"/>
            <family val="2"/>
          </rPr>
          <t xml:space="preserve">Same concept as Accounts Payable, estimated based on % of Revenues per Vertical Analysis. </t>
        </r>
      </text>
    </comment>
    <comment ref="C138" authorId="0" shapeId="0" xr:uid="{00000000-0006-0000-0B00-000036000000}">
      <text>
        <r>
          <rPr>
            <sz val="8"/>
            <color indexed="81"/>
            <rFont val="Tahoma"/>
            <family val="2"/>
          </rPr>
          <t>We posted the same estimate used in the Simple Model on Worksheet 11.</t>
        </r>
      </text>
    </comment>
    <comment ref="C139" authorId="0" shapeId="0" xr:uid="{00000000-0006-0000-0B00-000037000000}">
      <text>
        <r>
          <rPr>
            <sz val="8"/>
            <color indexed="81"/>
            <rFont val="Tahoma"/>
            <family val="2"/>
          </rPr>
          <t>We posted the same estimate used in the Simple Model on Worksheet 11.</t>
        </r>
      </text>
    </comment>
    <comment ref="C145" authorId="0" shapeId="0" xr:uid="{00000000-0006-0000-0B00-000038000000}">
      <text>
        <r>
          <rPr>
            <sz val="8"/>
            <color indexed="81"/>
            <rFont val="Tahoma"/>
            <family val="2"/>
          </rPr>
          <t xml:space="preserve">Posted the same estimate used in the Simple Model on Worksheet 11. </t>
        </r>
      </text>
    </comment>
    <comment ref="C146" authorId="0" shapeId="0" xr:uid="{00000000-0006-0000-0B00-000039000000}">
      <text>
        <r>
          <rPr>
            <sz val="8"/>
            <color indexed="81"/>
            <rFont val="Tahoma"/>
            <family val="2"/>
          </rPr>
          <t xml:space="preserve">Posted the same estimate used in the Simple Model on Worksheet 11. </t>
        </r>
      </text>
    </comment>
    <comment ref="C148" authorId="0" shapeId="0" xr:uid="{00000000-0006-0000-0B00-00003A000000}">
      <text>
        <r>
          <rPr>
            <sz val="8"/>
            <color indexed="81"/>
            <rFont val="Tahoma"/>
            <family val="2"/>
          </rPr>
          <t xml:space="preserve">Posted the same estimate used in the Simple Model on Worksheet 11. </t>
        </r>
      </text>
    </comment>
    <comment ref="C149" authorId="0" shapeId="0" xr:uid="{00000000-0006-0000-0B00-00003B000000}">
      <text>
        <r>
          <rPr>
            <sz val="8"/>
            <color indexed="81"/>
            <rFont val="Tahoma"/>
            <family val="2"/>
          </rPr>
          <t xml:space="preserve">Posted the same estimate used in the Simple Model on Worksheet 11. </t>
        </r>
      </text>
    </comment>
    <comment ref="C152" authorId="0" shapeId="0" xr:uid="{00000000-0006-0000-0B00-00003C000000}">
      <text>
        <r>
          <rPr>
            <sz val="8"/>
            <color indexed="81"/>
            <rFont val="Tahoma"/>
            <family val="2"/>
          </rPr>
          <t>The out of balance amount represents either a deficit (requires internal and/or external financing) or a surplus - additional forecasted income closed to Retained Earnings.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Matt H. Evans</author>
  </authors>
  <commentList>
    <comment ref="A1" authorId="0" shapeId="0" xr:uid="{00000000-0006-0000-0C00-000001000000}">
      <text>
        <r>
          <rPr>
            <b/>
            <sz val="8"/>
            <color indexed="81"/>
            <rFont val="Tahoma"/>
            <family val="2"/>
          </rPr>
          <t>Return to 1st Worksheet</t>
        </r>
      </text>
    </comment>
    <comment ref="B1" authorId="0" shapeId="0" xr:uid="{00000000-0006-0000-0C00-000002000000}">
      <text>
        <r>
          <rPr>
            <b/>
            <sz val="8"/>
            <color indexed="81"/>
            <rFont val="Tahoma"/>
            <family val="2"/>
          </rPr>
          <t>General Input</t>
        </r>
      </text>
    </comment>
    <comment ref="A2" authorId="0" shapeId="0" xr:uid="{00000000-0006-0000-0C00-000003000000}">
      <text>
        <r>
          <rPr>
            <b/>
            <sz val="8"/>
            <color indexed="81"/>
            <rFont val="Tahoma"/>
            <family val="2"/>
          </rPr>
          <t>Balance Sheet</t>
        </r>
      </text>
    </comment>
    <comment ref="B2" authorId="0" shapeId="0" xr:uid="{00000000-0006-0000-0C00-000004000000}">
      <text>
        <r>
          <rPr>
            <b/>
            <sz val="8"/>
            <color indexed="81"/>
            <rFont val="Tahoma"/>
            <family val="2"/>
          </rPr>
          <t>Income Statement</t>
        </r>
      </text>
    </comment>
    <comment ref="A3" authorId="0" shapeId="0" xr:uid="{00000000-0006-0000-0C00-000005000000}">
      <text>
        <r>
          <rPr>
            <b/>
            <sz val="8"/>
            <color indexed="81"/>
            <rFont val="Tahoma"/>
            <family val="2"/>
          </rPr>
          <t>Cash Flow Statement</t>
        </r>
      </text>
    </comment>
    <comment ref="B3" authorId="0" shapeId="0" xr:uid="{00000000-0006-0000-0C00-000006000000}">
      <text>
        <r>
          <rPr>
            <b/>
            <sz val="8"/>
            <color indexed="81"/>
            <rFont val="Tahoma"/>
            <family val="2"/>
          </rPr>
          <t>Key Financials</t>
        </r>
      </text>
    </comment>
    <comment ref="A4" authorId="0" shapeId="0" xr:uid="{00000000-0006-0000-0C00-000007000000}">
      <text>
        <r>
          <rPr>
            <b/>
            <sz val="8"/>
            <color indexed="81"/>
            <rFont val="Tahoma"/>
            <family val="2"/>
          </rPr>
          <t>Ratio Analysis</t>
        </r>
      </text>
    </comment>
    <comment ref="B4" authorId="0" shapeId="0" xr:uid="{00000000-0006-0000-0C00-000008000000}">
      <text>
        <r>
          <rPr>
            <b/>
            <sz val="8"/>
            <color indexed="81"/>
            <rFont val="Tahoma"/>
            <family val="2"/>
          </rPr>
          <t>Benchmark Analysis</t>
        </r>
      </text>
    </comment>
    <comment ref="A5" authorId="0" shapeId="0" xr:uid="{00000000-0006-0000-0C00-000009000000}">
      <text>
        <r>
          <rPr>
            <b/>
            <sz val="8"/>
            <color indexed="81"/>
            <rFont val="Tahoma"/>
            <family val="2"/>
          </rPr>
          <t>Horizontal Analysis</t>
        </r>
      </text>
    </comment>
    <comment ref="B5" authorId="0" shapeId="0" xr:uid="{00000000-0006-0000-0C00-00000A000000}">
      <text>
        <r>
          <rPr>
            <b/>
            <sz val="8"/>
            <color indexed="81"/>
            <rFont val="Tahoma"/>
            <family val="2"/>
          </rPr>
          <t>Vertical Analysis</t>
        </r>
      </text>
    </comment>
    <comment ref="A6" authorId="0" shapeId="0" xr:uid="{00000000-0006-0000-0C00-00000B000000}">
      <text>
        <r>
          <rPr>
            <b/>
            <sz val="8"/>
            <color indexed="81"/>
            <rFont val="Tahoma"/>
            <family val="2"/>
          </rPr>
          <t>Pro Forma Financials - Simple Projection Model</t>
        </r>
      </text>
    </comment>
    <comment ref="B6" authorId="0" shapeId="0" xr:uid="{00000000-0006-0000-0C00-00000C000000}">
      <text>
        <r>
          <rPr>
            <b/>
            <sz val="8"/>
            <color indexed="81"/>
            <rFont val="Tahoma"/>
            <family val="2"/>
          </rPr>
          <t>Pro Forma Financials - Linear Trend Model</t>
        </r>
      </text>
    </comment>
    <comment ref="A7" authorId="0" shapeId="0" xr:uid="{00000000-0006-0000-0C00-00000D000000}">
      <text>
        <r>
          <rPr>
            <b/>
            <sz val="8"/>
            <color indexed="81"/>
            <rFont val="Tahoma"/>
            <family val="2"/>
          </rPr>
          <t>Pro Forma Financials - Exponential Smoothing</t>
        </r>
      </text>
    </comment>
    <comment ref="B7" authorId="0" shapeId="0" xr:uid="{00000000-0006-0000-0C00-00000E000000}">
      <text>
        <r>
          <rPr>
            <b/>
            <sz val="8"/>
            <color indexed="81"/>
            <rFont val="Tahoma"/>
            <family val="2"/>
          </rPr>
          <t>Scenario Analysis</t>
        </r>
      </text>
    </comment>
    <comment ref="A8" authorId="0" shapeId="0" xr:uid="{00000000-0006-0000-0C00-00000F000000}">
      <text>
        <r>
          <rPr>
            <b/>
            <sz val="8"/>
            <color indexed="81"/>
            <rFont val="Tahoma"/>
            <family val="2"/>
          </rPr>
          <t>Budget Analysis</t>
        </r>
      </text>
    </comment>
    <comment ref="B8" authorId="0" shapeId="0" xr:uid="{00000000-0006-0000-0C00-000010000000}">
      <text>
        <r>
          <rPr>
            <b/>
            <sz val="8"/>
            <color indexed="81"/>
            <rFont val="Tahoma"/>
            <family val="2"/>
          </rPr>
          <t>Final Budgets</t>
        </r>
      </text>
    </comment>
    <comment ref="C16" authorId="0" shapeId="0" xr:uid="{00000000-0006-0000-0C00-000011000000}">
      <text>
        <r>
          <rPr>
            <sz val="8"/>
            <color indexed="81"/>
            <rFont val="Tahoma"/>
            <family val="2"/>
          </rPr>
          <t xml:space="preserve">We start by entering our historical data into the worksheet so we can reference this data for exponential smoothing. </t>
        </r>
      </text>
    </comment>
    <comment ref="C17" authorId="0" shapeId="0" xr:uid="{00000000-0006-0000-0C00-000012000000}">
      <text>
        <r>
          <rPr>
            <sz val="8"/>
            <color indexed="81"/>
            <rFont val="Tahoma"/>
            <family val="2"/>
          </rPr>
          <t xml:space="preserve">Exponential smoothing usually starts with the historical value as a start point and moves forward using a "dampening" factor. The dampening factor is a weight between 0 and 1. The higher the dampening factor, the more responsive the analysis is to changes in the historical data.
</t>
        </r>
      </text>
    </comment>
    <comment ref="D17" authorId="0" shapeId="0" xr:uid="{00000000-0006-0000-0C00-000013000000}">
      <text>
        <r>
          <rPr>
            <sz val="8"/>
            <color indexed="81"/>
            <rFont val="Tahoma"/>
            <family val="2"/>
          </rPr>
          <t xml:space="preserve">Since we do not have data prior to our initial period, we will start exponential smoothing with the same value as our historical data. </t>
        </r>
      </text>
    </comment>
    <comment ref="C18" authorId="0" shapeId="0" xr:uid="{00000000-0006-0000-0C00-000014000000}">
      <text>
        <r>
          <rPr>
            <sz val="8"/>
            <color indexed="81"/>
            <rFont val="Tahoma"/>
            <family val="2"/>
          </rPr>
          <t>We can also use a simple moving average by assigning weights to prior periods. In order to calculate a moving average for the historical period, we had to go back to previous years and manually calculate the moving average.</t>
        </r>
      </text>
    </comment>
    <comment ref="C20" authorId="0" shapeId="0" xr:uid="{00000000-0006-0000-0C00-000015000000}">
      <text>
        <r>
          <rPr>
            <sz val="8"/>
            <color indexed="81"/>
            <rFont val="Tahoma"/>
            <family val="2"/>
          </rPr>
          <t>Generally, the smoothing factor is less than 1.0, such as .70 and a dampening factor determines the responsiveness of the exponential curve to the data. The sum of the smoothing factor + the dampening factor = 1.0</t>
        </r>
      </text>
    </comment>
    <comment ref="C22" authorId="0" shapeId="0" xr:uid="{00000000-0006-0000-0C00-000016000000}">
      <text>
        <r>
          <rPr>
            <sz val="8"/>
            <color indexed="81"/>
            <rFont val="Tahoma"/>
            <family val="2"/>
          </rPr>
          <t xml:space="preserve">Weights or %'s are assigned to breakout how you want to calculate the moving average. </t>
        </r>
      </text>
    </comment>
    <comment ref="C24" authorId="0" shapeId="0" xr:uid="{00000000-0006-0000-0C00-000017000000}">
      <text>
        <r>
          <rPr>
            <sz val="8"/>
            <color indexed="81"/>
            <rFont val="Tahoma"/>
            <family val="2"/>
          </rPr>
          <t>We can find the optimal smoothing factor for exponential smoothing by minimizing the Mean Squared Error. Minimizing the Mean Squared Error is a common practice used for optimalization of financial models. Additionally, we can use the Solver application in Excel to solve for the optimal value we are looking for.
Go the toolbar and select: Tools =&gt; Solver
Target cell is the Mean Squared Error (cell G30)
Equal is set to min since we want to minimize the target cell
Variable cell is factor we want to optimize (in this case it is the smoothing factor in cell D19)
Two Constraints are added:
D19 &lt;= 1 (cell E18)
D19 &gt;= 0 (cell D18)
Hit Solve and a report worksheet is inserted into the spreadsheet.
See Answer Report 1</t>
        </r>
      </text>
    </comment>
    <comment ref="C35" authorId="0" shapeId="0" xr:uid="{00000000-0006-0000-0C00-000018000000}">
      <text>
        <r>
          <rPr>
            <sz val="8"/>
            <color indexed="81"/>
            <rFont val="Tahoma"/>
            <family val="2"/>
          </rPr>
          <t>We originally assigned three weights for the most three recent years to get a moving average. However, once we used Solver, we found that the optimal moving weights were for four periods and thus, we needed to change our formula.
We applied Solver (Tools &gt; Solver) to minimize the Mean Squared Error as follows:
Set Cell is the Mean Squared Error in Cell G41.
We want to minimize the Set Target Cell.
The (changing cells) variables are the weights which appear in the cell range D20:H20
We added three constraints:
D20:H20 &lt;= E18 (we want all our weights to be less than or equal to 0)
D20:H20 &gt;= D18 (all of our weights must be at least equal to 0)
I20 = E18 (the sum of all weights must add up to 1)
Once we hit solve, Solver replaces the weight percents with the set of weights that minimizes the Mean Squared Error. Results appeared in Answer Report 2.</t>
        </r>
      </text>
    </comment>
    <comment ref="C73" authorId="0" shapeId="0" xr:uid="{00000000-0006-0000-0C00-000019000000}">
      <text>
        <r>
          <rPr>
            <sz val="8"/>
            <color indexed="81"/>
            <rFont val="Tahoma"/>
            <family val="2"/>
          </rPr>
          <t>Gross Revenues have been projected out per our analysis above. No adjustments have been made for growth. Therefore, this forecast represents a "worse case" scenario.</t>
        </r>
      </text>
    </comment>
    <comment ref="C75" authorId="0" shapeId="0" xr:uid="{00000000-0006-0000-0C00-00001A000000}">
      <text>
        <r>
          <rPr>
            <sz val="8"/>
            <color indexed="81"/>
            <rFont val="Tahoma"/>
            <family val="2"/>
          </rPr>
          <t xml:space="preserve">We simply applied the % of Cost of Goods Sold reflected in our vertical analysis worksheet. We took the average of the vertical %'s. </t>
        </r>
      </text>
    </comment>
    <comment ref="C77" authorId="0" shapeId="0" xr:uid="{00000000-0006-0000-0C00-00001B000000}">
      <text>
        <r>
          <rPr>
            <sz val="8"/>
            <color indexed="81"/>
            <rFont val="Tahoma"/>
            <family val="2"/>
          </rPr>
          <t>We also used the vertical analysis % to forecast our Operating Expenses.</t>
        </r>
      </text>
    </comment>
    <comment ref="C79" authorId="0" shapeId="0" xr:uid="{00000000-0006-0000-0C00-00001C000000}">
      <text>
        <r>
          <rPr>
            <sz val="8"/>
            <color indexed="81"/>
            <rFont val="Tahoma"/>
            <family val="2"/>
          </rPr>
          <t xml:space="preserve">Sum of Gross Revenues, Cost of Goods Sold, and Operating Expenses. </t>
        </r>
      </text>
    </comment>
    <comment ref="C81" authorId="0" shapeId="0" xr:uid="{00000000-0006-0000-0C00-00001D000000}">
      <text>
        <r>
          <rPr>
            <sz val="8"/>
            <color indexed="81"/>
            <rFont val="Tahoma"/>
            <family val="2"/>
          </rPr>
          <t xml:space="preserve">We estimated NonOperating Expenses by simply looking at our past historical information. We factored into our forecast some step ups in expenses as we move forward. If there were no trends, we might want to simply take an average.
</t>
        </r>
      </text>
    </comment>
    <comment ref="C83" authorId="0" shapeId="0" xr:uid="{00000000-0006-0000-0C00-00001E000000}">
      <text>
        <r>
          <rPr>
            <sz val="8"/>
            <color indexed="81"/>
            <rFont val="Tahoma"/>
            <family val="2"/>
          </rPr>
          <t xml:space="preserve">Just like our Non Operating Expenses, we simply estimated by looking back at our historical data. If there was no trend, we could have taken an average. </t>
        </r>
      </text>
    </comment>
    <comment ref="C85" authorId="0" shapeId="0" xr:uid="{00000000-0006-0000-0C00-00001F000000}">
      <text>
        <r>
          <rPr>
            <sz val="8"/>
            <color indexed="81"/>
            <rFont val="Tahoma"/>
            <family val="2"/>
          </rPr>
          <t xml:space="preserve">This is our forecasted Net Income based on linear regression analysis. </t>
        </r>
      </text>
    </comment>
    <comment ref="C91" authorId="0" shapeId="0" xr:uid="{00000000-0006-0000-0C00-000020000000}">
      <text>
        <r>
          <rPr>
            <sz val="8"/>
            <color indexed="81"/>
            <rFont val="Tahoma"/>
            <family val="2"/>
          </rPr>
          <t>Carried forward per above.</t>
        </r>
      </text>
    </comment>
    <comment ref="C92" authorId="0" shapeId="0" xr:uid="{00000000-0006-0000-0C00-000021000000}">
      <text>
        <r>
          <rPr>
            <sz val="8"/>
            <color indexed="81"/>
            <rFont val="Tahoma"/>
            <family val="2"/>
          </rPr>
          <t>Depreciation is projected based on planned future capital expenditures. Since no major expenditures of Fixed Assets are planned, we simply projected out incremental increases for future depreciation and amortization.</t>
        </r>
      </text>
    </comment>
    <comment ref="C93" authorId="0" shapeId="0" xr:uid="{00000000-0006-0000-0C00-000022000000}">
      <text>
        <r>
          <rPr>
            <sz val="8"/>
            <color indexed="81"/>
            <rFont val="Tahoma"/>
            <family val="2"/>
          </rPr>
          <t>No material changes are expected.</t>
        </r>
      </text>
    </comment>
    <comment ref="C94" authorId="0" shapeId="0" xr:uid="{00000000-0006-0000-0C00-000023000000}">
      <text>
        <r>
          <rPr>
            <sz val="8"/>
            <color indexed="81"/>
            <rFont val="Tahoma"/>
            <family val="2"/>
          </rPr>
          <t>Per review of past asset sales, most are sold for modest losses. The Financial Planning Department advised that a few sales would be made in the next two to three years. Estimated losses have been projected into our forecast.</t>
        </r>
      </text>
    </comment>
    <comment ref="C95" authorId="0" shapeId="0" xr:uid="{00000000-0006-0000-0C00-000024000000}">
      <text>
        <r>
          <rPr>
            <sz val="8"/>
            <color indexed="81"/>
            <rFont val="Tahoma"/>
            <family val="2"/>
          </rPr>
          <t>We estimated our change in current assets by looking back at our last current asset balance and comparing to a projected balance. The projected balance was calculated as a % of Revenues per review of our vertical analysis.</t>
        </r>
      </text>
    </comment>
    <comment ref="C96" authorId="0" shapeId="0" xr:uid="{00000000-0006-0000-0C00-000025000000}">
      <text>
        <r>
          <rPr>
            <sz val="8"/>
            <color indexed="81"/>
            <rFont val="Tahoma"/>
            <family val="2"/>
          </rPr>
          <t>Same as current assets, we went back to our vertical analysis and applied a % to Revenues to project a current liability balance. We compared this to the previous balance to get a change in current liabilities.</t>
        </r>
      </text>
    </comment>
    <comment ref="C101" authorId="0" shapeId="0" xr:uid="{00000000-0006-0000-0C00-000026000000}">
      <text>
        <r>
          <rPr>
            <sz val="8"/>
            <color indexed="81"/>
            <rFont val="Tahoma"/>
            <family val="2"/>
          </rPr>
          <t xml:space="preserve">Per discussion with Financial Planning and CFO, they did indicate that assets would be sold off since there is a recurring review of underperforming assets with subsequent sale. </t>
        </r>
      </text>
    </comment>
    <comment ref="C102" authorId="0" shapeId="0" xr:uid="{00000000-0006-0000-0C00-000027000000}">
      <text>
        <r>
          <rPr>
            <sz val="8"/>
            <color indexed="81"/>
            <rFont val="Tahoma"/>
            <family val="2"/>
          </rPr>
          <t xml:space="preserve">Per discussions with the Financial Planning Dept and the CFO, we estimated future expected sales of investments. We also reviewed the past historical trend. </t>
        </r>
      </text>
    </comment>
    <comment ref="C103" authorId="0" shapeId="0" xr:uid="{00000000-0006-0000-0C00-000028000000}">
      <text>
        <r>
          <rPr>
            <sz val="8"/>
            <color indexed="81"/>
            <rFont val="Tahoma"/>
            <family val="2"/>
          </rPr>
          <t>The CFO and Financial Planning indicated no other major investment sources would be used for generating cash.</t>
        </r>
      </text>
    </comment>
    <comment ref="C107" authorId="0" shapeId="0" xr:uid="{00000000-0006-0000-0C00-000029000000}">
      <text>
        <r>
          <rPr>
            <sz val="8"/>
            <color indexed="81"/>
            <rFont val="Tahoma"/>
            <family val="2"/>
          </rPr>
          <t xml:space="preserve">A Capital Expenditure Budget was compiled and showed a slowly declining investment pattern in Fixed Assets. The Company has plans to move more into investments in other companies and assets that provide higher returns. In this forecast, we projected sluggish growth related to Net Assets because of the poor sales forecast. </t>
        </r>
      </text>
    </comment>
    <comment ref="C108" authorId="0" shapeId="0" xr:uid="{00000000-0006-0000-0C00-00002A000000}">
      <text>
        <r>
          <rPr>
            <sz val="8"/>
            <color indexed="81"/>
            <rFont val="Tahoma"/>
            <family val="2"/>
          </rPr>
          <t>There was strong indication from management to start investing much more in other companies. Most of the current business lines in place are very mature with declining growth rates. A shift in strategy towards acquiring interest in high growth emerging companies that have similar product / service lines has been approved by Senior Management.  However, under this forecast, we only planned a modest investment strategy over the next three years because this forecast has much slower growth.</t>
        </r>
      </text>
    </comment>
    <comment ref="C109" authorId="0" shapeId="0" xr:uid="{00000000-0006-0000-0C00-00002B000000}">
      <text>
        <r>
          <rPr>
            <sz val="8"/>
            <color indexed="81"/>
            <rFont val="Tahoma"/>
            <family val="2"/>
          </rPr>
          <t>A more conservative approach to purchasing investments is adopted under this forecast compared to the other forecast since this forecast has much lower revenue growth.</t>
        </r>
      </text>
    </comment>
    <comment ref="C119" authorId="0" shapeId="0" xr:uid="{00000000-0006-0000-0C00-00002C000000}">
      <text>
        <r>
          <rPr>
            <sz val="8"/>
            <color indexed="81"/>
            <rFont val="Tahoma"/>
            <family val="2"/>
          </rPr>
          <t>Payments on debt are expected to decline as more internal sources of financing are applied.</t>
        </r>
      </text>
    </comment>
    <comment ref="C120" authorId="0" shapeId="0" xr:uid="{00000000-0006-0000-0C00-00002D000000}">
      <text>
        <r>
          <rPr>
            <sz val="8"/>
            <color indexed="81"/>
            <rFont val="Tahoma"/>
            <family val="2"/>
          </rPr>
          <t xml:space="preserve">Dividends may have to get decline in later years unless higher growth rates can be obtained. </t>
        </r>
      </text>
    </comment>
    <comment ref="C121" authorId="0" shapeId="0" xr:uid="{00000000-0006-0000-0C00-00002E000000}">
      <text>
        <r>
          <rPr>
            <sz val="8"/>
            <color indexed="81"/>
            <rFont val="Tahoma"/>
            <family val="2"/>
          </rPr>
          <t xml:space="preserve">Under the other forecast, we started a stock buyback program. However, under this forecast we did not initiate a stock buyback program due to much lower revenue growth. </t>
        </r>
      </text>
    </comment>
    <comment ref="C133" authorId="0" shapeId="0" xr:uid="{00000000-0006-0000-0C00-00002F000000}">
      <text>
        <r>
          <rPr>
            <sz val="8"/>
            <color indexed="81"/>
            <rFont val="Tahoma"/>
            <family val="2"/>
          </rPr>
          <t>Balance is carried forward per the Cash Flow Statement.</t>
        </r>
      </text>
    </comment>
    <comment ref="C134" authorId="0" shapeId="0" xr:uid="{00000000-0006-0000-0C00-000030000000}">
      <text>
        <r>
          <rPr>
            <sz val="8"/>
            <color indexed="81"/>
            <rFont val="Tahoma"/>
            <family val="2"/>
          </rPr>
          <t>We did forecast any material balances related to Marketable Securities.</t>
        </r>
      </text>
    </comment>
    <comment ref="C135" authorId="0" shapeId="0" xr:uid="{00000000-0006-0000-0C00-000031000000}">
      <text>
        <r>
          <rPr>
            <sz val="8"/>
            <color indexed="81"/>
            <rFont val="Tahoma"/>
            <family val="2"/>
          </rPr>
          <t>Since receivable balances usually move with revenues, we projected this balance as a % of projected revenues. Ref 11-1 * %'s as indicated in our Vertical Analysis. For Accts Receivable we used a flat 10%</t>
        </r>
      </text>
    </comment>
    <comment ref="C136" authorId="0" shapeId="0" xr:uid="{00000000-0006-0000-0C00-000032000000}">
      <text>
        <r>
          <rPr>
            <sz val="8"/>
            <color indexed="81"/>
            <rFont val="Tahoma"/>
            <family val="2"/>
          </rPr>
          <t>Same concept as receivables, we applied a % of Revenues in arriving at inventory. The % was derived by looking at our vertical analysis. For inventory, we used a flat 8% x Total Revenues per Ref 11-1</t>
        </r>
      </text>
    </comment>
    <comment ref="C137" authorId="0" shapeId="0" xr:uid="{00000000-0006-0000-0C00-000033000000}">
      <text>
        <r>
          <rPr>
            <sz val="8"/>
            <color indexed="81"/>
            <rFont val="Tahoma"/>
            <family val="2"/>
          </rPr>
          <t xml:space="preserve">Once again, we simply applied a % (6.5% in this case) to Total Revenues in arriving at Other Current Assets. The 6.5% was derived by looking at our vertical analysis. </t>
        </r>
      </text>
    </comment>
    <comment ref="C140" authorId="0" shapeId="0" xr:uid="{00000000-0006-0000-0C00-000034000000}">
      <text>
        <r>
          <rPr>
            <sz val="8"/>
            <color indexed="81"/>
            <rFont val="Tahoma"/>
            <family val="2"/>
          </rPr>
          <t xml:space="preserve">We simply brought the account balance forward, adjusted it per our projections in the Cash Flow Statement. </t>
        </r>
      </text>
    </comment>
    <comment ref="C141" authorId="0" shapeId="0" xr:uid="{00000000-0006-0000-0C00-000035000000}">
      <text>
        <r>
          <rPr>
            <sz val="8"/>
            <color indexed="81"/>
            <rFont val="Tahoma"/>
            <family val="2"/>
          </rPr>
          <t xml:space="preserve">We simply brought the account balance forward, adjusted it per our projections in the Cash Flow Statement. </t>
        </r>
      </text>
    </comment>
    <comment ref="C143" authorId="0" shapeId="0" xr:uid="{00000000-0006-0000-0C00-000036000000}">
      <text>
        <r>
          <rPr>
            <sz val="8"/>
            <color indexed="81"/>
            <rFont val="Tahoma"/>
            <family val="2"/>
          </rPr>
          <t xml:space="preserve">We simply brought the account balance forward and adjusted for changes per the Cash Flow Statement. </t>
        </r>
      </text>
    </comment>
    <comment ref="C144" authorId="0" shapeId="0" xr:uid="{00000000-0006-0000-0C00-000037000000}">
      <text>
        <r>
          <rPr>
            <sz val="8"/>
            <color indexed="81"/>
            <rFont val="Tahoma"/>
            <family val="2"/>
          </rPr>
          <t xml:space="preserve">We simply brought the account balance forward and adjusted for changes per the Cash Flow Statement. </t>
        </r>
      </text>
    </comment>
    <comment ref="C145" authorId="0" shapeId="0" xr:uid="{00000000-0006-0000-0C00-000038000000}">
      <text>
        <r>
          <rPr>
            <sz val="8"/>
            <color indexed="81"/>
            <rFont val="Tahoma"/>
            <family val="2"/>
          </rPr>
          <t>Projected out based on increasing acquisitions in other companies.</t>
        </r>
      </text>
    </comment>
    <comment ref="C150" authorId="0" shapeId="0" xr:uid="{00000000-0006-0000-0C00-000039000000}">
      <text>
        <r>
          <rPr>
            <sz val="8"/>
            <color indexed="81"/>
            <rFont val="Tahoma"/>
            <family val="2"/>
          </rPr>
          <t>Projected based on % of Revenues per our Vertical Analysis. Same as what we did with most of our current assets.</t>
        </r>
      </text>
    </comment>
    <comment ref="C151" authorId="0" shapeId="0" xr:uid="{00000000-0006-0000-0C00-00003A000000}">
      <text>
        <r>
          <rPr>
            <sz val="8"/>
            <color indexed="81"/>
            <rFont val="Tahoma"/>
            <family val="2"/>
          </rPr>
          <t xml:space="preserve">Same concept as for accounts payable and current assets, we took a percent per our Vertical Analysis and applied it to Total Revenues per this worksheet. </t>
        </r>
      </text>
    </comment>
    <comment ref="C152" authorId="0" shapeId="0" xr:uid="{00000000-0006-0000-0C00-00003B000000}">
      <text>
        <r>
          <rPr>
            <sz val="8"/>
            <color indexed="81"/>
            <rFont val="Tahoma"/>
            <family val="2"/>
          </rPr>
          <t>Estimated based on past financials and what we expect to happen with longterm debt borrowings.</t>
        </r>
      </text>
    </comment>
    <comment ref="C153" authorId="0" shapeId="0" xr:uid="{00000000-0006-0000-0C00-00003C000000}">
      <text>
        <r>
          <rPr>
            <sz val="8"/>
            <color indexed="81"/>
            <rFont val="Tahoma"/>
            <family val="2"/>
          </rPr>
          <t xml:space="preserve">Same concept as Accounts Payable, estimated based on % of Revenues per Vertical Analysis. </t>
        </r>
      </text>
    </comment>
    <comment ref="C156" authorId="0" shapeId="0" xr:uid="{00000000-0006-0000-0C00-00003D000000}">
      <text>
        <r>
          <rPr>
            <sz val="8"/>
            <color indexed="81"/>
            <rFont val="Tahoma"/>
            <family val="2"/>
          </rPr>
          <t xml:space="preserve">We simply brought the balance forward and adjusted for cash flows related to debt. In this forecast, we projected higher levels of debt financing to support sales. </t>
        </r>
      </text>
    </comment>
    <comment ref="C157" authorId="0" shapeId="0" xr:uid="{00000000-0006-0000-0C00-00003E000000}">
      <text>
        <r>
          <rPr>
            <sz val="8"/>
            <color indexed="81"/>
            <rFont val="Tahoma"/>
            <family val="2"/>
          </rPr>
          <t>Estimated based on past historical trends and no anticipated changes in the use of Other Longterm Liab (such as leasing arrangements).</t>
        </r>
      </text>
    </comment>
    <comment ref="C167" authorId="0" shapeId="0" xr:uid="{00000000-0006-0000-0C00-00003F000000}">
      <text>
        <r>
          <rPr>
            <sz val="8"/>
            <color indexed="81"/>
            <rFont val="Tahoma"/>
            <family val="2"/>
          </rPr>
          <t xml:space="preserve">We simply carried forward the balance from the historical Balance Sheet. </t>
        </r>
      </text>
    </comment>
    <comment ref="C170" authorId="0" shapeId="0" xr:uid="{00000000-0006-0000-0C00-000040000000}">
      <text>
        <r>
          <rPr>
            <sz val="8"/>
            <color indexed="81"/>
            <rFont val="Tahoma"/>
            <family val="2"/>
          </rPr>
          <t>The out of balance amount represents either a deficit (requires internal and/or external financing) or a surplus - additional forecasted income closed to Retained Earnings.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Matt H. Evans</author>
  </authors>
  <commentList>
    <comment ref="A1" authorId="0" shapeId="0" xr:uid="{00000000-0006-0000-0D00-000001000000}">
      <text>
        <r>
          <rPr>
            <b/>
            <sz val="8"/>
            <color indexed="81"/>
            <rFont val="Tahoma"/>
            <family val="2"/>
          </rPr>
          <t>Return to 1st Worksheet</t>
        </r>
      </text>
    </comment>
    <comment ref="B1" authorId="0" shapeId="0" xr:uid="{00000000-0006-0000-0D00-000002000000}">
      <text>
        <r>
          <rPr>
            <b/>
            <sz val="8"/>
            <color indexed="81"/>
            <rFont val="Tahoma"/>
            <family val="2"/>
          </rPr>
          <t>General Input</t>
        </r>
      </text>
    </comment>
    <comment ref="A2" authorId="0" shapeId="0" xr:uid="{00000000-0006-0000-0D00-000003000000}">
      <text>
        <r>
          <rPr>
            <b/>
            <sz val="8"/>
            <color indexed="81"/>
            <rFont val="Tahoma"/>
            <family val="2"/>
          </rPr>
          <t>Balance Sheet</t>
        </r>
      </text>
    </comment>
    <comment ref="B2" authorId="0" shapeId="0" xr:uid="{00000000-0006-0000-0D00-000004000000}">
      <text>
        <r>
          <rPr>
            <b/>
            <sz val="8"/>
            <color indexed="81"/>
            <rFont val="Tahoma"/>
            <family val="2"/>
          </rPr>
          <t>Income Statement</t>
        </r>
      </text>
    </comment>
    <comment ref="A3" authorId="0" shapeId="0" xr:uid="{00000000-0006-0000-0D00-000005000000}">
      <text>
        <r>
          <rPr>
            <b/>
            <sz val="8"/>
            <color indexed="81"/>
            <rFont val="Tahoma"/>
            <family val="2"/>
          </rPr>
          <t>Cash Flow Statement</t>
        </r>
      </text>
    </comment>
    <comment ref="B3" authorId="0" shapeId="0" xr:uid="{00000000-0006-0000-0D00-000006000000}">
      <text>
        <r>
          <rPr>
            <b/>
            <sz val="8"/>
            <color indexed="81"/>
            <rFont val="Tahoma"/>
            <family val="2"/>
          </rPr>
          <t>Key Financials</t>
        </r>
      </text>
    </comment>
    <comment ref="A4" authorId="0" shapeId="0" xr:uid="{00000000-0006-0000-0D00-000007000000}">
      <text>
        <r>
          <rPr>
            <b/>
            <sz val="8"/>
            <color indexed="81"/>
            <rFont val="Tahoma"/>
            <family val="2"/>
          </rPr>
          <t>Ratio Analysis</t>
        </r>
      </text>
    </comment>
    <comment ref="B4" authorId="0" shapeId="0" xr:uid="{00000000-0006-0000-0D00-000008000000}">
      <text>
        <r>
          <rPr>
            <b/>
            <sz val="8"/>
            <color indexed="81"/>
            <rFont val="Tahoma"/>
            <family val="2"/>
          </rPr>
          <t>Benchmark Analysis</t>
        </r>
      </text>
    </comment>
    <comment ref="A5" authorId="0" shapeId="0" xr:uid="{00000000-0006-0000-0D00-000009000000}">
      <text>
        <r>
          <rPr>
            <b/>
            <sz val="8"/>
            <color indexed="81"/>
            <rFont val="Tahoma"/>
            <family val="2"/>
          </rPr>
          <t>Horizontal Analysis</t>
        </r>
      </text>
    </comment>
    <comment ref="B5" authorId="0" shapeId="0" xr:uid="{00000000-0006-0000-0D00-00000A000000}">
      <text>
        <r>
          <rPr>
            <b/>
            <sz val="8"/>
            <color indexed="81"/>
            <rFont val="Tahoma"/>
            <family val="2"/>
          </rPr>
          <t>Vertical Analysis</t>
        </r>
      </text>
    </comment>
    <comment ref="A6" authorId="0" shapeId="0" xr:uid="{00000000-0006-0000-0D00-00000B000000}">
      <text>
        <r>
          <rPr>
            <b/>
            <sz val="8"/>
            <color indexed="81"/>
            <rFont val="Tahoma"/>
            <family val="2"/>
          </rPr>
          <t>Pro Forma Financials - Simple Projection Model</t>
        </r>
      </text>
    </comment>
    <comment ref="B6" authorId="0" shapeId="0" xr:uid="{00000000-0006-0000-0D00-00000C000000}">
      <text>
        <r>
          <rPr>
            <b/>
            <sz val="8"/>
            <color indexed="81"/>
            <rFont val="Tahoma"/>
            <family val="2"/>
          </rPr>
          <t>Pro Forma Financials - Linear Trend Model</t>
        </r>
      </text>
    </comment>
    <comment ref="A7" authorId="0" shapeId="0" xr:uid="{00000000-0006-0000-0D00-00000D000000}">
      <text>
        <r>
          <rPr>
            <b/>
            <sz val="8"/>
            <color indexed="81"/>
            <rFont val="Tahoma"/>
            <family val="2"/>
          </rPr>
          <t>Pro Forma Financials - Exponential Smoothing</t>
        </r>
      </text>
    </comment>
    <comment ref="B7" authorId="0" shapeId="0" xr:uid="{00000000-0006-0000-0D00-00000E000000}">
      <text>
        <r>
          <rPr>
            <b/>
            <sz val="8"/>
            <color indexed="81"/>
            <rFont val="Tahoma"/>
            <family val="2"/>
          </rPr>
          <t>Scenario Analysis</t>
        </r>
      </text>
    </comment>
    <comment ref="A8" authorId="0" shapeId="0" xr:uid="{00000000-0006-0000-0D00-00000F000000}">
      <text>
        <r>
          <rPr>
            <b/>
            <sz val="8"/>
            <color indexed="81"/>
            <rFont val="Tahoma"/>
            <family val="2"/>
          </rPr>
          <t>Budget Analysis</t>
        </r>
      </text>
    </comment>
    <comment ref="B8" authorId="0" shapeId="0" xr:uid="{00000000-0006-0000-0D00-000010000000}">
      <text>
        <r>
          <rPr>
            <b/>
            <sz val="8"/>
            <color indexed="81"/>
            <rFont val="Tahoma"/>
            <family val="2"/>
          </rPr>
          <t>Final Budgets</t>
        </r>
      </text>
    </comment>
    <comment ref="C27" authorId="0" shapeId="0" xr:uid="{00000000-0006-0000-0D00-000011000000}">
      <text>
        <r>
          <rPr>
            <sz val="8"/>
            <color indexed="81"/>
            <rFont val="Tahoma"/>
            <family val="2"/>
          </rPr>
          <t xml:space="preserve">Goal Seek finds the value for one cell in a spreadsheet given a "goal" in another cell that contains a formula. Since the "seek" cell must be a value, we need to change the cell or cells into values. In our example, we simply copy the forecast we want to analyze. Next, we changed the cells from formula's to values by copying the cells over themselves and selecting Paste Special / click on the Values option and then paste.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Matt H. Evans</author>
  </authors>
  <commentList>
    <comment ref="A1" authorId="0" shapeId="0" xr:uid="{00000000-0006-0000-0E00-000001000000}">
      <text>
        <r>
          <rPr>
            <b/>
            <sz val="8"/>
            <color indexed="81"/>
            <rFont val="Tahoma"/>
            <family val="2"/>
          </rPr>
          <t>Return to 1st Worksheet</t>
        </r>
      </text>
    </comment>
    <comment ref="B1" authorId="0" shapeId="0" xr:uid="{00000000-0006-0000-0E00-000002000000}">
      <text>
        <r>
          <rPr>
            <b/>
            <sz val="8"/>
            <color indexed="81"/>
            <rFont val="Tahoma"/>
            <family val="2"/>
          </rPr>
          <t>General Input</t>
        </r>
      </text>
    </comment>
    <comment ref="A2" authorId="0" shapeId="0" xr:uid="{00000000-0006-0000-0E00-000003000000}">
      <text>
        <r>
          <rPr>
            <b/>
            <sz val="8"/>
            <color indexed="81"/>
            <rFont val="Tahoma"/>
            <family val="2"/>
          </rPr>
          <t>Balance Sheet</t>
        </r>
      </text>
    </comment>
    <comment ref="B2" authorId="0" shapeId="0" xr:uid="{00000000-0006-0000-0E00-000004000000}">
      <text>
        <r>
          <rPr>
            <b/>
            <sz val="8"/>
            <color indexed="81"/>
            <rFont val="Tahoma"/>
            <family val="2"/>
          </rPr>
          <t>Income Statement</t>
        </r>
      </text>
    </comment>
    <comment ref="A3" authorId="0" shapeId="0" xr:uid="{00000000-0006-0000-0E00-000005000000}">
      <text>
        <r>
          <rPr>
            <b/>
            <sz val="8"/>
            <color indexed="81"/>
            <rFont val="Tahoma"/>
            <family val="2"/>
          </rPr>
          <t>Cash Flow Statement</t>
        </r>
      </text>
    </comment>
    <comment ref="B3" authorId="0" shapeId="0" xr:uid="{00000000-0006-0000-0E00-000006000000}">
      <text>
        <r>
          <rPr>
            <b/>
            <sz val="8"/>
            <color indexed="81"/>
            <rFont val="Tahoma"/>
            <family val="2"/>
          </rPr>
          <t>Key Financials</t>
        </r>
      </text>
    </comment>
    <comment ref="A4" authorId="0" shapeId="0" xr:uid="{00000000-0006-0000-0E00-000007000000}">
      <text>
        <r>
          <rPr>
            <b/>
            <sz val="8"/>
            <color indexed="81"/>
            <rFont val="Tahoma"/>
            <family val="2"/>
          </rPr>
          <t>Ratio Analysis</t>
        </r>
      </text>
    </comment>
    <comment ref="B4" authorId="0" shapeId="0" xr:uid="{00000000-0006-0000-0E00-000008000000}">
      <text>
        <r>
          <rPr>
            <b/>
            <sz val="8"/>
            <color indexed="81"/>
            <rFont val="Tahoma"/>
            <family val="2"/>
          </rPr>
          <t>Benchmark Analysis</t>
        </r>
      </text>
    </comment>
    <comment ref="A5" authorId="0" shapeId="0" xr:uid="{00000000-0006-0000-0E00-000009000000}">
      <text>
        <r>
          <rPr>
            <b/>
            <sz val="8"/>
            <color indexed="81"/>
            <rFont val="Tahoma"/>
            <family val="2"/>
          </rPr>
          <t>Horizontal Analysis</t>
        </r>
      </text>
    </comment>
    <comment ref="B5" authorId="0" shapeId="0" xr:uid="{00000000-0006-0000-0E00-00000A000000}">
      <text>
        <r>
          <rPr>
            <b/>
            <sz val="8"/>
            <color indexed="81"/>
            <rFont val="Tahoma"/>
            <family val="2"/>
          </rPr>
          <t>Vertical Analysis</t>
        </r>
      </text>
    </comment>
    <comment ref="A6" authorId="0" shapeId="0" xr:uid="{00000000-0006-0000-0E00-00000B000000}">
      <text>
        <r>
          <rPr>
            <b/>
            <sz val="8"/>
            <color indexed="81"/>
            <rFont val="Tahoma"/>
            <family val="2"/>
          </rPr>
          <t>Pro Forma Financials - Simple Projection Model</t>
        </r>
      </text>
    </comment>
    <comment ref="B6" authorId="0" shapeId="0" xr:uid="{00000000-0006-0000-0E00-00000C000000}">
      <text>
        <r>
          <rPr>
            <b/>
            <sz val="8"/>
            <color indexed="81"/>
            <rFont val="Tahoma"/>
            <family val="2"/>
          </rPr>
          <t>Pro Forma Financials - Linear Trend Model</t>
        </r>
      </text>
    </comment>
    <comment ref="A7" authorId="0" shapeId="0" xr:uid="{00000000-0006-0000-0E00-00000D000000}">
      <text>
        <r>
          <rPr>
            <b/>
            <sz val="8"/>
            <color indexed="81"/>
            <rFont val="Tahoma"/>
            <family val="2"/>
          </rPr>
          <t>Pro Forma Financials - Exponential Smoothing</t>
        </r>
      </text>
    </comment>
    <comment ref="B7" authorId="0" shapeId="0" xr:uid="{00000000-0006-0000-0E00-00000E000000}">
      <text>
        <r>
          <rPr>
            <b/>
            <sz val="8"/>
            <color indexed="81"/>
            <rFont val="Tahoma"/>
            <family val="2"/>
          </rPr>
          <t>Scenario Analysis</t>
        </r>
      </text>
    </comment>
    <comment ref="A8" authorId="0" shapeId="0" xr:uid="{00000000-0006-0000-0E00-00000F000000}">
      <text>
        <r>
          <rPr>
            <b/>
            <sz val="8"/>
            <color indexed="81"/>
            <rFont val="Tahoma"/>
            <family val="2"/>
          </rPr>
          <t>Budget Analysis</t>
        </r>
      </text>
    </comment>
    <comment ref="B8" authorId="0" shapeId="0" xr:uid="{00000000-0006-0000-0E00-000010000000}">
      <text>
        <r>
          <rPr>
            <b/>
            <sz val="8"/>
            <color indexed="81"/>
            <rFont val="Tahoma"/>
            <family val="2"/>
          </rPr>
          <t>Final Budgets</t>
        </r>
      </text>
    </comment>
    <comment ref="C21" authorId="0" shapeId="0" xr:uid="{00000000-0006-0000-0E00-000011000000}">
      <text>
        <r>
          <rPr>
            <sz val="8"/>
            <color indexed="81"/>
            <rFont val="Tahoma"/>
            <family val="2"/>
          </rPr>
          <t xml:space="preserve">After reviewing all models on a graph and noting that the growth rates are declining for Revenues, a final "declining" model was added to fill out all possible forecast. </t>
        </r>
      </text>
    </comment>
    <comment ref="C55" authorId="0" shapeId="0" xr:uid="{00000000-0006-0000-0E00-000012000000}">
      <text>
        <r>
          <rPr>
            <sz val="8"/>
            <color indexed="81"/>
            <rFont val="Tahoma"/>
            <family val="2"/>
          </rPr>
          <t>A logarithmic trendline is a best-fit curved line that is most useful when the rate of change in the data increases or decreases quickly and then levels out. A logarithmic trendline can use negative and/or positive values.</t>
        </r>
      </text>
    </comment>
    <comment ref="C69" authorId="0" shapeId="0" xr:uid="{00000000-0006-0000-0E00-000013000000}">
      <text>
        <r>
          <rPr>
            <sz val="8"/>
            <color indexed="81"/>
            <rFont val="Tahoma"/>
            <family val="2"/>
          </rPr>
          <t xml:space="preserve">A power trendline is a curved line that is best used with data sets that compare measurements that increase at a specific rate — for example, the acceleration of a race car at 1-second intervals. You cannot create a power trendline if your data contains zero or negative values.
</t>
        </r>
        <r>
          <rPr>
            <b/>
            <sz val="8"/>
            <color indexed="81"/>
            <rFont val="Tahoma"/>
            <family val="2"/>
          </rPr>
          <t xml:space="preserve">
</t>
        </r>
      </text>
    </comment>
    <comment ref="C83" authorId="0" shapeId="0" xr:uid="{00000000-0006-0000-0E00-000014000000}">
      <text>
        <r>
          <rPr>
            <sz val="8"/>
            <color indexed="81"/>
            <rFont val="Tahoma"/>
            <family val="2"/>
          </rPr>
          <t xml:space="preserve">An exponential trendline is a curved line that is most useful when data values rise or fall at increasingly higher rates. You cannot create an exponential trendline if your data contains zero or negative values.
</t>
        </r>
      </text>
    </comment>
    <comment ref="C97" authorId="0" shapeId="0" xr:uid="{00000000-0006-0000-0E00-000015000000}">
      <text>
        <r>
          <rPr>
            <sz val="8"/>
            <color indexed="81"/>
            <rFont val="Tahoma"/>
            <family val="2"/>
          </rPr>
          <t xml:space="preserve">A polynomial trendline is a curved line that is used when data fluctuates. It is useful, for example, for analyzing gains and losses over a large data set. The order of the polynomial can be determined by the number of fluctuations in the data or by how many bends (hills and valleys) appear in the curve. An Order 2 polynomial trendline generally has only one hill or valley. Order 3 generally has one or two hills or valleys. Order 4 generally has up to three.
</t>
        </r>
      </text>
    </comment>
    <comment ref="C99" authorId="0" shapeId="0" xr:uid="{00000000-0006-0000-0E00-000016000000}">
      <text>
        <r>
          <rPr>
            <sz val="8"/>
            <color indexed="81"/>
            <rFont val="Tahoma"/>
            <family val="2"/>
          </rPr>
          <t xml:space="preserve">If you have a third order, then the formula would be:
y = (c3 * x^3) + (c2 * x^2) + (c1 * x^1) + b
and so forth. </t>
        </r>
      </text>
    </comment>
    <comment ref="G100" authorId="0" shapeId="0" xr:uid="{00000000-0006-0000-0E00-000017000000}">
      <text>
        <r>
          <rPr>
            <sz val="8"/>
            <color indexed="81"/>
            <rFont val="Tahoma"/>
            <family val="2"/>
          </rPr>
          <t xml:space="preserve">Entering the polynomial formula is not easy. We need to enter the formula as an array, go back and edit the formula to add the range of powers, and then post again as an array. Here are the steps:
Since we are using 2 powers, we will have two c values and one b value; thus we have an array of three cells (G101:I101).
Highlight all three cells, select the function LINEST, select known y values (E101:E105) and known x values (D101:D105). Do NOT click and paste the values =&gt; Hit Shift / Control / Enter on your keypad at the same time to paste an array. This gives us the slope and intercept without any powers. Next, highlight the three output cells again (G101:I101), edit the formula by adding the powers in brackets; i.e. ^{1,2} to the existing formula. Once again, hit Shift / Control / Enter to paste the array values. </t>
        </r>
      </text>
    </comment>
    <comment ref="F242" authorId="0" shapeId="0" xr:uid="{00000000-0006-0000-0E00-000018000000}">
      <text>
        <r>
          <rPr>
            <sz val="8"/>
            <color indexed="81"/>
            <rFont val="Tahoma"/>
            <family val="2"/>
          </rPr>
          <t>Setting a reasonable limit requires a review of past history and other factors. However, we can begin by looking at the Root Mean Square Error as a starting point.</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Matt H. Evans</author>
  </authors>
  <commentList>
    <comment ref="A1" authorId="0" shapeId="0" xr:uid="{00000000-0006-0000-0F00-000001000000}">
      <text>
        <r>
          <rPr>
            <b/>
            <sz val="8"/>
            <color indexed="81"/>
            <rFont val="Tahoma"/>
            <family val="2"/>
          </rPr>
          <t>Return to 1st Worksheet</t>
        </r>
      </text>
    </comment>
    <comment ref="B1" authorId="0" shapeId="0" xr:uid="{00000000-0006-0000-0F00-000002000000}">
      <text>
        <r>
          <rPr>
            <b/>
            <sz val="8"/>
            <color indexed="81"/>
            <rFont val="Tahoma"/>
            <family val="2"/>
          </rPr>
          <t>General Input</t>
        </r>
      </text>
    </comment>
    <comment ref="A2" authorId="0" shapeId="0" xr:uid="{00000000-0006-0000-0F00-000003000000}">
      <text>
        <r>
          <rPr>
            <b/>
            <sz val="8"/>
            <color indexed="81"/>
            <rFont val="Tahoma"/>
            <family val="2"/>
          </rPr>
          <t>Balance Sheet</t>
        </r>
      </text>
    </comment>
    <comment ref="B2" authorId="0" shapeId="0" xr:uid="{00000000-0006-0000-0F00-000004000000}">
      <text>
        <r>
          <rPr>
            <b/>
            <sz val="8"/>
            <color indexed="81"/>
            <rFont val="Tahoma"/>
            <family val="2"/>
          </rPr>
          <t>Income Statement</t>
        </r>
      </text>
    </comment>
    <comment ref="A3" authorId="0" shapeId="0" xr:uid="{00000000-0006-0000-0F00-000005000000}">
      <text>
        <r>
          <rPr>
            <b/>
            <sz val="8"/>
            <color indexed="81"/>
            <rFont val="Tahoma"/>
            <family val="2"/>
          </rPr>
          <t>Cash Flow Statement</t>
        </r>
      </text>
    </comment>
    <comment ref="B3" authorId="0" shapeId="0" xr:uid="{00000000-0006-0000-0F00-000006000000}">
      <text>
        <r>
          <rPr>
            <b/>
            <sz val="8"/>
            <color indexed="81"/>
            <rFont val="Tahoma"/>
            <family val="2"/>
          </rPr>
          <t>Key Financials</t>
        </r>
      </text>
    </comment>
    <comment ref="A4" authorId="0" shapeId="0" xr:uid="{00000000-0006-0000-0F00-000007000000}">
      <text>
        <r>
          <rPr>
            <b/>
            <sz val="8"/>
            <color indexed="81"/>
            <rFont val="Tahoma"/>
            <family val="2"/>
          </rPr>
          <t>Ratio Analysis</t>
        </r>
      </text>
    </comment>
    <comment ref="B4" authorId="0" shapeId="0" xr:uid="{00000000-0006-0000-0F00-000008000000}">
      <text>
        <r>
          <rPr>
            <b/>
            <sz val="8"/>
            <color indexed="81"/>
            <rFont val="Tahoma"/>
            <family val="2"/>
          </rPr>
          <t>Benchmark Analysis</t>
        </r>
      </text>
    </comment>
    <comment ref="A5" authorId="0" shapeId="0" xr:uid="{00000000-0006-0000-0F00-000009000000}">
      <text>
        <r>
          <rPr>
            <b/>
            <sz val="8"/>
            <color indexed="81"/>
            <rFont val="Tahoma"/>
            <family val="2"/>
          </rPr>
          <t>Horizontal Analysis</t>
        </r>
      </text>
    </comment>
    <comment ref="B5" authorId="0" shapeId="0" xr:uid="{00000000-0006-0000-0F00-00000A000000}">
      <text>
        <r>
          <rPr>
            <b/>
            <sz val="8"/>
            <color indexed="81"/>
            <rFont val="Tahoma"/>
            <family val="2"/>
          </rPr>
          <t>Vertical Analysis</t>
        </r>
      </text>
    </comment>
    <comment ref="A6" authorId="0" shapeId="0" xr:uid="{00000000-0006-0000-0F00-00000B000000}">
      <text>
        <r>
          <rPr>
            <b/>
            <sz val="8"/>
            <color indexed="81"/>
            <rFont val="Tahoma"/>
            <family val="2"/>
          </rPr>
          <t>Pro Forma Financials - Simple Projection Model</t>
        </r>
      </text>
    </comment>
    <comment ref="B6" authorId="0" shapeId="0" xr:uid="{00000000-0006-0000-0F00-00000C000000}">
      <text>
        <r>
          <rPr>
            <b/>
            <sz val="8"/>
            <color indexed="81"/>
            <rFont val="Tahoma"/>
            <family val="2"/>
          </rPr>
          <t>Pro Forma Financials - Linear Trend Model</t>
        </r>
      </text>
    </comment>
    <comment ref="A7" authorId="0" shapeId="0" xr:uid="{00000000-0006-0000-0F00-00000D000000}">
      <text>
        <r>
          <rPr>
            <b/>
            <sz val="8"/>
            <color indexed="81"/>
            <rFont val="Tahoma"/>
            <family val="2"/>
          </rPr>
          <t>Pro Forma Financials - Exponential Smoothing</t>
        </r>
      </text>
    </comment>
    <comment ref="B7" authorId="0" shapeId="0" xr:uid="{00000000-0006-0000-0F00-00000E000000}">
      <text>
        <r>
          <rPr>
            <b/>
            <sz val="8"/>
            <color indexed="81"/>
            <rFont val="Tahoma"/>
            <family val="2"/>
          </rPr>
          <t>Scenario Analysis</t>
        </r>
      </text>
    </comment>
    <comment ref="A8" authorId="0" shapeId="0" xr:uid="{00000000-0006-0000-0F00-00000F000000}">
      <text>
        <r>
          <rPr>
            <b/>
            <sz val="8"/>
            <color indexed="81"/>
            <rFont val="Tahoma"/>
            <family val="2"/>
          </rPr>
          <t>Budget Analysis</t>
        </r>
      </text>
    </comment>
    <comment ref="B8" authorId="0" shapeId="0" xr:uid="{00000000-0006-0000-0F00-000010000000}">
      <text>
        <r>
          <rPr>
            <b/>
            <sz val="8"/>
            <color indexed="81"/>
            <rFont val="Tahoma"/>
            <family val="2"/>
          </rPr>
          <t>Final Budgets</t>
        </r>
      </text>
    </comment>
  </commentList>
</comments>
</file>

<file path=xl/sharedStrings.xml><?xml version="1.0" encoding="utf-8"?>
<sst xmlns="http://schemas.openxmlformats.org/spreadsheetml/2006/main" count="2272" uniqueCount="1388">
  <si>
    <t>Historical Data</t>
  </si>
  <si>
    <t>Pro Forma - Exponential</t>
  </si>
  <si>
    <t>Budget Analysis</t>
  </si>
  <si>
    <t>C) Pro Forma / Forecasted Financials for Budgeting:</t>
  </si>
  <si>
    <t>Final Budgets</t>
  </si>
  <si>
    <t>Set of pro forma financials using exponential smoothing</t>
  </si>
  <si>
    <t>Set of budgets per various assumptions and forecasts.</t>
  </si>
  <si>
    <t>Preliminary budget analysis</t>
  </si>
  <si>
    <t xml:space="preserve">ExtraOrdinary Items </t>
  </si>
  <si>
    <t>Acquisitions</t>
  </si>
  <si>
    <t>Cash Flow Applied for Financing:</t>
  </si>
  <si>
    <t>Payments on Loans &amp; Debt</t>
  </si>
  <si>
    <t>Purchase / Retire Stock</t>
  </si>
  <si>
    <t>Total Change to Cash</t>
  </si>
  <si>
    <t>Forecasted Ending Balance</t>
  </si>
  <si>
    <t>Total Non Current Assets</t>
  </si>
  <si>
    <t>Total Non Current Liabilities</t>
  </si>
  <si>
    <t>Pro Forma Balance Sheet</t>
  </si>
  <si>
    <t>Total Investment Sources of Cash</t>
  </si>
  <si>
    <t>Total Investment Applications of Cash</t>
  </si>
  <si>
    <t>Total Financing Sources of Cash</t>
  </si>
  <si>
    <t>Total Financing Applications of Cash</t>
  </si>
  <si>
    <t>Assumptions &amp; Comments</t>
  </si>
  <si>
    <t>Income Taxes</t>
  </si>
  <si>
    <t>Earnings Before Extra Ord Items</t>
  </si>
  <si>
    <t>Other Non Operating Expenses</t>
  </si>
  <si>
    <t>Financial Plan</t>
  </si>
  <si>
    <t>go into our final budget. We can start our budget process by reviewing the different</t>
  </si>
  <si>
    <t>revenue forecast:</t>
  </si>
  <si>
    <t>Summarize Revenue Forecast:</t>
  </si>
  <si>
    <t>Wksh12</t>
  </si>
  <si>
    <t>Wksh14</t>
  </si>
  <si>
    <t>Wksh13</t>
  </si>
  <si>
    <t>Wksh15</t>
  </si>
  <si>
    <t>Wksh16</t>
  </si>
  <si>
    <t>Wksh8</t>
  </si>
  <si>
    <t>Wksh2</t>
  </si>
  <si>
    <t xml:space="preserve">Caution: If you enter less than five years of historical information, certain worksheet </t>
  </si>
  <si>
    <t>formulas may have to be revised.</t>
  </si>
  <si>
    <t>scenario analysis manually. We can use Goal Seek to find a value for a cell given a corresponding</t>
  </si>
  <si>
    <t xml:space="preserve">formula in another cell. </t>
  </si>
  <si>
    <t>Once we complete our forecast, we can summarize and review it before finalizing it</t>
  </si>
  <si>
    <t xml:space="preserve">To illustrate concepts related to financial analysis and forecasting. </t>
  </si>
  <si>
    <t>ProForma Financials (Exponential Smoothing / Weighted Moving Average)</t>
  </si>
  <si>
    <t xml:space="preserve">exponential smoothing is used to plot a trend over historical data. Additionally, we </t>
  </si>
  <si>
    <t>Key Point =&gt; If you have a general upward historical trend, weighted average will tend</t>
  </si>
  <si>
    <t>to underestimate forecasted values and vice versa (downward trend = overestimate).</t>
  </si>
  <si>
    <t xml:space="preserve">Total Revenues - Historical </t>
  </si>
  <si>
    <t>Total Revenues - Exponential</t>
  </si>
  <si>
    <t>Assign weights to appropriate periods</t>
  </si>
  <si>
    <t>Total weights should add up to =&gt;</t>
  </si>
  <si>
    <t>Exponential Smoothing and Weighted Moving Averages for Total Revenues:</t>
  </si>
  <si>
    <t>Total Revenues - Wt Moving Avg</t>
  </si>
  <si>
    <t xml:space="preserve">can use a weighted moving average to forecast future periods. </t>
  </si>
  <si>
    <t>Many of these assumptions should be included in our forecast for improved</t>
  </si>
  <si>
    <t>Preferred Dividends Paid (fixed)</t>
  </si>
  <si>
    <t>Debt to Common Equity</t>
  </si>
  <si>
    <t>Total Liabilities &amp; Equity</t>
  </si>
  <si>
    <t>Total NonCurrent Liabilities</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</si>
  <si>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</si>
  <si>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</si>
  <si>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</si>
  <si>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</si>
  <si>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</si>
  <si>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</si>
  <si>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</si>
  <si>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</si>
  <si>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</si>
  <si>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</si>
  <si>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</si>
  <si>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</si>
  <si>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</si>
  <si>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</si>
  <si>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</si>
  <si>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</si>
  <si>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</si>
  <si>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</si>
  <si>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</si>
  <si>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</si>
  <si>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</si>
  <si>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</si>
  <si>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</si>
  <si>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Trend Line Graphs Appear Below for Selected Comparisons:</t>
  </si>
  <si>
    <t>Growth in Total Liabilities</t>
  </si>
  <si>
    <t>Growth in Minority Interest</t>
  </si>
  <si>
    <t>Growth in Interest Expense</t>
  </si>
  <si>
    <t>Growth in Income Tax Expense</t>
  </si>
  <si>
    <t>External Financing Required (EFR)</t>
  </si>
  <si>
    <t>Set Smoothing Factor</t>
  </si>
  <si>
    <t>Smoothing Factor must be between 0 and 1</t>
  </si>
  <si>
    <t>Difference</t>
  </si>
  <si>
    <t>Square</t>
  </si>
  <si>
    <t xml:space="preserve">Mean Squared Error </t>
  </si>
  <si>
    <t>Microsoft Excel 9.0 Answer Report</t>
  </si>
  <si>
    <t>Worksheet: [Detail_Analysis.xls]13 - Pro Forma (Exp)</t>
  </si>
  <si>
    <t>Report Created: 3/16/2002 3:42:28 PM</t>
  </si>
  <si>
    <t>Target Cell (Min)</t>
  </si>
  <si>
    <t>Cell</t>
  </si>
  <si>
    <t>Name</t>
  </si>
  <si>
    <t>Original Value</t>
  </si>
  <si>
    <t>Final Value</t>
  </si>
  <si>
    <t>Adjustable Cells</t>
  </si>
  <si>
    <t>Constraints</t>
  </si>
  <si>
    <t>Cell Value</t>
  </si>
  <si>
    <t>Formula</t>
  </si>
  <si>
    <t>Status</t>
  </si>
  <si>
    <t>Slack</t>
  </si>
  <si>
    <t>$G$60</t>
  </si>
  <si>
    <t>Mean Squared Error  Square</t>
  </si>
  <si>
    <t>$D$24</t>
  </si>
  <si>
    <t xml:space="preserve">Set Smoothing Factor  </t>
  </si>
  <si>
    <t>$D$23</t>
  </si>
  <si>
    <t xml:space="preserve">Smoothing Factor must be between 0 and 1  </t>
  </si>
  <si>
    <t>$D$23&gt;=$D$23</t>
  </si>
  <si>
    <t>Binding</t>
  </si>
  <si>
    <t>$D$24&lt;=$E$23</t>
  </si>
  <si>
    <t>عنوان الحساب</t>
  </si>
  <si>
    <t>المصاريف الفوائد</t>
  </si>
  <si>
    <t>Find the Optimal Smoothing Factor:</t>
  </si>
  <si>
    <t xml:space="preserve">Total </t>
  </si>
  <si>
    <t>Revenues</t>
  </si>
  <si>
    <t>Exponent</t>
  </si>
  <si>
    <t>Amounts</t>
  </si>
  <si>
    <t>Wt Moving Avg Model</t>
  </si>
  <si>
    <t>Operating Plan</t>
  </si>
  <si>
    <t>Volume projections, production budgets, and vertical analysis</t>
  </si>
  <si>
    <t>Average % of Sales per Vertical Analysis</t>
  </si>
  <si>
    <t>Based on anticipated taxable income and effective rate</t>
  </si>
  <si>
    <t>Projection using declining growth rates:</t>
  </si>
  <si>
    <t>Declining Growth Model</t>
  </si>
  <si>
    <t>Find the Optimal Moving Weights:</t>
  </si>
  <si>
    <t>Weighted</t>
  </si>
  <si>
    <t>Report Created: 3/16/2002 5:19:05 PM</t>
  </si>
  <si>
    <t>$G$46</t>
  </si>
  <si>
    <t>$D$25</t>
  </si>
  <si>
    <t xml:space="preserve">Assign weights to appropriate periods  </t>
  </si>
  <si>
    <t>$E$25</t>
  </si>
  <si>
    <t>$F$25</t>
  </si>
  <si>
    <t>Assign weights to appropriate periods Total weights should add up to =&gt;</t>
  </si>
  <si>
    <t>$G$25</t>
  </si>
  <si>
    <t>$H$25</t>
  </si>
  <si>
    <t>$I$25</t>
  </si>
  <si>
    <t>$I$25=$E$23</t>
  </si>
  <si>
    <t>$D$25&lt;=$E$23</t>
  </si>
  <si>
    <t>Not Binding</t>
  </si>
  <si>
    <t>$E$25&lt;=$E$23</t>
  </si>
  <si>
    <t>$F$25&lt;=$E$23</t>
  </si>
  <si>
    <t>$G$25&lt;=$E$23</t>
  </si>
  <si>
    <t>$H$25&lt;=$E$23</t>
  </si>
  <si>
    <t>$D$25&gt;=$D$23</t>
  </si>
  <si>
    <t>$E$25&gt;=$D$23</t>
  </si>
  <si>
    <t>$F$25&gt;=$D$23</t>
  </si>
  <si>
    <t>$G$25&gt;=$D$23</t>
  </si>
  <si>
    <t>$H$25&gt;=$D$23</t>
  </si>
  <si>
    <t>Before we adopt a regression model, it's a good idea to generate a scatter graph of the actual data</t>
  </si>
  <si>
    <t>and observe if there is a clear trend for fitting a straight regression line into the data:</t>
  </si>
  <si>
    <t>We added the following two ratios to assess if the Company has excessive growth:</t>
  </si>
  <si>
    <t>Provision for Taxes</t>
  </si>
  <si>
    <t>Trading Ratio - Industry</t>
  </si>
  <si>
    <t>Net Sales to Net Worth - Company</t>
  </si>
  <si>
    <t>Net Sales to Net Worth - Industry</t>
  </si>
  <si>
    <t>8-17</t>
  </si>
  <si>
    <t>8-18</t>
  </si>
  <si>
    <t>8-19</t>
  </si>
  <si>
    <t>8-20</t>
  </si>
  <si>
    <t>Trading Ratio - Company</t>
  </si>
  <si>
    <t>4-27</t>
  </si>
  <si>
    <t>Interest Income</t>
  </si>
  <si>
    <t>Sustainable Growth Rate #1</t>
  </si>
  <si>
    <t>Sustainable Growth Rate #2</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</si>
  <si>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</si>
  <si>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</si>
  <si>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</si>
  <si>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</si>
  <si>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</si>
  <si>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</si>
  <si>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</si>
  <si>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</si>
  <si>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</si>
  <si>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</si>
  <si>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</si>
  <si>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</si>
  <si>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</si>
  <si>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</si>
  <si>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</si>
  <si>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</si>
  <si>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</si>
  <si>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</si>
  <si>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</si>
  <si>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</si>
  <si>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</si>
  <si>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</si>
  <si>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</si>
  <si>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</si>
  <si>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</si>
  <si>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</si>
  <si>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</si>
  <si>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</si>
  <si>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</si>
  <si>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</si>
  <si>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</si>
  <si>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</si>
  <si>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</si>
  <si>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</si>
  <si>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</si>
  <si>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</si>
  <si>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</si>
  <si>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</si>
  <si>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</si>
  <si>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</si>
  <si>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</si>
  <si>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</si>
  <si>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</si>
  <si>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</si>
  <si>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</si>
  <si>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</si>
  <si>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</si>
  <si>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</si>
  <si>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</si>
  <si>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</si>
  <si>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</si>
  <si>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</si>
  <si>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</si>
  <si>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</si>
  <si>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</si>
  <si>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</si>
  <si>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</si>
  <si>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</si>
  <si>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</si>
  <si>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</si>
  <si>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</si>
  <si>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</si>
  <si>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</si>
  <si>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</si>
  <si>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</si>
  <si>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</si>
  <si>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</si>
  <si>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</si>
  <si>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</si>
  <si>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</si>
  <si>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</si>
  <si>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</si>
  <si>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</si>
  <si>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</si>
  <si>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</si>
  <si>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</si>
  <si>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</si>
  <si>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</si>
  <si>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</si>
  <si>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</si>
  <si>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</si>
  <si>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</si>
  <si>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</si>
  <si>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</si>
  <si>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</si>
  <si>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</si>
  <si>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</si>
  <si>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</si>
  <si>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</si>
  <si>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Variance Analysis of Past Budgets:</t>
  </si>
  <si>
    <t>Accuracy in the budget process should be examined to determine the degree of error or</t>
  </si>
  <si>
    <t>variance in the budget process. If the variance is high, this indicates a need to improve</t>
  </si>
  <si>
    <t>planning techniques within the company.</t>
  </si>
  <si>
    <t>Total Revenues - Budgeted</t>
  </si>
  <si>
    <t>Total Revenues - Actual</t>
  </si>
  <si>
    <t>% difference from actual</t>
  </si>
  <si>
    <t>10-36</t>
  </si>
  <si>
    <t>10-37</t>
  </si>
  <si>
    <t>Acquisitions in Other Co's</t>
  </si>
  <si>
    <t>Accounts Receivable to Revenues</t>
  </si>
  <si>
    <t>Inventory to Revenues</t>
  </si>
  <si>
    <t>Other Current Assets to Revenues</t>
  </si>
  <si>
    <t>Current Assets to Revenues</t>
  </si>
  <si>
    <t>Accounts Payable to Revenues</t>
  </si>
  <si>
    <t>Short Term Borrowings to Revenues</t>
  </si>
  <si>
    <t>Other Current Liabilities to Revenues</t>
  </si>
  <si>
    <t>Current Liabilities to Revenues</t>
  </si>
  <si>
    <t>10-38</t>
  </si>
  <si>
    <t>10-39</t>
  </si>
  <si>
    <t>10-40</t>
  </si>
  <si>
    <t>10-41</t>
  </si>
  <si>
    <t>10-42</t>
  </si>
  <si>
    <t>10-43</t>
  </si>
  <si>
    <t>Current to Revenues</t>
  </si>
  <si>
    <t>Cost of Goods Sold - Budgeted</t>
  </si>
  <si>
    <t>Cost of Goods Sold - Actual</t>
  </si>
  <si>
    <t>Formula for Calculating EFR:</t>
  </si>
  <si>
    <t>Assets to Sales - Historical</t>
  </si>
  <si>
    <t>Projected Increase to Sales</t>
  </si>
  <si>
    <t>Liabilities to Sales - Historical</t>
  </si>
  <si>
    <t>Profit Margin</t>
  </si>
  <si>
    <t>Retention Ratio (1 - Dividend Payout)</t>
  </si>
  <si>
    <t>External Financing Required</t>
  </si>
  <si>
    <t>Logarithmic - Used when rate of change in data suddenly shifts upward or downward.</t>
  </si>
  <si>
    <t>Power - Used when rate of change in data occurs at a specific rate.</t>
  </si>
  <si>
    <t>Exponential - Used when rate of change is increasing or decreasing at ever higher rates.</t>
  </si>
  <si>
    <t>Polynomial - Used when rate of change fluctuates with no pattern.</t>
  </si>
  <si>
    <t>Linear</t>
  </si>
  <si>
    <t>Net Income (formula cells)</t>
  </si>
  <si>
    <t>Do not change formula cells (goals) to values</t>
  </si>
  <si>
    <t>when using Goal Seek (Tools &gt; Goal Seek)</t>
  </si>
  <si>
    <t>This is the target cell that Goal Seek is seeking</t>
  </si>
  <si>
    <t>Goal Seek =&gt; What total revenues are required if Net Income must be $ 13.5 million in Year 2004?</t>
  </si>
  <si>
    <t>Instead of copying our forecast into this worksheet, we can simply do scenario analysis directly in</t>
  </si>
  <si>
    <t xml:space="preserve">the forecast itself. </t>
  </si>
  <si>
    <t>Net Income - Budgeted</t>
  </si>
  <si>
    <t>Net Income - Actual</t>
  </si>
  <si>
    <t>Income Statement Items</t>
  </si>
  <si>
    <t>Balance Sheet Items</t>
  </si>
  <si>
    <t>Current Assets - Budgeted</t>
  </si>
  <si>
    <t>Current Assets - Actual</t>
  </si>
  <si>
    <t>NonCurrent Assets - Budgeted</t>
  </si>
  <si>
    <t>NonCurrent Assets - Actual</t>
  </si>
  <si>
    <t>NonCurrent Liabilities - Budgeted</t>
  </si>
  <si>
    <t>NonCurrent Liabilities - Actual</t>
  </si>
  <si>
    <t>Operating Income - Budgeted</t>
  </si>
  <si>
    <t>Operating Income - Actual</t>
  </si>
  <si>
    <t>Ratio Items</t>
  </si>
  <si>
    <t>Current Ratio - Budgeted</t>
  </si>
  <si>
    <t>Current Liabilities - Budgeted</t>
  </si>
  <si>
    <t>Current Liabilities - Actual</t>
  </si>
  <si>
    <t>Current Ratio - Actual</t>
  </si>
  <si>
    <t>Total Asset Turnover - Actual</t>
  </si>
  <si>
    <t>Total Asset Turnover - Budgeted</t>
  </si>
  <si>
    <t>Gross Profit Margin - Budgeted</t>
  </si>
  <si>
    <t>Gross Profit Margin - Actual</t>
  </si>
  <si>
    <t>Net Profit Margin - Budgeted</t>
  </si>
  <si>
    <t>Net Profit Margin - Actual</t>
  </si>
  <si>
    <t>Debt to Common Equity - Budgeted</t>
  </si>
  <si>
    <t>Debt to Common Equity - Actual</t>
  </si>
  <si>
    <t>Return on Equity - Budgeted</t>
  </si>
  <si>
    <t>Return on Equity - Actual</t>
  </si>
  <si>
    <t>Based on review of Pro Forma Financials, Marketing, etc.</t>
  </si>
  <si>
    <t xml:space="preserve">accuracy. However, we need to fine tune and finalize all assumptions </t>
  </si>
  <si>
    <t>so that we can produce a final finished budget for planning purposes.</t>
  </si>
  <si>
    <t>Based on anticipated levels of debt and past history</t>
  </si>
  <si>
    <t>Per our Simple Model Forecast</t>
  </si>
  <si>
    <t>Provision for contingency was added on this line item</t>
  </si>
  <si>
    <t>(Increase) Decrease Current Liab</t>
  </si>
  <si>
    <t>Cash Flow from Financing Activities</t>
  </si>
  <si>
    <t>Payments on Loans and Debt</t>
  </si>
  <si>
    <t>Budgeted Cash Flows</t>
  </si>
  <si>
    <t xml:space="preserve">Budgeted Balance Sheet </t>
  </si>
  <si>
    <t>Inventory</t>
  </si>
  <si>
    <t>Longterm Investments</t>
  </si>
  <si>
    <t>Preferred Stock</t>
  </si>
  <si>
    <t>Adj for Foreign Currency Translation</t>
  </si>
  <si>
    <t>Total Liabilities and Equity</t>
  </si>
  <si>
    <t>Example of Scenario Analysis and Goal Seek Analysis</t>
  </si>
  <si>
    <t>Set of pro forma financials using linear trending</t>
  </si>
  <si>
    <t>Investment Sources of Cash:</t>
  </si>
  <si>
    <t>Review of Simple Model Forecast and Capital Expenditure Budget</t>
  </si>
  <si>
    <t>Budgeted $ 4.5 million in Capital Expenditure Budget</t>
  </si>
  <si>
    <t>Per Simple Forecast Model</t>
  </si>
  <si>
    <t>Same formula as used in forecast models</t>
  </si>
  <si>
    <t>Per Simple Model Forecast</t>
  </si>
  <si>
    <t>Per forecast, strategic plan, and other budgets</t>
  </si>
  <si>
    <t>Per Financing Requirements and other budgets</t>
  </si>
  <si>
    <t>Per historical financials and investment budget</t>
  </si>
  <si>
    <t>Per forecast and other budgets</t>
  </si>
  <si>
    <t>Per strategic plan and other budgets</t>
  </si>
  <si>
    <t>Per review of forecast and historical information</t>
  </si>
  <si>
    <t>Per review of historical information and expected growth rates.</t>
  </si>
  <si>
    <t>Per historical financials</t>
  </si>
  <si>
    <t>Per review of forecast and strategic plans</t>
  </si>
  <si>
    <r>
      <t>The following general information should be entered</t>
    </r>
    <r>
      <rPr>
        <sz val="8"/>
        <rFont val="Arial"/>
        <family val="2"/>
      </rPr>
      <t>:</t>
    </r>
    <r>
      <rPr>
        <b/>
        <i/>
        <sz val="8"/>
        <rFont val="Arial"/>
        <family val="2"/>
      </rPr>
      <t>المعلومات العامه التاليه يجب ادخالها</t>
    </r>
    <r>
      <rPr>
        <b/>
        <i/>
        <sz val="10"/>
        <rFont val="Arial"/>
        <family val="2"/>
      </rPr>
      <t xml:space="preserve"> </t>
    </r>
  </si>
  <si>
    <r>
      <t>Note: Sample data has been entered in the input cells to help you get started</t>
    </r>
    <r>
      <rPr>
        <b/>
        <sz val="8"/>
        <rFont val="Arial"/>
        <family val="2"/>
      </rPr>
      <t>معلومات على شكل مثال تم ادخالها لتساعدك للبدء.</t>
    </r>
  </si>
  <si>
    <t>ديون طويلة اجل استحقت الان</t>
  </si>
  <si>
    <t>Per review of forecast and historical balances</t>
  </si>
  <si>
    <t>Per above</t>
  </si>
  <si>
    <t>16-1</t>
  </si>
  <si>
    <t>16-2</t>
  </si>
  <si>
    <t>16-3</t>
  </si>
  <si>
    <t>16-4</t>
  </si>
  <si>
    <t>16-5</t>
  </si>
  <si>
    <t>16-6</t>
  </si>
  <si>
    <t>16-7</t>
  </si>
  <si>
    <t>16-8</t>
  </si>
  <si>
    <t>16-9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</si>
  <si>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</si>
  <si>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</si>
  <si>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</si>
  <si>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</si>
  <si>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</si>
  <si>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</si>
  <si>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</si>
  <si>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</si>
  <si>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</si>
  <si>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</si>
  <si>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</si>
  <si>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</si>
  <si>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</si>
  <si>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</si>
  <si>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</si>
  <si>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</si>
  <si>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</si>
  <si>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</si>
  <si>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</si>
  <si>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</si>
  <si>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</si>
  <si>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</si>
  <si>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</si>
  <si>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</si>
  <si>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</si>
  <si>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</si>
  <si>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</si>
  <si>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</si>
  <si>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</si>
  <si>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</si>
  <si>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</si>
  <si>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</si>
  <si>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</si>
  <si>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</si>
  <si>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</si>
  <si>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</si>
  <si>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</si>
  <si>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</si>
  <si>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</si>
  <si>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</si>
  <si>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</si>
  <si>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</si>
  <si>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</si>
  <si>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</si>
  <si>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</si>
  <si>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</si>
  <si>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</si>
  <si>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</si>
  <si>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</si>
  <si>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</si>
  <si>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</si>
  <si>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</si>
  <si>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</si>
  <si>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</si>
  <si>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</si>
  <si>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</si>
  <si>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</si>
  <si>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</si>
  <si>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</si>
  <si>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</si>
  <si>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صافي الإيرادات</t>
  </si>
  <si>
    <t>تكلفة الإيرادات</t>
  </si>
  <si>
    <t>عائد الحصة الاولي</t>
  </si>
  <si>
    <t>الزكاة</t>
  </si>
  <si>
    <t>تاثير الزكاة للبنود الغير العادية</t>
  </si>
  <si>
    <t>العائد قبل الفائدة والزكاة</t>
  </si>
  <si>
    <t>السعر إلى القيمة الدفترية</t>
  </si>
  <si>
    <t>نستطيع آن نتجاوز أي افتراضات نمو  بناء على معادلاتك الخاصة .وهذا التنبؤ هو بسيط ولا يعتمد على أي معلومات احصائية</t>
  </si>
  <si>
    <t>If a cell appears in red, this indicates a warning concerning a calculation.</t>
  </si>
  <si>
    <t>TBD</t>
  </si>
  <si>
    <t>TBD: To be Determined</t>
  </si>
  <si>
    <t>(Wksht 16)</t>
  </si>
  <si>
    <t>distinct steps up or down, then you should consider using a smoothing model .</t>
  </si>
  <si>
    <t>Year</t>
  </si>
  <si>
    <t>Slope</t>
  </si>
  <si>
    <t>The calculation of linear values is determined by defining the slope of the line and the y intercept:</t>
  </si>
  <si>
    <t>Total Rev</t>
  </si>
  <si>
    <t>x factor</t>
  </si>
  <si>
    <t>Predicted</t>
  </si>
  <si>
    <t>Values</t>
  </si>
  <si>
    <t>Formula for Logarithmic Trendline</t>
  </si>
  <si>
    <t>Formula for Linear Trendline:</t>
  </si>
  <si>
    <t>Intercept</t>
  </si>
  <si>
    <t>x: independent variable</t>
  </si>
  <si>
    <t>c factor</t>
  </si>
  <si>
    <t>b factor</t>
  </si>
  <si>
    <t>y = ( m * x ) + b</t>
  </si>
  <si>
    <t>Value y</t>
  </si>
  <si>
    <t>Order</t>
  </si>
  <si>
    <t xml:space="preserve"> b factor</t>
  </si>
  <si>
    <t>m: slope of line</t>
  </si>
  <si>
    <t>variable x</t>
  </si>
  <si>
    <t xml:space="preserve">b: y intercept </t>
  </si>
  <si>
    <t>actual y</t>
  </si>
  <si>
    <t>m factor</t>
  </si>
  <si>
    <t>In addition to using linear models for forecasting, we can apply several non-linear (curve) models:</t>
  </si>
  <si>
    <t>y = ( c * LN (x)) - b</t>
  </si>
  <si>
    <t>LN: Natural Logarithm</t>
  </si>
  <si>
    <t>التمويل المالي الخارجي المطلوب</t>
  </si>
  <si>
    <t>المعادلة لاحتساب التمويل الخارجي المطلوب</t>
  </si>
  <si>
    <t>الاصول إلى المبيعات ( تاريخي)</t>
  </si>
  <si>
    <t>الزيادة في المبيعات  المصممة</t>
  </si>
  <si>
    <t>الالتزامات إلى المبيعات (تاريخية)</t>
  </si>
  <si>
    <t>هامش ربح</t>
  </si>
  <si>
    <t>التمويل الخارجي المطلوب</t>
  </si>
  <si>
    <t xml:space="preserve">يتم التنبؤ بالقوائم المالية بناء على تحليلات التاريخية وبناء على اوراق العمل السابقة . طريقة احصائية تسمى </t>
  </si>
  <si>
    <t>oxponential smothingيتم استخدامها لتحديد الاتجاة ل</t>
  </si>
  <si>
    <t>التداول إلى الايراد</t>
  </si>
  <si>
    <t>الميزاتية</t>
  </si>
  <si>
    <t>قائمة الدخل</t>
  </si>
  <si>
    <t>Actual</t>
  </si>
  <si>
    <t>Power Trendline</t>
  </si>
  <si>
    <t>y = b * x^c</t>
  </si>
  <si>
    <t>Summarize Non Linear Curves on Graph:</t>
  </si>
  <si>
    <t>Logarithmic Trendline</t>
  </si>
  <si>
    <t>Logarithmic Trend</t>
  </si>
  <si>
    <t>Actual Revenues</t>
  </si>
  <si>
    <t>Years =&gt;</t>
  </si>
  <si>
    <t>Exponential Trendline</t>
  </si>
  <si>
    <t>Polynomial Trendline</t>
  </si>
  <si>
    <t>y = b * EXP ( c * x )</t>
  </si>
  <si>
    <t>( c * x)</t>
  </si>
  <si>
    <t>EXP</t>
  </si>
  <si>
    <t>&lt; - calculate using c and b factor - &gt;</t>
  </si>
  <si>
    <t>The degree of linear fit with the actual data can be expressed as R Square</t>
  </si>
  <si>
    <t>to change per the value 13,500 in cell G34</t>
  </si>
  <si>
    <t>Source for Benchmark Data: Almanac of Business and Industrial Financial Ratios by Leo Troy, Prentice Hall</t>
  </si>
  <si>
    <t>c2</t>
  </si>
  <si>
    <t>c1</t>
  </si>
  <si>
    <t>b</t>
  </si>
  <si>
    <t>y = (c2 * x^2) + (c1 * x^1) + b</t>
  </si>
  <si>
    <t>We can use specific measurements to track and control forecasting errors:</t>
  </si>
  <si>
    <t>Mean Absolute Error - An absolute value of forecast errors, does not place weight on the</t>
  </si>
  <si>
    <t xml:space="preserve">Mean Square Error - Similar to Mean Absolute Error, but does place more emphasis on </t>
  </si>
  <si>
    <t xml:space="preserve">the amount of error; i.e. an error of 8 is twice as significant as 4. Calculated as the </t>
  </si>
  <si>
    <t>Example: Total Revenues</t>
  </si>
  <si>
    <t>Error</t>
  </si>
  <si>
    <t>Absolute</t>
  </si>
  <si>
    <t>Forecasted</t>
  </si>
  <si>
    <t>amount of the error. Calculated as the sum of (actual values - predicted values) / n.</t>
  </si>
  <si>
    <t>sum of (actual values - predicted values)^2 / n.</t>
  </si>
  <si>
    <t>Squared</t>
  </si>
  <si>
    <t>Sum =&gt;</t>
  </si>
  <si>
    <t>Mean Square Error</t>
  </si>
  <si>
    <t>Mean Absolute Error</t>
  </si>
  <si>
    <t>n: total number of periods</t>
  </si>
  <si>
    <t>Root Mean Sqr Error</t>
  </si>
  <si>
    <t>n =&gt;</t>
  </si>
  <si>
    <t>Establish Error Limits</t>
  </si>
  <si>
    <t>Outside</t>
  </si>
  <si>
    <t>Is Error</t>
  </si>
  <si>
    <t>Limit?</t>
  </si>
  <si>
    <t>Root Mean Square Error - To make the Mean Square Error useful and comparable to the Mean</t>
  </si>
  <si>
    <t xml:space="preserve">Absolute Error, we can take the square root of the Mean Square Error. We can then use this </t>
  </si>
  <si>
    <t>as a guide to establish an error limit or standard for flagging unacceptable errors.</t>
  </si>
  <si>
    <t>Financial Analysis &amp; Forecasting</t>
  </si>
  <si>
    <t>financial statements using both linear and non-linear functions.</t>
  </si>
  <si>
    <t>Revised:</t>
  </si>
  <si>
    <t>عنوان النسبة</t>
  </si>
  <si>
    <t>نسبة السيولة السريعة</t>
  </si>
  <si>
    <t>تحليل النسب</t>
  </si>
  <si>
    <t>الشركة النموذجية المتكاملة</t>
  </si>
  <si>
    <t>الوصف</t>
  </si>
  <si>
    <t>الهدف من اوراق العمل</t>
  </si>
  <si>
    <t>المدخلات المطلوبه</t>
  </si>
  <si>
    <t xml:space="preserve"> يقيم الاداء المالي للشركه . رسومات  توضح الاتجاهات مقارنه اداء الشركه مع متوسطات الصناعه                </t>
  </si>
  <si>
    <r>
      <t>(such as: in millions of dollars, thousands of Canadian dollars, etc.)</t>
    </r>
    <r>
      <rPr>
        <b/>
        <i/>
        <sz val="9"/>
        <rFont val="Arial"/>
        <family val="2"/>
      </rPr>
      <t xml:space="preserve">  ..... مثال: بملايين الدولارات , بالالاف</t>
    </r>
  </si>
  <si>
    <r>
      <t>How are the amounts expressed in the financial statements?</t>
    </r>
    <r>
      <rPr>
        <b/>
        <i/>
        <sz val="8.5"/>
        <rFont val="Arial"/>
        <family val="2"/>
      </rPr>
      <t xml:space="preserve"> كيف سيتم التعبير عن المبالغ في القوائم الماليه</t>
    </r>
  </si>
  <si>
    <t>تحذير</t>
  </si>
  <si>
    <t>Genaral in put</t>
  </si>
  <si>
    <t>مدخلات عامة</t>
  </si>
  <si>
    <t>التنبؤ المالي</t>
  </si>
  <si>
    <t>Worksheets:                                                                                             اوراق العمل</t>
  </si>
  <si>
    <t xml:space="preserve">اوراق العمل         </t>
  </si>
  <si>
    <r>
      <t xml:space="preserve">General Input Panel  </t>
    </r>
    <r>
      <rPr>
        <b/>
        <i/>
        <sz val="12"/>
        <color indexed="9"/>
        <rFont val="Arial"/>
        <family val="2"/>
      </rPr>
      <t xml:space="preserve"> لوحه الادخال العامه</t>
    </r>
    <r>
      <rPr>
        <b/>
        <sz val="12"/>
        <color indexed="9"/>
        <rFont val="Arial"/>
        <family val="2"/>
      </rPr>
      <t xml:space="preserve">   </t>
    </r>
  </si>
  <si>
    <r>
      <t xml:space="preserve">Description </t>
    </r>
    <r>
      <rPr>
        <b/>
        <i/>
        <sz val="10"/>
        <rFont val="Arial"/>
        <family val="2"/>
      </rPr>
      <t xml:space="preserve"> </t>
    </r>
  </si>
  <si>
    <t>مجموع الاصول المتداولة</t>
  </si>
  <si>
    <t>مجموع الاصول</t>
  </si>
  <si>
    <t>قروض قصيرة الاجل</t>
  </si>
  <si>
    <t>مجموع الالتزامات المتداولة</t>
  </si>
  <si>
    <t>مجموع الالتزامات غير متداولة</t>
  </si>
  <si>
    <t>مجموع الالتزامات</t>
  </si>
  <si>
    <t>مجموع الالتزامات وحقوق الملكية</t>
  </si>
  <si>
    <t>الحيازة في شركات اخرى</t>
  </si>
  <si>
    <t>مشتريات الاسهم العادية</t>
  </si>
  <si>
    <t>تناهي الالتزامات الثابتة</t>
  </si>
  <si>
    <t>التدفق النقدي</t>
  </si>
  <si>
    <t>راس المال السائل</t>
  </si>
  <si>
    <t>مجمو ع الالتزامات المتداولة</t>
  </si>
  <si>
    <t>رصيد النقدية</t>
  </si>
  <si>
    <t>يوميا / مؤشر السيولة</t>
  </si>
  <si>
    <t>الارباح قبل الفوائد والضرائب</t>
  </si>
  <si>
    <t>قيمة حقوق الملكية في السوق</t>
  </si>
  <si>
    <t>الاربلح المحتجزة</t>
  </si>
  <si>
    <t>مبيعات/ إلى مجموع الاصول</t>
  </si>
  <si>
    <t>معدل دوران المخزون</t>
  </si>
  <si>
    <t>المبيعات الدائنة</t>
  </si>
  <si>
    <t xml:space="preserve">متوسط رصيد الذمم </t>
  </si>
  <si>
    <t>معدل دوران الذمم</t>
  </si>
  <si>
    <t>الايام المطلوبة من اجل جمع A/R</t>
  </si>
  <si>
    <t>رصيد متوسط المخزون</t>
  </si>
  <si>
    <t>الايام في المخزون</t>
  </si>
  <si>
    <t>مجموع دوران الاصول</t>
  </si>
  <si>
    <t>نسبة الاصول التشغيلية</t>
  </si>
  <si>
    <t>هامش مجمل الربح</t>
  </si>
  <si>
    <t>هامش الربح التشغيلي</t>
  </si>
  <si>
    <t>التكلفة المباشرة مع الايرادات التشغيلية</t>
  </si>
  <si>
    <t>هامش صافي الربح</t>
  </si>
  <si>
    <t>معدل الرسملة/عائد الاصول</t>
  </si>
  <si>
    <t>صافي الدخل التشغيلي</t>
  </si>
  <si>
    <t>الاصول التشغيلية</t>
  </si>
  <si>
    <t>معدل الرسملة للعائد</t>
  </si>
  <si>
    <t>العائد على حقوق الملكية</t>
  </si>
  <si>
    <t>الدين إلى اصول الملكية</t>
  </si>
  <si>
    <t>الدين إلى حقوق الملكية اسهم عادية</t>
  </si>
  <si>
    <t>عدد مرات تغطية الفوائد</t>
  </si>
  <si>
    <t>السعر إلى الايراد</t>
  </si>
  <si>
    <t>نتيجة الاسهم</t>
  </si>
  <si>
    <t>ادارة الاصول</t>
  </si>
  <si>
    <t>الربحية</t>
  </si>
  <si>
    <t>الرفع</t>
  </si>
  <si>
    <t>السوق</t>
  </si>
  <si>
    <t>التحليل مقارنة مع المعيار</t>
  </si>
  <si>
    <t>يجب آن اجمع معلومات عن المعيار الصناعي المشابة للشركة محل الدراسة.</t>
  </si>
  <si>
    <t>ادخل المعيار الصناعي في الخلية المناسبة ،وهذه المعلومات تستخدم من اجل توليد رسومات خطية تمثل الاتجاهات ،</t>
  </si>
  <si>
    <t>اذا لم تمتلك أي مقدار لمعيار صناعي معين، وبالتالي أملا في الخلية الصفراء بالرقم صفر،سيكون خط المعيار غير موجود</t>
  </si>
  <si>
    <t>وسيظهر فقط خط واتجاه نسب الشركة</t>
  </si>
  <si>
    <t>نسبة السيولة السريعة /معيار صناعي</t>
  </si>
  <si>
    <t>نسبة السيولة السريعة/معيار الشركة</t>
  </si>
  <si>
    <t>نسبة التداول/ صناعي</t>
  </si>
  <si>
    <t>نسبة التداول/  الشركة</t>
  </si>
  <si>
    <t>نسبة معدل دوران االذمم المدينة / صناعي</t>
  </si>
  <si>
    <t>نسبة معدل دوران االذمم المدينة / الشركة</t>
  </si>
  <si>
    <t>عدد ايام التحصيل A/R  / معيار صناعي</t>
  </si>
  <si>
    <t>عدد ايام التحصيل A/R  / معيار الشركة</t>
  </si>
  <si>
    <t>نسبة  معدل دوران المخزون/ صناعي</t>
  </si>
  <si>
    <t>نسبة  معدل دوران المخزون/ الشركة</t>
  </si>
  <si>
    <t>نسبة فترة التخزين /  معيار صناعي</t>
  </si>
  <si>
    <t>نسبة فترة التخزين /  معيار الشركة</t>
  </si>
  <si>
    <t>نسبة معدل دوران الاصول / معيار صناعي</t>
  </si>
  <si>
    <t>نسبة معدل دوران الاصول / معيار الشركة</t>
  </si>
  <si>
    <t>نسبة هامش الربح التشغيلي / معيار صناعي</t>
  </si>
  <si>
    <t>نسبة هامش الربح التشغيلي / معيار الشركة</t>
  </si>
  <si>
    <t>نسبة صافي الربح / معيار صناعي</t>
  </si>
  <si>
    <t>نسبة صافي الربح / معيار الشركة</t>
  </si>
  <si>
    <t>نسبة العائد على اجمالي الاصول/ معيار صناعي</t>
  </si>
  <si>
    <t>نسبة العائد على اجمالي الاصول/ معيار الشركة</t>
  </si>
  <si>
    <t>نسبة العائد على حقوق الملكية / معيار صناعي</t>
  </si>
  <si>
    <t>نسبة العائد على حقوق الملكية / معيار الشركة</t>
  </si>
  <si>
    <t>نسبة الدين إلى حقوق الملكية / معيار صناعي</t>
  </si>
  <si>
    <t>نسبة الدين إلى حقوق الملكية / معيار الشركة</t>
  </si>
  <si>
    <t xml:space="preserve">نسبة عدد المرات تغطية الفوائد / معيار صناعي </t>
  </si>
  <si>
    <t xml:space="preserve">نسبة عدد المرات تغطية الفوائد / معيار الشركة </t>
  </si>
  <si>
    <t>نسب تجارية / معيار شركة</t>
  </si>
  <si>
    <t>نسب تجارية / معيار صناعي</t>
  </si>
  <si>
    <t>نسب صافي المبيعات إلى سعر السوق / معيار شركة</t>
  </si>
  <si>
    <t>نسب صافي المبيعات إلى سعر السوق / معيار صناعي</t>
  </si>
  <si>
    <t>اخر المعلومات التاريخيه يتم استخدامها لاعداد مجموعه من التشكيلات الماليه و القوئم باستخدام الدوال الخطيه و غير الخطيه</t>
  </si>
  <si>
    <t>صافي الدخل</t>
  </si>
  <si>
    <t>ايرادات تشغيلية اخرى</t>
  </si>
  <si>
    <t>مجموع الايرادات</t>
  </si>
  <si>
    <t>تكلفة البضاعة المباعة</t>
  </si>
  <si>
    <t>مصاريف تشغيلية اخرى</t>
  </si>
  <si>
    <t>مجموع المصاريف المباشرة</t>
  </si>
  <si>
    <t>مصاريف بيعية وادارية وعامة</t>
  </si>
  <si>
    <t>الدخل التشغيلي</t>
  </si>
  <si>
    <t>فرق عملة ربح او خسارة</t>
  </si>
  <si>
    <t>شركة مرتبطة ربح  او خسارة</t>
  </si>
  <si>
    <t>اخرى غير تشغيلية ربح او خسارة</t>
  </si>
  <si>
    <t>عمليات تحفظ</t>
  </si>
  <si>
    <t>الربح او الخساره من بيع اصول</t>
  </si>
  <si>
    <t>زياده او نقص في الاصول المتدوله</t>
  </si>
  <si>
    <t>زياده او نقص في الالتزامات المتدوله</t>
  </si>
  <si>
    <t>التدفق النقدي من العمليات التشغيليه</t>
  </si>
  <si>
    <t>مصاريف راسماليه</t>
  </si>
  <si>
    <t>التحصيلات من بيع الاصول</t>
  </si>
  <si>
    <t>شراء استثمارات</t>
  </si>
  <si>
    <t>بيع استثمارات</t>
  </si>
  <si>
    <t>أي نشاطات اسثماريه اخرى</t>
  </si>
  <si>
    <t>النقد المحصول عليه او المستخدم في الاستثمارات</t>
  </si>
  <si>
    <t>المتحصلات من الاقتراض</t>
  </si>
  <si>
    <t>المدفوعات إلى المقرضين</t>
  </si>
  <si>
    <t>التوزيعات المدفوعه للمساهمين</t>
  </si>
  <si>
    <t>المتحصلات من الفوائد الاصليه</t>
  </si>
  <si>
    <t>اصدار اسهم و اصدار خيارات</t>
  </si>
  <si>
    <t>أي نشاطات تمويليه  اخرى</t>
  </si>
  <si>
    <t>أي نقديه يحصل عليها او تستخدم من التمويل</t>
  </si>
  <si>
    <t>زياده او نقص في النقديه</t>
  </si>
  <si>
    <t>رصيد الصندوق اول الفتره</t>
  </si>
  <si>
    <t>رصيد الصندوق اخر الفتره</t>
  </si>
  <si>
    <t>يجب آن يتوافق مع الميزانيه</t>
  </si>
  <si>
    <t>الدخل قبل البنود غير الاعتياديه</t>
  </si>
  <si>
    <t>مصروف الفوائد</t>
  </si>
  <si>
    <t>مصروف الراسماليه</t>
  </si>
  <si>
    <t xml:space="preserve">مصروف ضريبه الدخل </t>
  </si>
  <si>
    <t>احداث احتياطيه</t>
  </si>
  <si>
    <t>الاستهلاكات و الاضفاءات</t>
  </si>
  <si>
    <t>التدفق من العمليات التشغيليه</t>
  </si>
  <si>
    <t>التدفق من العمليات الاستثماريه</t>
  </si>
  <si>
    <t>مدفوعات توزيعات اسهم ممتازه ثابته</t>
  </si>
  <si>
    <t xml:space="preserve">مدفوعات حساسه و هامه اخرى </t>
  </si>
  <si>
    <t>النقديه و معادلاتها</t>
  </si>
  <si>
    <t>الاسهم القابله للتداول  في السوق</t>
  </si>
  <si>
    <t>اوراق قبض</t>
  </si>
  <si>
    <t>التزامات طويله الاجل</t>
  </si>
  <si>
    <t>حقوق ملكيه ممتازه</t>
  </si>
  <si>
    <t>نسبه التداول</t>
  </si>
  <si>
    <t>التدفق النقدي التشغيلي  إلى صافي  الدخل</t>
  </si>
  <si>
    <t>مؤشر السيوله</t>
  </si>
  <si>
    <t>مجموع رصيد النقديه</t>
  </si>
  <si>
    <t>الاسهم السوقيه</t>
  </si>
  <si>
    <t>رصيد الاسهم  السوقيه</t>
  </si>
  <si>
    <t>الرصيد الاجمالي للاسهم السوقيه</t>
  </si>
  <si>
    <t>ذمم  مدينه</t>
  </si>
  <si>
    <t>رصيد الذمم المدينة</t>
  </si>
  <si>
    <t>الرصيد الاجمالي للذمم المدينة</t>
  </si>
  <si>
    <t>رصيد المخزون</t>
  </si>
  <si>
    <t>رصيد المخزون  الاجمالي</t>
  </si>
  <si>
    <t>رصيد اخر للاصول المتداوله</t>
  </si>
  <si>
    <t>اجمالي الرصيد الاخر للاصول المتداوله</t>
  </si>
  <si>
    <t>السيوله و مقدره الشركه على مقابله  التزاماتها</t>
  </si>
  <si>
    <t>راس المال العامل /مجموع الاصول</t>
  </si>
  <si>
    <t>عناوين الاوراق</t>
  </si>
  <si>
    <t>مجموع الاصول غير المتداوله</t>
  </si>
  <si>
    <t xml:space="preserve">حقوق ملكيه ممتازه </t>
  </si>
  <si>
    <t>حقوق ملكيه عاديه</t>
  </si>
  <si>
    <t>اضافات إلى راس المال العامل</t>
  </si>
  <si>
    <t>ارباح محتجزه</t>
  </si>
  <si>
    <t>تعديلات على فروق العمله الاجنبيه</t>
  </si>
  <si>
    <t>اسهم خزينه</t>
  </si>
  <si>
    <t>مجموع حقوق الملكيه للمساهمين</t>
  </si>
  <si>
    <t>الدخل قبل البنود غير الاعتيادية</t>
  </si>
  <si>
    <t>البنود غير الاعتيادية (ربح او خسارة)</t>
  </si>
  <si>
    <t>فوائد الاقلية</t>
  </si>
  <si>
    <t>الاستهلاك والاطفاء</t>
  </si>
  <si>
    <t>مصاريف التطوير والبحث</t>
  </si>
  <si>
    <t>مصاريف فوائد الرأسمالية</t>
  </si>
  <si>
    <t>الدخل من الفوائد</t>
  </si>
  <si>
    <t>مجموع الدخل من العمليات غير التشغيلية</t>
  </si>
  <si>
    <t>مجموع البنود غير الاعتيادية</t>
  </si>
  <si>
    <t>معدل الفائدة</t>
  </si>
  <si>
    <t>اخرى</t>
  </si>
  <si>
    <t>نموذج  متوقع و مبسط للتشكيلات المالية المبسطة</t>
  </si>
  <si>
    <t>التحليل المالي  و التنبؤ</t>
  </si>
  <si>
    <t xml:space="preserve">                                                                                                                 التحليل المالي يستخدم مجموعه من النسب و متوسطات الصناعه                                                     </t>
  </si>
  <si>
    <t xml:space="preserve">                                                                       من اجل توضيح المفاهيم المتعلقه بالتحليل المالي و التبؤ                                                               </t>
  </si>
  <si>
    <t xml:space="preserve">                                                     سوف يتطلب منك ان تجمع القوائم الماليه و التقارير من عده فترات .</t>
  </si>
  <si>
    <t xml:space="preserve">                                               اذا اردت ان تتابع بالمقارنه لاداء الشركه نسبه الى المعيار الصناعي  فانه يتطلب منك ايضا ان تجمع </t>
  </si>
  <si>
    <t xml:space="preserve">                                     معلومات عن متوسط الصناعه ,اعدت اوراق العمل لتغطي خمسه فترات ماليه ( annual, quarterly , monthly,)</t>
  </si>
  <si>
    <t xml:space="preserve">                                       كل المدخلات يتم اظهارها بالاصفر . للحصول على افضل النتائج يتم اعتماد قوائم ماليه و فقا لمؤسسه sec</t>
  </si>
  <si>
    <t xml:space="preserve">                             المثلث الاحمر الصغير في الزاويه العلويه للخليه يشير الى وجود ملاحظه  , مرر الفأره على هذا الموضع و الملاحظه ستظهر</t>
  </si>
  <si>
    <t>اذا ظهرت الخليه باللون الاحمر هذا يشير الى تحذير في الاحتساب</t>
  </si>
  <si>
    <t>اوراق العمل تتكون من الاوراق التاليه مقسومه الى ثلاثه اقسام :</t>
  </si>
  <si>
    <t>المدخلات للتحليل المالي باستخدام المعلومات التاريخيه</t>
  </si>
  <si>
    <t xml:space="preserve">العنوان </t>
  </si>
  <si>
    <t>ميزانيه</t>
  </si>
  <si>
    <t xml:space="preserve">قائمه دخل </t>
  </si>
  <si>
    <t>تدفق نقدي</t>
  </si>
  <si>
    <t>معلومات ماليه هامه</t>
  </si>
  <si>
    <t>التحليل بالمقارنه مع المعيار الصناعي</t>
  </si>
  <si>
    <t xml:space="preserve">تحليل افقي </t>
  </si>
  <si>
    <t>تحليل عمودي</t>
  </si>
  <si>
    <t>اوراق العمل المتعلقه بتقييم الاداء المالي</t>
  </si>
  <si>
    <t>تصورات و اشكال بسيطه</t>
  </si>
  <si>
    <t>تصورات و اشكال انحدار</t>
  </si>
  <si>
    <t>تصورات و اشكال اساسيه</t>
  </si>
  <si>
    <t>تحليل السيناريو</t>
  </si>
  <si>
    <t>تحليل الموازنات</t>
  </si>
  <si>
    <t>الموازنه النهائيه</t>
  </si>
  <si>
    <r>
      <t xml:space="preserve">Number of Days in Reporting Period are  </t>
    </r>
    <r>
      <rPr>
        <b/>
        <sz val="10"/>
        <rFont val="Arial"/>
        <family val="2"/>
      </rPr>
      <t xml:space="preserve">عدد الايام التى يغطيها التقرير  </t>
    </r>
  </si>
  <si>
    <r>
      <t xml:space="preserve">Reporting Periods =&gt; </t>
    </r>
    <r>
      <rPr>
        <b/>
        <sz val="10"/>
        <rFont val="Arial"/>
        <family val="2"/>
      </rPr>
      <t xml:space="preserve"> فتره التقرير</t>
    </r>
  </si>
  <si>
    <r>
      <t xml:space="preserve">Name of Company =&gt;  </t>
    </r>
    <r>
      <rPr>
        <b/>
        <sz val="10"/>
        <rFont val="Arial"/>
        <family val="2"/>
      </rPr>
      <t>اسم الشركه</t>
    </r>
  </si>
  <si>
    <r>
      <t>What reporting periods will be entered?</t>
    </r>
    <r>
      <rPr>
        <b/>
        <sz val="10"/>
        <rFont val="Arial"/>
        <family val="2"/>
      </rPr>
      <t xml:space="preserve">  ماهي الفترات التى سيتم ادخال الفتره الماليه</t>
    </r>
  </si>
  <si>
    <r>
      <t xml:space="preserve">Annual  </t>
    </r>
    <r>
      <rPr>
        <b/>
        <sz val="10"/>
        <rFont val="Arial"/>
        <family val="2"/>
      </rPr>
      <t>سنوى</t>
    </r>
  </si>
  <si>
    <t>(سنوي  ,نصف سنوي   ,ربع شهري    ,شهري)</t>
  </si>
  <si>
    <r>
      <t xml:space="preserve">Most Current Period </t>
    </r>
    <r>
      <rPr>
        <b/>
        <i/>
        <sz val="10"/>
        <rFont val="Arial"/>
        <family val="2"/>
      </rPr>
      <t xml:space="preserve"> الفتره الماليه</t>
    </r>
    <r>
      <rPr>
        <b/>
        <sz val="10"/>
        <rFont val="Arial"/>
        <family val="2"/>
      </rPr>
      <t xml:space="preserve"> </t>
    </r>
  </si>
  <si>
    <r>
      <t xml:space="preserve">Previous Period  </t>
    </r>
    <r>
      <rPr>
        <b/>
        <i/>
        <sz val="10"/>
        <rFont val="Arial"/>
        <family val="2"/>
      </rPr>
      <t>الفتره السابقه</t>
    </r>
  </si>
  <si>
    <r>
      <t xml:space="preserve">2nd Previous Period  </t>
    </r>
    <r>
      <rPr>
        <b/>
        <i/>
        <sz val="10"/>
        <rFont val="Arial"/>
        <family val="2"/>
      </rPr>
      <t>الفتره السابقه الثانيه</t>
    </r>
  </si>
  <si>
    <r>
      <t xml:space="preserve">3rd Previous Period  </t>
    </r>
    <r>
      <rPr>
        <b/>
        <i/>
        <sz val="10"/>
        <rFont val="Arial"/>
        <family val="2"/>
      </rPr>
      <t>الفتره السابقه الثالثه</t>
    </r>
  </si>
  <si>
    <r>
      <t xml:space="preserve">4th Previous Period </t>
    </r>
    <r>
      <rPr>
        <b/>
        <i/>
        <sz val="10"/>
        <rFont val="Arial"/>
        <family val="2"/>
      </rPr>
      <t xml:space="preserve"> الفتره السابقه الرابعه</t>
    </r>
  </si>
  <si>
    <r>
      <t>Number of historical periods to be analyzed</t>
    </r>
    <r>
      <rPr>
        <b/>
        <i/>
        <sz val="10"/>
        <rFont val="Arial"/>
        <family val="2"/>
      </rPr>
      <t xml:space="preserve"> عدد الفترات التاريخيه التى سيتم تحقيقها </t>
    </r>
  </si>
  <si>
    <t>اصول متداوله</t>
  </si>
  <si>
    <t>اصول ثابته</t>
  </si>
  <si>
    <t>التزامات متداوله</t>
  </si>
  <si>
    <t>النقديه و النقديه المقاربه</t>
  </si>
  <si>
    <t>اسهم متداوله قصيره الاجل</t>
  </si>
  <si>
    <t>ذمم مدينه</t>
  </si>
  <si>
    <t>مخزون</t>
  </si>
  <si>
    <t>اصول متداوله اخرى</t>
  </si>
  <si>
    <t>استهلاك متراكم</t>
  </si>
  <si>
    <t>صافي الاصول الثابته</t>
  </si>
  <si>
    <t>استثمارات طويله الاجل</t>
  </si>
  <si>
    <t>استثمارات في شركات اخرى</t>
  </si>
  <si>
    <t>اصول غير ملموسه</t>
  </si>
  <si>
    <t xml:space="preserve">ذمم دائنه </t>
  </si>
  <si>
    <t>التزامات قصيره اخرى</t>
  </si>
  <si>
    <t>دين طويل الاجل , قروض</t>
  </si>
  <si>
    <t>التزمات اخرى طويله الاجل</t>
  </si>
  <si>
    <t>Purpose of Spreadsheet:</t>
  </si>
  <si>
    <t xml:space="preserve">The financial analysis uses a combination of ratios and industry averages to </t>
  </si>
  <si>
    <t>evaluate the financial performance of the company. Trend line graphs are also</t>
  </si>
  <si>
    <t>generated, comparing the company's performance with the industry averages.</t>
  </si>
  <si>
    <t>Required Inputs:</t>
  </si>
  <si>
    <t>You will need to collect financial statements for several reporting periods. If you</t>
  </si>
  <si>
    <t>want to benchmark the performance against the industry, then you will also need</t>
  </si>
  <si>
    <t>to collect industry averages. The spreadsheet is setup to capture five reporting</t>
  </si>
  <si>
    <t>periods (annual, quarterly, monthly). All input fields are highlighted in yellow.</t>
  </si>
  <si>
    <t>Worksheet</t>
  </si>
  <si>
    <t>Description</t>
  </si>
  <si>
    <t xml:space="preserve"> </t>
  </si>
  <si>
    <t>Income Statement</t>
  </si>
  <si>
    <t>Balance Sheet</t>
  </si>
  <si>
    <t>Cash Flow Statement</t>
  </si>
  <si>
    <t>Ref</t>
  </si>
  <si>
    <t>Net Sales</t>
  </si>
  <si>
    <t>Other Operating Revenues</t>
  </si>
  <si>
    <t>Total Revenues</t>
  </si>
  <si>
    <t>Cost of Goods Sold</t>
  </si>
  <si>
    <t>Other Operating Expenses</t>
  </si>
  <si>
    <t>Total Direct Expenses</t>
  </si>
  <si>
    <t>Selling, General &amp; Administrative</t>
  </si>
  <si>
    <t>Operating Income</t>
  </si>
  <si>
    <t>Period</t>
  </si>
  <si>
    <t>Interest Expenses</t>
  </si>
  <si>
    <t>(1999, July 1998, 6/30/97, etc.)</t>
  </si>
  <si>
    <t>(Annual, Semi-annual, Quarterly or Monthly)</t>
  </si>
  <si>
    <t>Income Tax Expense</t>
  </si>
  <si>
    <t>Reserve Charges</t>
  </si>
  <si>
    <t>Income Before Extra Ord Items</t>
  </si>
  <si>
    <t>Net Income</t>
  </si>
  <si>
    <t>Tax Effects of Extraordinary Items</t>
  </si>
  <si>
    <t>Minority Interests</t>
  </si>
  <si>
    <t>Primary EPS</t>
  </si>
  <si>
    <t xml:space="preserve">For best results, SEC Filings are suggested since these reports provide more </t>
  </si>
  <si>
    <t>detail than published financial statements.</t>
  </si>
  <si>
    <t>Cash and Cash Equivalents</t>
  </si>
  <si>
    <t>Short Term Marketable Securities</t>
  </si>
  <si>
    <t>Other Current Assets</t>
  </si>
  <si>
    <t>Total Current Assets</t>
  </si>
  <si>
    <t>Current Assets</t>
  </si>
  <si>
    <t>millions of dollars</t>
  </si>
  <si>
    <t>Fixed Assets</t>
  </si>
  <si>
    <t>Accumulated Depreciation</t>
  </si>
  <si>
    <t>Net Fixed Assets</t>
  </si>
  <si>
    <t xml:space="preserve">Longterm Investments </t>
  </si>
  <si>
    <t>Investments in Other Companies</t>
  </si>
  <si>
    <t>Intangibles and Other Assets</t>
  </si>
  <si>
    <t>Total Assets</t>
  </si>
  <si>
    <t>Accounts Payable</t>
  </si>
  <si>
    <t>Short Term Borrowings</t>
  </si>
  <si>
    <t>Short Term Portion of LT Debt</t>
  </si>
  <si>
    <t>Other Current Liabilities</t>
  </si>
  <si>
    <t>Total Current Liabilities</t>
  </si>
  <si>
    <t>Longterm Debt / Borrowings</t>
  </si>
  <si>
    <t>Other Longterm Liabilities</t>
  </si>
  <si>
    <t>Total Liabilities</t>
  </si>
  <si>
    <t>Preferred Equity</t>
  </si>
  <si>
    <t>Retained Earnings</t>
  </si>
  <si>
    <t>Treasury Stock</t>
  </si>
  <si>
    <t>Total Shareholder Equity</t>
  </si>
  <si>
    <t xml:space="preserve">Note: A small red triangle in the upper right corner of a cell indicates that a comment has </t>
  </si>
  <si>
    <t xml:space="preserve">Inventory </t>
  </si>
  <si>
    <t>Additional Paid in Capital</t>
  </si>
  <si>
    <t>Common Equity</t>
  </si>
  <si>
    <t>Depreciation and Amortization</t>
  </si>
  <si>
    <t>Working Capital</t>
  </si>
  <si>
    <t>Liquid Capital</t>
  </si>
  <si>
    <t>Tax Rate</t>
  </si>
  <si>
    <t>Income before ExtraOrd Items</t>
  </si>
  <si>
    <t>Interest Expense</t>
  </si>
  <si>
    <t>Capitalized Interest Expense</t>
  </si>
  <si>
    <t>Research &amp; Devel Expenses</t>
  </si>
  <si>
    <t>Depreciation &amp; Amortization</t>
  </si>
  <si>
    <t>Cash Flow from Operations</t>
  </si>
  <si>
    <t>Capital Expenditures</t>
  </si>
  <si>
    <t>(Increase) Decrease Defer Taxes</t>
  </si>
  <si>
    <t>(Gain) Loss on Sale of Assets</t>
  </si>
  <si>
    <t>(Increase) Decrease Current Assets</t>
  </si>
  <si>
    <t>Increase (Decrease) Current Liab</t>
  </si>
  <si>
    <t>Proceeds from Sales of Assets</t>
  </si>
  <si>
    <t>Purchases of Investments</t>
  </si>
  <si>
    <t>Sale of Investments</t>
  </si>
  <si>
    <t>Proceeds from Borrowings</t>
  </si>
  <si>
    <t>Payments on Borrowings</t>
  </si>
  <si>
    <t>Purchase / Retire Common Stock</t>
  </si>
  <si>
    <t>Other Investment Activities</t>
  </si>
  <si>
    <t>Cash Provided (Used) from Investmts</t>
  </si>
  <si>
    <t>Dividends Paid to Shareholders</t>
  </si>
  <si>
    <t>Proceeds from Minority Interest</t>
  </si>
  <si>
    <t>Other Financing Activities</t>
  </si>
  <si>
    <t>Cash Provided (Used) from Financing</t>
  </si>
  <si>
    <t>Increase (Decrease) to Cash</t>
  </si>
  <si>
    <t>Beginning Cash Balance</t>
  </si>
  <si>
    <t>Ending Cash Balance</t>
  </si>
  <si>
    <t>This spreadsheet consists of the following worksheets, divided into three sections:</t>
  </si>
  <si>
    <t>Adj for Foreign Currency Transl</t>
  </si>
  <si>
    <t>Foreign Exchange (Loss) Gain</t>
  </si>
  <si>
    <t>Associated Company (Loss) Gain</t>
  </si>
  <si>
    <t>Other NonOperating (Loss) Gain</t>
  </si>
  <si>
    <t>Horizontal Analysis</t>
  </si>
  <si>
    <t>Vertical Analysis</t>
  </si>
  <si>
    <t>Extra Ordinary Items (Loss) Gain</t>
  </si>
  <si>
    <t>Check: Should agree to Balance Sheet</t>
  </si>
  <si>
    <t>Issue Stock / Exercise Options</t>
  </si>
  <si>
    <t>EBITDA</t>
  </si>
  <si>
    <t>Current Liabilities</t>
  </si>
  <si>
    <t>Ratio Analysis for</t>
  </si>
  <si>
    <t>Ratio Analysis</t>
  </si>
  <si>
    <t>Enter general information here - used on several worksheets.</t>
  </si>
  <si>
    <t>Enter comparative balances sheets for up to five periods.</t>
  </si>
  <si>
    <t>Title</t>
  </si>
  <si>
    <t>Purpose</t>
  </si>
  <si>
    <t>A) Input Worksheets for financial analysis using historical data:</t>
  </si>
  <si>
    <t>B) Output Worksheets for evaluating financial performance:</t>
  </si>
  <si>
    <t>Key Financial Data</t>
  </si>
  <si>
    <t>Calculates key financial information for further analysis.</t>
  </si>
  <si>
    <t>Calculates a series of ratios for further analysis.</t>
  </si>
  <si>
    <t>Asset Management</t>
  </si>
  <si>
    <t>Title of Ratio</t>
  </si>
  <si>
    <t>Receivable Turnover:</t>
  </si>
  <si>
    <t>Credit Sales</t>
  </si>
  <si>
    <t>Average Receivable Balance</t>
  </si>
  <si>
    <t>Accounts Receivable</t>
  </si>
  <si>
    <t>Receivable Turnover</t>
  </si>
  <si>
    <t>Acid Test Ratio</t>
  </si>
  <si>
    <t>Total Asset Turnover</t>
  </si>
  <si>
    <t>Net Operating Income</t>
  </si>
  <si>
    <t>Marketable Securities</t>
  </si>
  <si>
    <t>Notes Receivable</t>
  </si>
  <si>
    <t>Long Term Debt</t>
  </si>
  <si>
    <t>Capitalization Rate / Asset Return:</t>
  </si>
  <si>
    <t>Capitalization Rate / Return</t>
  </si>
  <si>
    <t>Operating Cash Flow to Net Income</t>
  </si>
  <si>
    <t>Current Ratio</t>
  </si>
  <si>
    <t>Days Required to Collect A/R</t>
  </si>
  <si>
    <t>2-1</t>
  </si>
  <si>
    <t>التحليل  الافقي</t>
  </si>
  <si>
    <t>التحليل الافقي يعبر عن التغير بين الفترات على شكل نسبة لكن حساب في القوائم</t>
  </si>
  <si>
    <t>المعادلة الاساسية في التحليل الافقي  % التغير =  احداث فترات حالية - السنة السابقة /السنة السابقة</t>
  </si>
  <si>
    <t>النمو في صافي المبيعات</t>
  </si>
  <si>
    <t>النمو في مجمل الربح</t>
  </si>
  <si>
    <t>النمو في مصروف الفائدة</t>
  </si>
  <si>
    <t>النمو في مصروف ضريبة الدخل</t>
  </si>
  <si>
    <t>النمو في مصاريف غير تشغيلية</t>
  </si>
  <si>
    <t>النمو في الفوائد الاقلية</t>
  </si>
  <si>
    <t>النمو في صافي الدخل</t>
  </si>
  <si>
    <t>نمو العائد على السهم</t>
  </si>
  <si>
    <t>النقدية ومعادلاتها</t>
  </si>
  <si>
    <t>اسهم سوقية قصيرة الاجل</t>
  </si>
  <si>
    <t>ذمم مدينة</t>
  </si>
  <si>
    <t>اصول اخرى سائلة</t>
  </si>
  <si>
    <t>صافي الاصول الثابتة</t>
  </si>
  <si>
    <t>استثمارات طويلة الاجل</t>
  </si>
  <si>
    <t>استثمارات في شركات احرى</t>
  </si>
  <si>
    <t>غير ملموسة واصول اخرى</t>
  </si>
  <si>
    <t>مجموع الاصول غير المتداولة</t>
  </si>
  <si>
    <t>النمو في الاصول المتداولة</t>
  </si>
  <si>
    <t>ذمم دائنة</t>
  </si>
  <si>
    <t>الاقراض قصير الاجل</t>
  </si>
  <si>
    <t>حصة الدين ltقصيرة الاجل</t>
  </si>
  <si>
    <t>التزامات متداولة اخرى</t>
  </si>
  <si>
    <t>مجموع الالتزامات قصيرة الاجل</t>
  </si>
  <si>
    <t>الاقتراض / دين طويل الاجل</t>
  </si>
  <si>
    <t>التزامات اخرى طويلة الاجل</t>
  </si>
  <si>
    <t>مجموع الالتزامات طويلة الاجل</t>
  </si>
  <si>
    <t>النمو في الالتزامات طويلة الاجل</t>
  </si>
  <si>
    <t>اسهم  ممتازة</t>
  </si>
  <si>
    <t>اسهم عادية</t>
  </si>
  <si>
    <t>اضافات إلى راس المال</t>
  </si>
  <si>
    <t>ارباح محتجزة</t>
  </si>
  <si>
    <t>تعديلات من تبديل عملات اجنبية</t>
  </si>
  <si>
    <t>اسهم خزينة</t>
  </si>
  <si>
    <t>النمو في مجموع حقوق الملكية</t>
  </si>
  <si>
    <t>نسبة النمو المستمرة  1</t>
  </si>
  <si>
    <t>نسبة النمو المستمرة  2</t>
  </si>
  <si>
    <t>نمو في رسملة السوق</t>
  </si>
  <si>
    <t>التحليل  العمودي</t>
  </si>
  <si>
    <t>التحليل العمودي يعبر عن القوائم المالية بشكل نسب،في الميزانية فان مجموع  الاصول</t>
  </si>
  <si>
    <t>يعبر  عنة نسبة 100% وبالنسبة لقائمة الدخل  مجموع الايرادات يعبر عنها  100%</t>
  </si>
  <si>
    <t>النقدية والنقدية المقاربة</t>
  </si>
  <si>
    <t>اسهم متداولة قصيرة الاجل</t>
  </si>
  <si>
    <t>اصول متداولة اخرى</t>
  </si>
  <si>
    <t>اصول متداولة</t>
  </si>
  <si>
    <t>اصول ثابتة</t>
  </si>
  <si>
    <t>اصول غير ملموسة</t>
  </si>
  <si>
    <t>اصول غير متداولة</t>
  </si>
  <si>
    <t>ديون قصيرة الاجل</t>
  </si>
  <si>
    <t>التزامات قصيرة اخرى</t>
  </si>
  <si>
    <t>مجموع الالتزامت قصيرة الاجل</t>
  </si>
  <si>
    <t>دين طويل الاجل / قروض</t>
  </si>
  <si>
    <t>مجموع الالتزامت طويلة الاجل</t>
  </si>
  <si>
    <t xml:space="preserve">مجموع الالتزامات </t>
  </si>
  <si>
    <t>حقوق ملكية  ممتازة</t>
  </si>
  <si>
    <t>حقوق ملكية عادية</t>
  </si>
  <si>
    <t>اضافات  إلى راس المال</t>
  </si>
  <si>
    <t>تعديلا ت على فروق العملة الاجنبي</t>
  </si>
  <si>
    <t>مجموع حقوق الملكية للمساهمين</t>
  </si>
  <si>
    <t>اجمالي الربح</t>
  </si>
  <si>
    <t>مصاريف تشغيلية</t>
  </si>
  <si>
    <t>مصاريف غير تشغيلية</t>
  </si>
  <si>
    <t>صافي الدخل قبل الاحداث الاعتيادية</t>
  </si>
  <si>
    <t>ذمم مدينة إلى الايرادات</t>
  </si>
  <si>
    <t>المخزون إلى الايرادات</t>
  </si>
  <si>
    <t>اصول اخرى إلى الايرادات</t>
  </si>
  <si>
    <t>اصول متداولة إلى الايرادات</t>
  </si>
  <si>
    <t>ذمم دائنة إلى  الايرادات</t>
  </si>
  <si>
    <t>اقتراض قصير اجل إلى الايرادات</t>
  </si>
  <si>
    <t>التزامات قصيرة الاجل إلى الايراد</t>
  </si>
  <si>
    <t>التزامات طويلة الاجل إلى الايراد</t>
  </si>
  <si>
    <t>يتم تشكيل وبناء التقارير المالية متوقعة بناء على نتائج التحليل التاريخي في اوراق العمل السابقة . افتراضات النمو تظهر في االاماكن القابلة لدراسة.</t>
  </si>
  <si>
    <t>تنبؤات الدخل</t>
  </si>
  <si>
    <t>مجمل ربح</t>
  </si>
  <si>
    <t>افتراض نمو</t>
  </si>
  <si>
    <t>مصاريف التشغيل</t>
  </si>
  <si>
    <t>المصاريف غير التشغيلية</t>
  </si>
  <si>
    <t>بنود غير اعتيادية</t>
  </si>
  <si>
    <t>تنبؤ قائمة التدفق النقدي</t>
  </si>
  <si>
    <t>مصادر التدفق التشغيلي</t>
  </si>
  <si>
    <t>زيادة نقص بالضرائب</t>
  </si>
  <si>
    <t>ربح او خسارة على مبيعات الاصول</t>
  </si>
  <si>
    <t>زيادة او نقص اصول متداولة</t>
  </si>
  <si>
    <t>زيادة او نقص في التزامات متداولة</t>
  </si>
  <si>
    <t>التدفق النقدي التشغيلي</t>
  </si>
  <si>
    <t>التدفق النقدي من الصادر الاستثمارية</t>
  </si>
  <si>
    <t>اصول مباعة مخططة</t>
  </si>
  <si>
    <t>استثمارات مباعة مخططة</t>
  </si>
  <si>
    <t>استثمارات اخرى لاستخدام</t>
  </si>
  <si>
    <t>مجموع مصادر الاستثمار النقدي</t>
  </si>
  <si>
    <t>استثمارات مخططة</t>
  </si>
  <si>
    <t>مصاريف راسمالية</t>
  </si>
  <si>
    <t>شراء  استمثارات</t>
  </si>
  <si>
    <t>مجموع استثمارات نقدية</t>
  </si>
  <si>
    <t>التدفق النقدي عن الاستثمارات التمويلية</t>
  </si>
  <si>
    <t>المتحصلات من الديمن والقروض</t>
  </si>
  <si>
    <t>المتحصلات من فوائد الاقلية</t>
  </si>
  <si>
    <t>نشاطات مالية اخرى</t>
  </si>
  <si>
    <t>مجموع مصادر التدفق المالي</t>
  </si>
  <si>
    <t>التدفق النقدي المستخدم للتمويل</t>
  </si>
  <si>
    <t>دفعات قروض وديون</t>
  </si>
  <si>
    <t>توزيعات مدفوعة للمساهمين</t>
  </si>
  <si>
    <t>مشتريات اسهم</t>
  </si>
  <si>
    <t>نشاطات تمويلية اخرى</t>
  </si>
  <si>
    <t>مجموع الاستخدامات المالية والنقدية</t>
  </si>
  <si>
    <t>مجموع التغير في النقد</t>
  </si>
  <si>
    <t>رصيد النقدية اول الفترة</t>
  </si>
  <si>
    <t>التنبؤ بالرصيد في نهاية الفترة</t>
  </si>
  <si>
    <t>التنبؤ في الميزانية</t>
  </si>
  <si>
    <t>2-2</t>
  </si>
  <si>
    <t>2-3</t>
  </si>
  <si>
    <t>2-4</t>
  </si>
  <si>
    <t>2-5</t>
  </si>
  <si>
    <t>2-6</t>
  </si>
  <si>
    <t>2-7</t>
  </si>
  <si>
    <t>2-8</t>
  </si>
  <si>
    <t>2-9</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</si>
  <si>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</si>
  <si>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</si>
  <si>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</si>
  <si>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</si>
  <si>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</si>
  <si>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</si>
  <si>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</si>
  <si>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</si>
  <si>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</si>
  <si>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</si>
  <si>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</si>
  <si>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</si>
  <si>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</si>
  <si>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</si>
  <si>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</si>
  <si>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</si>
  <si>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</si>
  <si>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</si>
  <si>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</si>
  <si>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</si>
  <si>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</si>
  <si>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</si>
  <si>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</si>
  <si>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</si>
  <si>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</si>
  <si>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</si>
  <si>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</si>
  <si>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</si>
  <si>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Horizontal Analysis for</t>
  </si>
  <si>
    <t>&gt;</t>
  </si>
  <si>
    <t>&lt;</t>
  </si>
  <si>
    <t>Home</t>
  </si>
  <si>
    <t>End</t>
  </si>
  <si>
    <t>4-1</t>
  </si>
  <si>
    <t>4-2</t>
  </si>
  <si>
    <t>4-3</t>
  </si>
  <si>
    <t>4-4</t>
  </si>
  <si>
    <t>4-5</t>
  </si>
  <si>
    <t>4-6</t>
  </si>
  <si>
    <t>4-7</t>
  </si>
  <si>
    <t>4-8</t>
  </si>
  <si>
    <t>4-9</t>
  </si>
  <si>
    <t>4-10</t>
  </si>
  <si>
    <t>4-11</t>
  </si>
  <si>
    <t>4-12</t>
  </si>
  <si>
    <t>4-13</t>
  </si>
  <si>
    <t>4-14</t>
  </si>
  <si>
    <t>4-15</t>
  </si>
  <si>
    <t>4-16</t>
  </si>
  <si>
    <t>4-17</t>
  </si>
  <si>
    <t>4-18</t>
  </si>
  <si>
    <t>4-19</t>
  </si>
  <si>
    <t>4-20</t>
  </si>
  <si>
    <t>4-22</t>
  </si>
  <si>
    <t>4-23</t>
  </si>
  <si>
    <t>4-24</t>
  </si>
  <si>
    <t>&gt;&gt;</t>
  </si>
  <si>
    <t>&lt;&lt;</t>
  </si>
  <si>
    <t>You need to collect benchmark data on the respective industry for the subject company.</t>
  </si>
  <si>
    <t xml:space="preserve">Enter the benchmark data in the appropriate input cells. This information is used to </t>
  </si>
  <si>
    <t>Inventory Turnover</t>
  </si>
  <si>
    <t>Average Inventory Balance</t>
  </si>
  <si>
    <t>Inventory Turnover:</t>
  </si>
  <si>
    <t>Debt to Total Assets</t>
  </si>
  <si>
    <t>Times Interest Earned</t>
  </si>
  <si>
    <t>Gross Profit Margin</t>
  </si>
  <si>
    <t>Operating Margin</t>
  </si>
  <si>
    <t>Net Profit Margin</t>
  </si>
  <si>
    <t>Return on Shareholder Equity</t>
  </si>
  <si>
    <t>Price to Earnings (P/E)</t>
  </si>
  <si>
    <t>Price to Book Value</t>
  </si>
  <si>
    <t>Redemption of Fixed Obligations</t>
  </si>
  <si>
    <t xml:space="preserve">Other Critical Outlays </t>
  </si>
  <si>
    <t>Operating Cash Flow</t>
  </si>
  <si>
    <t>Free Cash Flow</t>
  </si>
  <si>
    <t>Investment Cash Flows</t>
  </si>
  <si>
    <t>Z Score:</t>
  </si>
  <si>
    <t>Direct Cost to Operating Revenues</t>
  </si>
  <si>
    <t>Stock Yield</t>
  </si>
  <si>
    <t>% change = (most recent period - previous period) / previous period</t>
  </si>
  <si>
    <t>Horizontal Analysis expresses change between periods as percentages for each account in</t>
  </si>
  <si>
    <t>the financial statements. The basic formula for horizontal analysis is:</t>
  </si>
  <si>
    <t>Days in Inventory</t>
  </si>
  <si>
    <t>Liquidity Index:</t>
  </si>
  <si>
    <t>Cash - Days Removed</t>
  </si>
  <si>
    <t>Receivables - Days Removed</t>
  </si>
  <si>
    <t>Inventory - Days Removed</t>
  </si>
  <si>
    <t>Other - Days Removed</t>
  </si>
  <si>
    <t>Cash Balance</t>
  </si>
  <si>
    <t>Operating Assets Ratio</t>
  </si>
  <si>
    <t>Receivable Balance</t>
  </si>
  <si>
    <t>Inventory Balance</t>
  </si>
  <si>
    <t>Other Current Assets Balance</t>
  </si>
  <si>
    <t>Marketable Sec - Days Removed</t>
  </si>
  <si>
    <t>Marketable Securities Balance</t>
  </si>
  <si>
    <t xml:space="preserve">1.2 x (working capital / total assets) </t>
  </si>
  <si>
    <t>1.4 x (retained earn / total assets)</t>
  </si>
  <si>
    <t>3.3 x (EBIT / total assets)</t>
  </si>
  <si>
    <t>.6 x (market value equity / b.v. debt)</t>
  </si>
  <si>
    <t>.999 x (sales / total assets)</t>
  </si>
  <si>
    <t>Z Score</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</si>
  <si>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</si>
  <si>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</si>
  <si>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</si>
  <si>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</si>
  <si>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</si>
  <si>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</si>
  <si>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</si>
  <si>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</si>
  <si>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</si>
  <si>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</si>
  <si>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</si>
  <si>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</si>
  <si>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</si>
  <si>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</si>
  <si>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</si>
  <si>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</si>
  <si>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</si>
  <si>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</si>
  <si>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</si>
  <si>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</si>
  <si>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</si>
  <si>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</si>
  <si>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</si>
  <si>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</si>
  <si>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</si>
  <si>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</si>
  <si>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7-1</t>
  </si>
  <si>
    <t>7-2</t>
  </si>
  <si>
    <t>7-3</t>
  </si>
  <si>
    <t>7-4</t>
  </si>
  <si>
    <t>7-5</t>
  </si>
  <si>
    <t>7-6</t>
  </si>
  <si>
    <t>7-7</t>
  </si>
  <si>
    <t>8-1</t>
  </si>
  <si>
    <t>Receivable Balance Total</t>
  </si>
  <si>
    <t>Inventory Balance Total</t>
  </si>
  <si>
    <t>Other Current Assets Total</t>
  </si>
  <si>
    <t>Cash Balance Total</t>
  </si>
  <si>
    <t>Marketable Securities Total</t>
  </si>
  <si>
    <t>Liquidity Index (Days)</t>
  </si>
  <si>
    <t>Liquidity / Ability to Meet Obligations</t>
  </si>
  <si>
    <t>Profitability</t>
  </si>
  <si>
    <t>Market</t>
  </si>
  <si>
    <t>Leverage</t>
  </si>
  <si>
    <t>Total Investments / Operating Assets</t>
  </si>
  <si>
    <t>Growth in Net Sales</t>
  </si>
  <si>
    <t>Growth in Gross Profits</t>
  </si>
  <si>
    <t>Growth in Net Income</t>
  </si>
  <si>
    <t>Growth in Total Assets</t>
  </si>
  <si>
    <t>Growth in Earnings Per Share</t>
  </si>
  <si>
    <t>Growth in Total Equity (Net Worth)</t>
  </si>
  <si>
    <t>Growth in Market Capitalization</t>
  </si>
  <si>
    <t>9-1</t>
  </si>
  <si>
    <t>9-2</t>
  </si>
  <si>
    <t>9-3</t>
  </si>
  <si>
    <t>9-4</t>
  </si>
  <si>
    <t>9-5</t>
  </si>
  <si>
    <t>9-6</t>
  </si>
  <si>
    <t>9-7</t>
  </si>
  <si>
    <t>9-8</t>
  </si>
  <si>
    <t>9-9</t>
  </si>
  <si>
    <t>3-43</t>
  </si>
  <si>
    <t>7-8</t>
  </si>
  <si>
    <t>7-9</t>
  </si>
  <si>
    <t>Vertical Analysis for</t>
  </si>
  <si>
    <t>expressed in percentages</t>
  </si>
  <si>
    <t>Account Title</t>
  </si>
  <si>
    <t>Non Current Assets</t>
  </si>
  <si>
    <t>Total Equity</t>
  </si>
  <si>
    <t xml:space="preserve">Vertical analysis expresses financial statements as percentages. On the Balance Sheet, </t>
  </si>
  <si>
    <t>Gross Profit</t>
  </si>
  <si>
    <t>Operating Expenses</t>
  </si>
  <si>
    <t>Graphs for the Vertical Analysis appear below:</t>
  </si>
  <si>
    <t>Total Assets is assigned 100% and on the Income Statement, Total Revenues is assigned 100%.</t>
  </si>
  <si>
    <t>Non Operating Expenses</t>
  </si>
  <si>
    <t>10-1</t>
  </si>
  <si>
    <t>10-2</t>
  </si>
  <si>
    <t>10-3</t>
  </si>
  <si>
    <t>10-4</t>
  </si>
  <si>
    <t>10-5</t>
  </si>
  <si>
    <t>10-6</t>
  </si>
  <si>
    <t>10-7</t>
  </si>
  <si>
    <t>10-8</t>
  </si>
  <si>
    <t>10-9</t>
  </si>
  <si>
    <t>10-10</t>
  </si>
  <si>
    <t>10-11</t>
  </si>
  <si>
    <t>10-12</t>
  </si>
  <si>
    <t>Common size financials in percentages and graphs.</t>
  </si>
  <si>
    <t>Horizontal analysis with corresponding trend lines.</t>
  </si>
  <si>
    <t>7-10</t>
  </si>
  <si>
    <t>7-11</t>
  </si>
  <si>
    <t>7-12</t>
  </si>
  <si>
    <t>7-13</t>
  </si>
  <si>
    <t>7-14</t>
  </si>
  <si>
    <t>7-15</t>
  </si>
  <si>
    <t>7-16</t>
  </si>
  <si>
    <t>7-17</t>
  </si>
  <si>
    <t>7-18</t>
  </si>
  <si>
    <t>7-19</t>
  </si>
  <si>
    <t>7-20</t>
  </si>
  <si>
    <t>7-21</t>
  </si>
  <si>
    <t>7-22</t>
  </si>
  <si>
    <t>Enter Your Forecast Periods =&gt;</t>
  </si>
  <si>
    <t>Gross Revenues</t>
  </si>
  <si>
    <t>2-10</t>
  </si>
  <si>
    <t>Pro Forma Income Statement</t>
  </si>
  <si>
    <t>ProForma Financials (Simple Projection Model)</t>
  </si>
  <si>
    <t>This forecast is very simple and does not rely on any statistical methods.</t>
  </si>
  <si>
    <t>generate trend line graphs in this worksheet. If you do not have any benchmark data,</t>
  </si>
  <si>
    <t>Benchmark Analysis for</t>
  </si>
  <si>
    <t>then fill in the highlighted yellow cell with numeric zero "0". The "industry" line will be null</t>
  </si>
  <si>
    <t>in the graph and show only the company specific ratio trend.</t>
  </si>
  <si>
    <t>6-1</t>
  </si>
  <si>
    <t>6-2</t>
  </si>
  <si>
    <t>6-3</t>
  </si>
  <si>
    <t>6-4</t>
  </si>
  <si>
    <t>6-5</t>
  </si>
  <si>
    <t>6-6</t>
  </si>
  <si>
    <t>7-26</t>
  </si>
  <si>
    <t>7-24</t>
  </si>
  <si>
    <t>7-25</t>
  </si>
  <si>
    <t>7-27</t>
  </si>
  <si>
    <t>7-28</t>
  </si>
  <si>
    <t>7-29</t>
  </si>
  <si>
    <t>7-30</t>
  </si>
  <si>
    <t>7-31</t>
  </si>
  <si>
    <t>7-32</t>
  </si>
  <si>
    <t>7-33</t>
  </si>
  <si>
    <t>7-34</t>
  </si>
  <si>
    <t>7-35</t>
  </si>
  <si>
    <t>7-36</t>
  </si>
  <si>
    <t>7-37</t>
  </si>
  <si>
    <t>7-38</t>
  </si>
  <si>
    <t>7-39</t>
  </si>
  <si>
    <t>7-40</t>
  </si>
  <si>
    <t>7-41</t>
  </si>
  <si>
    <t>7-42</t>
  </si>
  <si>
    <t>Acid Test Ratio - Industry</t>
  </si>
  <si>
    <t>Acid Test Ratio - Company</t>
  </si>
  <si>
    <t>ProForma Financials (Linear Trend Model)</t>
  </si>
  <si>
    <t>Growth Assumptions</t>
  </si>
  <si>
    <t>A set of pro forma (forecasted) financial statements are generated using the results of</t>
  </si>
  <si>
    <t>the historical analysis in the previous worksheets. Growth assumptions appear where</t>
  </si>
  <si>
    <t xml:space="preserve">applicable. You can override any growth assumptions with your own rates. </t>
  </si>
  <si>
    <t>Pro Forma Cash Flow Statement</t>
  </si>
  <si>
    <t>Extra Ordinary Items</t>
  </si>
  <si>
    <t>4-25</t>
  </si>
  <si>
    <t>4-26</t>
  </si>
  <si>
    <t>Total Non Operating Expenses</t>
  </si>
  <si>
    <t>Total Extra Ordinary Items</t>
  </si>
  <si>
    <t>Pro Forma - Simple</t>
  </si>
  <si>
    <t>Pro Forma - Regression</t>
  </si>
  <si>
    <t>Scenario Analysis</t>
  </si>
  <si>
    <t>Set of pro forma financials using simple assumptions</t>
  </si>
  <si>
    <t>Benchmark Analysis</t>
  </si>
  <si>
    <t>Compare ratio analysis to industry averages.</t>
  </si>
  <si>
    <t xml:space="preserve">Finally, the historical information is used to prepare a set of pro forma </t>
  </si>
  <si>
    <t>been inserted. Point your mouse over the cell and the comment will appear.</t>
  </si>
  <si>
    <t xml:space="preserve">the historical analysis in the previous worksheets. A statistical method known as </t>
  </si>
  <si>
    <t>Current Ratio - Industry</t>
  </si>
  <si>
    <t>Current Ratio - Company</t>
  </si>
  <si>
    <t>Graphs appear below for each of the above comparisons:</t>
  </si>
  <si>
    <t>Return on Total Assets - Company</t>
  </si>
  <si>
    <t>Receivable Turnover - Industry</t>
  </si>
  <si>
    <t>Receivable Turnover - Company</t>
  </si>
  <si>
    <t>Inventory Turnover - Industry</t>
  </si>
  <si>
    <t>Inventory Turnover - Company</t>
  </si>
  <si>
    <t>Days in Inventory - Industry</t>
  </si>
  <si>
    <t>Days in Inventory - Company</t>
  </si>
  <si>
    <t>Asset Turnover - Industry</t>
  </si>
  <si>
    <t>Asset Turnover - Company</t>
  </si>
  <si>
    <t>Gross Profit Margin - Industry</t>
  </si>
  <si>
    <t>Gross Profit Margin - Company</t>
  </si>
  <si>
    <t>Net Profit Margin - Industry</t>
  </si>
  <si>
    <t>Net Profit Margin - Company</t>
  </si>
  <si>
    <t>Return on Total Assets - Industry</t>
  </si>
  <si>
    <t>Return on Equity - Industry</t>
  </si>
  <si>
    <t>Return on Equity - Company</t>
  </si>
  <si>
    <t>Debt to Equity - Industry</t>
  </si>
  <si>
    <t>Debt to Equity - Company</t>
  </si>
  <si>
    <t>Times Interest Earned - Industry</t>
  </si>
  <si>
    <t>Times Interest Earned - Company</t>
  </si>
  <si>
    <t>8-2</t>
  </si>
  <si>
    <t>8-3</t>
  </si>
  <si>
    <t>8-4</t>
  </si>
  <si>
    <t>8-5</t>
  </si>
  <si>
    <t>8-6</t>
  </si>
  <si>
    <t>8-7</t>
  </si>
  <si>
    <t>8-8</t>
  </si>
  <si>
    <t>8-10</t>
  </si>
  <si>
    <t>8-11</t>
  </si>
  <si>
    <t>8-12</t>
  </si>
  <si>
    <t>8-13</t>
  </si>
  <si>
    <t>8-14</t>
  </si>
  <si>
    <t>8-15</t>
  </si>
  <si>
    <t>8-16</t>
  </si>
  <si>
    <t>Days to Collect A/R - Industry</t>
  </si>
  <si>
    <t>Days to Collect A/R - Company</t>
  </si>
  <si>
    <t>The following graph is created directly from the Cash Flow Statement:</t>
  </si>
  <si>
    <t>Scenario Analysis for</t>
  </si>
  <si>
    <t>Sources of Operating Cash Flow:</t>
  </si>
  <si>
    <t>Investment Sources of Cash Flow:</t>
  </si>
  <si>
    <t>Planned Sale of Assets</t>
  </si>
  <si>
    <t>Planned Sale of Investments</t>
  </si>
  <si>
    <t>Other Investment Sources to be used</t>
  </si>
  <si>
    <t>Planned Investments:</t>
  </si>
  <si>
    <t>Cash Flow from Financing Activities:</t>
  </si>
  <si>
    <t>Proceeds from Loans &amp; Debt</t>
  </si>
  <si>
    <t>Pro Forma Income Statement (Simple Projection Method)</t>
  </si>
  <si>
    <t>Wksh3</t>
  </si>
  <si>
    <t>Wksh4</t>
  </si>
  <si>
    <t>Wksh5</t>
  </si>
  <si>
    <t>Wksh6</t>
  </si>
  <si>
    <t>Wksh7</t>
  </si>
  <si>
    <t>Wksh9</t>
  </si>
  <si>
    <t>Wksh10</t>
  </si>
  <si>
    <t>Wksh11</t>
  </si>
  <si>
    <t>active</t>
  </si>
  <si>
    <t>11-1</t>
  </si>
  <si>
    <t>11-2</t>
  </si>
  <si>
    <t>11-3</t>
  </si>
  <si>
    <t>12-1</t>
  </si>
  <si>
    <t>12-2</t>
  </si>
  <si>
    <t>12-3</t>
  </si>
  <si>
    <t>12-4</t>
  </si>
  <si>
    <t>12-5</t>
  </si>
  <si>
    <t xml:space="preserve">linear regression is used to predict future values. If you have important assumptions </t>
  </si>
  <si>
    <t>that are important to the forecast, then these assumptions should over-ride the</t>
  </si>
  <si>
    <t>linear calculations since we want our forecast to be as accurate as possible.</t>
  </si>
  <si>
    <t>Key Point =&gt; If your historical information has gradual trends, then linear regression</t>
  </si>
  <si>
    <t xml:space="preserve">is an appropriate model for forecasting. However, if your historical information has </t>
  </si>
  <si>
    <t>Budget</t>
  </si>
  <si>
    <t>Growth in Non Operating Expenses</t>
  </si>
  <si>
    <t>9-10</t>
  </si>
  <si>
    <t xml:space="preserve">NonOperating Expenses </t>
  </si>
  <si>
    <t>into the form of budgets. We also need to summarize our assumptions that should</t>
  </si>
  <si>
    <t>Budget Analysis for</t>
  </si>
  <si>
    <t>Final Budgets for</t>
  </si>
  <si>
    <t>Now that we have analyzed our historical data and placed it into a set of</t>
  </si>
  <si>
    <t>forecast, we can pull it all together with our assumptions for a final budget.</t>
  </si>
  <si>
    <t>We can copy our forecast into a new worksheet and do scenario analysis and goal-seek analysis.</t>
  </si>
  <si>
    <t xml:space="preserve">Although Microsoft Excel includes Scenario Manager, it can be easier and quicker to simply do our </t>
  </si>
  <si>
    <t>Scenario =&gt; Non Operating Expenses will decline by $ 100,000 in year 2003 and again in year 2005:</t>
  </si>
  <si>
    <t>Simple Projection Model</t>
  </si>
  <si>
    <t>Linear Trend Model</t>
  </si>
  <si>
    <t>Pro Forma Income Statement (Linear Trend Method)</t>
  </si>
  <si>
    <t>Acquisition in Other Co's</t>
  </si>
  <si>
    <t>Earnings Before Int &amp; Taxes</t>
  </si>
  <si>
    <t>4-TT</t>
  </si>
  <si>
    <t>4-23C</t>
  </si>
  <si>
    <t>3-91</t>
  </si>
  <si>
    <t>3-92</t>
  </si>
  <si>
    <t>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</si>
</sst>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quot;$&quot;* #,##0_);_(&quot;$&quot;* \(#,##0\);_(&quot;$&quot;* &quot;-&quot;_);_(@_)"/>
    <numFmt numFmtId="165" formatCode="0.0_);\(0.0\)"/>
    <numFmt numFmtId="166" formatCode="#,##0.0_);\(#,##0.0\)"/>
    <numFmt numFmtId="167" formatCode="0_);\(0\)"/>
    <numFmt numFmtId="168" formatCode="0.00_);\(0.00\)"/>
    <numFmt numFmtId="169" formatCode="#,##0.0000"/>
    <numFmt numFmtId="170" formatCode="0.00000_);\(0.00000\)"/>
  </numFmts>
  <fonts count="41" x14ac:knownFonts="1">
    <font>
      <sz val="10"/>
      <name val="Arial"/>
    </font>
    <font>
      <sz val="10"/>
      <name val="Arial"/>
      <family val="2"/>
    </font>
    <font>
      <u/>
      <sz val="10"/>
      <name val="Arial"/>
      <family val="2"/>
    </font>
    <font>
      <i/>
      <sz val="10"/>
      <name val="Arial"/>
      <family val="2"/>
    </font>
    <font>
      <b/>
      <sz val="10"/>
      <name val="Arial"/>
      <family val="2"/>
    </font>
    <font>
      <b/>
      <sz val="12"/>
      <name val="Arial"/>
      <family val="2"/>
    </font>
    <font>
      <sz val="8"/>
      <color indexed="81"/>
      <name val="Tahoma"/>
      <family val="2"/>
    </font>
    <font>
      <u/>
      <sz val="10"/>
      <color indexed="12"/>
      <name val="Arial"/>
      <family val="2"/>
    </font>
    <font>
      <sz val="10"/>
      <name val="Arial"/>
      <family val="2"/>
    </font>
    <font>
      <sz val="8"/>
      <name val="Arial"/>
      <family val="2"/>
    </font>
    <font>
      <u/>
      <sz val="8"/>
      <color indexed="12"/>
      <name val="Arial"/>
      <family val="2"/>
    </font>
    <font>
      <b/>
      <sz val="8"/>
      <color indexed="81"/>
      <name val="Tahoma"/>
      <family val="2"/>
    </font>
    <font>
      <i/>
      <sz val="8"/>
      <name val="Arial"/>
      <family val="2"/>
    </font>
    <font>
      <b/>
      <sz val="10"/>
      <color indexed="18"/>
      <name val="Arial"/>
      <family val="2"/>
    </font>
    <font>
      <sz val="10"/>
      <color indexed="9"/>
      <name val="Arial"/>
      <family val="2"/>
    </font>
    <font>
      <b/>
      <sz val="9"/>
      <name val="Arial"/>
      <family val="2"/>
    </font>
    <font>
      <b/>
      <i/>
      <sz val="10"/>
      <name val="Arial"/>
      <family val="2"/>
    </font>
    <font>
      <b/>
      <i/>
      <sz val="12"/>
      <name val="Arial"/>
      <family val="2"/>
    </font>
    <font>
      <sz val="9"/>
      <name val="Arial"/>
      <family val="2"/>
    </font>
    <font>
      <b/>
      <i/>
      <sz val="9"/>
      <name val="Arial"/>
      <family val="2"/>
    </font>
    <font>
      <sz val="8.5"/>
      <name val="Arial"/>
      <family val="2"/>
    </font>
    <font>
      <b/>
      <i/>
      <sz val="8.5"/>
      <name val="Arial"/>
      <family val="2"/>
    </font>
    <font>
      <b/>
      <u/>
      <sz val="10"/>
      <color indexed="9"/>
      <name val="Arial"/>
      <family val="2"/>
    </font>
    <font>
      <b/>
      <sz val="10"/>
      <color indexed="9"/>
      <name val="Arial"/>
      <family val="2"/>
    </font>
    <font>
      <b/>
      <sz val="14"/>
      <color indexed="58"/>
      <name val="Arial"/>
      <family val="2"/>
    </font>
    <font>
      <b/>
      <sz val="12"/>
      <color indexed="9"/>
      <name val="Arial"/>
      <family val="2"/>
    </font>
    <font>
      <b/>
      <i/>
      <sz val="12"/>
      <color indexed="9"/>
      <name val="Arial"/>
      <family val="2"/>
    </font>
    <font>
      <i/>
      <sz val="10"/>
      <color indexed="9"/>
      <name val="Arial"/>
      <family val="2"/>
    </font>
    <font>
      <b/>
      <u/>
      <sz val="10"/>
      <name val="Arial"/>
      <family val="2"/>
    </font>
    <font>
      <b/>
      <i/>
      <sz val="8"/>
      <name val="Arial"/>
      <family val="2"/>
    </font>
    <font>
      <b/>
      <sz val="8"/>
      <name val="Arial"/>
      <family val="2"/>
    </font>
    <font>
      <b/>
      <i/>
      <sz val="8"/>
      <color indexed="81"/>
      <name val="Tahoma"/>
      <family val="2"/>
    </font>
    <font>
      <b/>
      <i/>
      <u/>
      <sz val="8"/>
      <color indexed="81"/>
      <name val="Tahoma"/>
      <family val="2"/>
    </font>
    <font>
      <sz val="10"/>
      <color indexed="81"/>
      <name val="Tahoma"/>
      <family val="2"/>
    </font>
    <font>
      <i/>
      <sz val="14"/>
      <name val="Arial"/>
      <family val="2"/>
    </font>
    <font>
      <u/>
      <sz val="11"/>
      <color indexed="8"/>
      <name val="Arial"/>
      <family val="2"/>
    </font>
    <font>
      <b/>
      <sz val="14"/>
      <name val="Arial"/>
      <family val="2"/>
    </font>
    <font>
      <b/>
      <sz val="11"/>
      <color indexed="9"/>
      <name val="Arial"/>
      <family val="2"/>
    </font>
    <font>
      <sz val="8"/>
      <name val="Arial"/>
      <family val="2"/>
    </font>
    <font>
      <b/>
      <sz val="8"/>
      <name val="Arial"/>
      <family val="2"/>
    </font>
    <font>
      <i/>
      <sz val="8"/>
      <name val="Arial"/>
      <family val="2"/>
    </font>
  </fonts>
  <fills count="13">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9"/>
        <bgColor indexed="64"/>
      </patternFill>
    </fill>
    <fill>
      <patternFill patternType="solid">
        <fgColor indexed="47"/>
        <bgColor indexed="64"/>
      </patternFill>
    </fill>
    <fill>
      <patternFill patternType="solid">
        <fgColor indexed="41"/>
        <bgColor indexed="64"/>
      </patternFill>
    </fill>
    <fill>
      <patternFill patternType="solid">
        <fgColor indexed="10"/>
        <bgColor indexed="64"/>
      </patternFill>
    </fill>
    <fill>
      <patternFill patternType="solid">
        <fgColor indexed="49"/>
        <bgColor indexed="64"/>
      </patternFill>
    </fill>
    <fill>
      <patternFill patternType="solid">
        <fgColor indexed="61"/>
        <bgColor indexed="64"/>
      </patternFill>
    </fill>
    <fill>
      <patternFill patternType="solid">
        <fgColor indexed="20"/>
        <bgColor indexed="64"/>
      </patternFill>
    </fill>
    <fill>
      <patternFill patternType="solid">
        <fgColor indexed="11"/>
        <bgColor indexed="64"/>
      </patternFill>
    </fill>
    <fill>
      <patternFill patternType="solid">
        <fgColor indexed="6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double">
        <color indexed="64"/>
      </bottom>
      <diagonal/>
    </border>
    <border>
      <left/>
      <right/>
      <top style="thin">
        <color indexed="64"/>
      </top>
      <bottom style="double">
        <color indexed="64"/>
      </bottom>
      <diagonal/>
    </border>
    <border>
      <left/>
      <right/>
      <top style="thin">
        <color indexed="23"/>
      </top>
      <bottom style="medium">
        <color indexed="23"/>
      </bottom>
      <diagonal/>
    </border>
    <border>
      <left/>
      <right/>
      <top style="medium">
        <color indexed="23"/>
      </top>
      <bottom style="medium">
        <color indexed="23"/>
      </bottom>
      <diagonal/>
    </border>
    <border>
      <left/>
      <right/>
      <top style="thin">
        <color indexed="23"/>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right style="medium">
        <color indexed="64"/>
      </right>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189">
    <xf numFmtId="0" fontId="0" fillId="0" borderId="0" xfId="0"/>
    <xf numFmtId="0" fontId="2" fillId="0" borderId="0" xfId="0" applyFont="1"/>
    <xf numFmtId="0" fontId="3" fillId="0" borderId="0" xfId="0" applyFont="1"/>
    <xf numFmtId="0" fontId="3" fillId="0" borderId="0" xfId="0" applyFont="1" applyAlignment="1">
      <alignment horizontal="center"/>
    </xf>
    <xf numFmtId="0" fontId="4" fillId="0" borderId="0" xfId="0" applyFont="1"/>
    <xf numFmtId="0" fontId="5" fillId="0" borderId="0" xfId="0" applyFont="1"/>
    <xf numFmtId="0" fontId="0" fillId="2" borderId="0" xfId="0" applyFill="1"/>
    <xf numFmtId="0" fontId="0" fillId="2" borderId="1" xfId="0" applyFill="1" applyBorder="1"/>
    <xf numFmtId="1" fontId="0" fillId="2" borderId="1" xfId="0" applyNumberFormat="1" applyFill="1" applyBorder="1"/>
    <xf numFmtId="0" fontId="7" fillId="0" borderId="0" xfId="1" applyAlignment="1" applyProtection="1"/>
    <xf numFmtId="0" fontId="8" fillId="0" borderId="0" xfId="0" applyFont="1"/>
    <xf numFmtId="0" fontId="0" fillId="3" borderId="0" xfId="0" applyFill="1"/>
    <xf numFmtId="0" fontId="3" fillId="0" borderId="0" xfId="0" applyFont="1" applyAlignment="1">
      <alignment horizontal="right"/>
    </xf>
    <xf numFmtId="3" fontId="0" fillId="2" borderId="0" xfId="0" applyNumberFormat="1" applyFill="1"/>
    <xf numFmtId="3" fontId="4" fillId="0" borderId="0" xfId="0" applyNumberFormat="1" applyFont="1"/>
    <xf numFmtId="3" fontId="0" fillId="0" borderId="0" xfId="0" applyNumberFormat="1"/>
    <xf numFmtId="37" fontId="0" fillId="2" borderId="0" xfId="0" applyNumberFormat="1" applyFill="1"/>
    <xf numFmtId="37" fontId="4" fillId="0" borderId="0" xfId="0" applyNumberFormat="1" applyFont="1"/>
    <xf numFmtId="37" fontId="0" fillId="0" borderId="0" xfId="0" applyNumberFormat="1"/>
    <xf numFmtId="37" fontId="0" fillId="4" borderId="0" xfId="0" applyNumberFormat="1" applyFill="1"/>
    <xf numFmtId="165" fontId="4" fillId="0" borderId="0" xfId="0" applyNumberFormat="1" applyFont="1"/>
    <xf numFmtId="10" fontId="4" fillId="0" borderId="0" xfId="0" applyNumberFormat="1" applyFont="1"/>
    <xf numFmtId="166" fontId="0" fillId="0" borderId="0" xfId="0" applyNumberFormat="1"/>
    <xf numFmtId="10" fontId="0" fillId="0" borderId="0" xfId="0" applyNumberFormat="1"/>
    <xf numFmtId="39" fontId="4" fillId="0" borderId="0" xfId="0" applyNumberFormat="1" applyFont="1"/>
    <xf numFmtId="167" fontId="4" fillId="0" borderId="0" xfId="0" applyNumberFormat="1" applyFont="1"/>
    <xf numFmtId="0" fontId="0" fillId="0" borderId="0" xfId="0" applyAlignment="1">
      <alignment horizontal="center"/>
    </xf>
    <xf numFmtId="49" fontId="0" fillId="0" borderId="0" xfId="0" applyNumberFormat="1" applyAlignment="1">
      <alignment horizontal="center"/>
    </xf>
    <xf numFmtId="0" fontId="0" fillId="4" borderId="0" xfId="0" applyFill="1"/>
    <xf numFmtId="37" fontId="8" fillId="0" borderId="0" xfId="0" applyNumberFormat="1" applyFont="1"/>
    <xf numFmtId="166" fontId="4" fillId="0" borderId="0" xfId="0" applyNumberFormat="1" applyFont="1"/>
    <xf numFmtId="9" fontId="4" fillId="0" borderId="0" xfId="0" applyNumberFormat="1" applyFont="1"/>
    <xf numFmtId="168" fontId="4" fillId="0" borderId="0" xfId="0" applyNumberFormat="1" applyFont="1"/>
    <xf numFmtId="2" fontId="4" fillId="0" borderId="0" xfId="0" applyNumberFormat="1" applyFont="1"/>
    <xf numFmtId="1" fontId="4" fillId="0" borderId="0" xfId="0" applyNumberFormat="1" applyFont="1"/>
    <xf numFmtId="167" fontId="0" fillId="0" borderId="0" xfId="0" applyNumberFormat="1"/>
    <xf numFmtId="168" fontId="0" fillId="0" borderId="0" xfId="0" applyNumberFormat="1"/>
    <xf numFmtId="10" fontId="0" fillId="2" borderId="0" xfId="0" applyNumberFormat="1" applyFill="1"/>
    <xf numFmtId="2" fontId="0" fillId="2" borderId="0" xfId="0" applyNumberFormat="1" applyFill="1"/>
    <xf numFmtId="0" fontId="3" fillId="0" borderId="0" xfId="0" applyFont="1" applyAlignment="1">
      <alignment horizontal="left"/>
    </xf>
    <xf numFmtId="2" fontId="0" fillId="0" borderId="0" xfId="0" applyNumberFormat="1"/>
    <xf numFmtId="1" fontId="0" fillId="0" borderId="0" xfId="0" applyNumberFormat="1"/>
    <xf numFmtId="168" fontId="0" fillId="2" borderId="0" xfId="0" applyNumberFormat="1" applyFill="1"/>
    <xf numFmtId="167" fontId="0" fillId="2" borderId="0" xfId="0" applyNumberFormat="1" applyFill="1"/>
    <xf numFmtId="3" fontId="8" fillId="2" borderId="0" xfId="0" applyNumberFormat="1" applyFont="1" applyFill="1"/>
    <xf numFmtId="9" fontId="0" fillId="0" borderId="0" xfId="0" applyNumberFormat="1"/>
    <xf numFmtId="9" fontId="0" fillId="2" borderId="0" xfId="0" applyNumberFormat="1" applyFill="1"/>
    <xf numFmtId="1" fontId="0" fillId="2" borderId="0" xfId="0" applyNumberFormat="1" applyFill="1"/>
    <xf numFmtId="0" fontId="9" fillId="0" borderId="0" xfId="0" applyFont="1" applyAlignment="1">
      <alignment horizontal="center"/>
    </xf>
    <xf numFmtId="0" fontId="0" fillId="5" borderId="0" xfId="0" applyFill="1" applyAlignment="1">
      <alignment horizontal="center"/>
    </xf>
    <xf numFmtId="0" fontId="10" fillId="5" borderId="0" xfId="1" applyFont="1" applyFill="1" applyAlignment="1" applyProtection="1">
      <alignment horizontal="center"/>
    </xf>
    <xf numFmtId="0" fontId="7" fillId="5" borderId="0" xfId="1" applyFill="1" applyAlignment="1" applyProtection="1">
      <alignment horizontal="center"/>
    </xf>
    <xf numFmtId="0" fontId="9" fillId="5" borderId="0" xfId="0" applyFont="1" applyFill="1" applyAlignment="1">
      <alignment horizontal="center"/>
    </xf>
    <xf numFmtId="0" fontId="12" fillId="5" borderId="0" xfId="0" applyFont="1" applyFill="1" applyAlignment="1">
      <alignment horizontal="center"/>
    </xf>
    <xf numFmtId="10" fontId="0" fillId="4" borderId="0" xfId="0" applyNumberFormat="1" applyFill="1"/>
    <xf numFmtId="49" fontId="0" fillId="0" borderId="0" xfId="0" applyNumberFormat="1"/>
    <xf numFmtId="0" fontId="0" fillId="0" borderId="0" xfId="0" applyAlignment="1">
      <alignment horizontal="left"/>
    </xf>
    <xf numFmtId="0" fontId="4" fillId="0" borderId="0" xfId="0" applyFont="1" applyAlignment="1">
      <alignment horizontal="left"/>
    </xf>
    <xf numFmtId="37" fontId="0" fillId="6" borderId="0" xfId="0" applyNumberFormat="1" applyFill="1"/>
    <xf numFmtId="37" fontId="3" fillId="0" borderId="0" xfId="0" applyNumberFormat="1" applyFont="1"/>
    <xf numFmtId="39" fontId="0" fillId="2" borderId="0" xfId="0" applyNumberFormat="1" applyFill="1"/>
    <xf numFmtId="0" fontId="0" fillId="0" borderId="2" xfId="0" applyBorder="1"/>
    <xf numFmtId="37" fontId="0" fillId="0" borderId="2" xfId="0" applyNumberFormat="1" applyBorder="1"/>
    <xf numFmtId="0" fontId="4" fillId="0" borderId="3" xfId="0" applyFont="1" applyBorder="1"/>
    <xf numFmtId="37" fontId="4" fillId="0" borderId="3" xfId="0" applyNumberFormat="1" applyFont="1" applyBorder="1"/>
    <xf numFmtId="0" fontId="0" fillId="0" borderId="3" xfId="0" applyBorder="1"/>
    <xf numFmtId="0" fontId="3" fillId="0" borderId="3" xfId="0" applyFont="1" applyBorder="1"/>
    <xf numFmtId="0" fontId="3" fillId="0" borderId="4" xfId="0" applyFont="1" applyBorder="1"/>
    <xf numFmtId="0" fontId="0" fillId="0" borderId="5" xfId="0" applyBorder="1"/>
    <xf numFmtId="0" fontId="0" fillId="0" borderId="4" xfId="0" applyBorder="1"/>
    <xf numFmtId="37" fontId="0" fillId="2" borderId="2" xfId="0" applyNumberFormat="1" applyFill="1" applyBorder="1"/>
    <xf numFmtId="0" fontId="4" fillId="0" borderId="4" xfId="0" applyFont="1" applyBorder="1"/>
    <xf numFmtId="37" fontId="4" fillId="0" borderId="4" xfId="0" applyNumberFormat="1" applyFont="1" applyBorder="1"/>
    <xf numFmtId="10" fontId="0" fillId="0" borderId="2" xfId="0" applyNumberFormat="1" applyBorder="1"/>
    <xf numFmtId="10" fontId="0" fillId="0" borderId="3" xfId="0" applyNumberFormat="1" applyBorder="1"/>
    <xf numFmtId="10" fontId="0" fillId="0" borderId="4" xfId="0" applyNumberFormat="1" applyBorder="1"/>
    <xf numFmtId="37" fontId="0" fillId="0" borderId="3" xfId="0" applyNumberFormat="1" applyBorder="1"/>
    <xf numFmtId="0" fontId="13" fillId="0" borderId="6" xfId="0" applyFont="1" applyBorder="1" applyAlignment="1">
      <alignment horizontal="center"/>
    </xf>
    <xf numFmtId="0" fontId="0" fillId="0" borderId="7" xfId="0" applyBorder="1"/>
    <xf numFmtId="37" fontId="0" fillId="0" borderId="5" xfId="0" applyNumberFormat="1" applyBorder="1"/>
    <xf numFmtId="39" fontId="0" fillId="0" borderId="5" xfId="0" applyNumberFormat="1" applyBorder="1"/>
    <xf numFmtId="37" fontId="0" fillId="0" borderId="7" xfId="0" applyNumberFormat="1" applyBorder="1"/>
    <xf numFmtId="37" fontId="3" fillId="0" borderId="0" xfId="0" applyNumberFormat="1" applyFont="1" applyAlignment="1">
      <alignment horizontal="center"/>
    </xf>
    <xf numFmtId="10" fontId="0" fillId="0" borderId="7" xfId="0" applyNumberFormat="1" applyBorder="1"/>
    <xf numFmtId="10" fontId="0" fillId="0" borderId="5" xfId="0" applyNumberFormat="1" applyBorder="1"/>
    <xf numFmtId="0" fontId="0" fillId="7" borderId="0" xfId="0" applyFill="1"/>
    <xf numFmtId="37" fontId="0" fillId="0" borderId="4" xfId="0" applyNumberFormat="1" applyBorder="1"/>
    <xf numFmtId="39" fontId="0" fillId="0" borderId="0" xfId="0" applyNumberFormat="1"/>
    <xf numFmtId="3" fontId="0" fillId="6" borderId="0" xfId="0" applyNumberFormat="1" applyFill="1"/>
    <xf numFmtId="3" fontId="0" fillId="8" borderId="0" xfId="0" applyNumberFormat="1" applyFill="1"/>
    <xf numFmtId="37" fontId="0" fillId="8" borderId="0" xfId="0" applyNumberFormat="1" applyFill="1"/>
    <xf numFmtId="0" fontId="2" fillId="0" borderId="0" xfId="0" applyFont="1" applyAlignment="1">
      <alignment horizontal="left"/>
    </xf>
    <xf numFmtId="0" fontId="0" fillId="0" borderId="2" xfId="0" applyBorder="1" applyAlignment="1">
      <alignment horizontal="left"/>
    </xf>
    <xf numFmtId="0" fontId="0" fillId="0" borderId="3" xfId="0" applyBorder="1" applyAlignment="1">
      <alignment horizontal="left"/>
    </xf>
    <xf numFmtId="39" fontId="0" fillId="4" borderId="0" xfId="0" applyNumberFormat="1" applyFill="1"/>
    <xf numFmtId="0" fontId="0" fillId="2" borderId="0" xfId="0" applyFill="1" applyAlignment="1">
      <alignment horizontal="center"/>
    </xf>
    <xf numFmtId="0" fontId="0" fillId="0" borderId="2" xfId="0" applyBorder="1" applyAlignment="1">
      <alignment horizontal="center"/>
    </xf>
    <xf numFmtId="169" fontId="0" fillId="0" borderId="0" xfId="0" applyNumberFormat="1"/>
    <xf numFmtId="0" fontId="0" fillId="0" borderId="0" xfId="0" applyAlignment="1">
      <alignment horizontal="right"/>
    </xf>
    <xf numFmtId="49" fontId="4" fillId="0" borderId="0" xfId="0" applyNumberFormat="1" applyFont="1"/>
    <xf numFmtId="170" fontId="0" fillId="0" borderId="0" xfId="0" applyNumberFormat="1"/>
    <xf numFmtId="37" fontId="0" fillId="2" borderId="0" xfId="0" applyNumberFormat="1" applyFill="1" applyAlignment="1">
      <alignment horizontal="right"/>
    </xf>
    <xf numFmtId="49" fontId="8" fillId="0" borderId="0" xfId="0" applyNumberFormat="1" applyFont="1"/>
    <xf numFmtId="0" fontId="15" fillId="0" borderId="0" xfId="0" applyFont="1"/>
    <xf numFmtId="14" fontId="15" fillId="0" borderId="0" xfId="0" applyNumberFormat="1" applyFont="1"/>
    <xf numFmtId="0" fontId="17" fillId="0" borderId="0" xfId="0" applyFont="1"/>
    <xf numFmtId="0" fontId="22" fillId="9" borderId="0" xfId="0" applyFont="1" applyFill="1"/>
    <xf numFmtId="0" fontId="23" fillId="9" borderId="0" xfId="0" applyFont="1" applyFill="1"/>
    <xf numFmtId="0" fontId="18" fillId="0" borderId="0" xfId="0" applyFont="1"/>
    <xf numFmtId="0" fontId="20" fillId="0" borderId="0" xfId="0" applyFont="1"/>
    <xf numFmtId="0" fontId="18" fillId="0" borderId="0" xfId="0" applyFont="1" applyAlignment="1">
      <alignment horizontal="left"/>
    </xf>
    <xf numFmtId="0" fontId="7" fillId="0" borderId="0" xfId="1" applyAlignment="1" applyProtection="1">
      <alignment horizontal="left"/>
    </xf>
    <xf numFmtId="0" fontId="7" fillId="0" borderId="0" xfId="1" applyFill="1" applyAlignment="1" applyProtection="1">
      <alignment horizontal="right"/>
    </xf>
    <xf numFmtId="0" fontId="30" fillId="0" borderId="0" xfId="0" applyFont="1"/>
    <xf numFmtId="0" fontId="7" fillId="0" borderId="0" xfId="1" applyFill="1" applyAlignment="1" applyProtection="1"/>
    <xf numFmtId="0" fontId="25" fillId="9" borderId="0" xfId="0" applyFont="1" applyFill="1"/>
    <xf numFmtId="0" fontId="16" fillId="0" borderId="0" xfId="0" applyFont="1" applyAlignment="1">
      <alignment horizontal="center"/>
    </xf>
    <xf numFmtId="0" fontId="28" fillId="0" borderId="0" xfId="0" applyFont="1"/>
    <xf numFmtId="37" fontId="23" fillId="9" borderId="0" xfId="0" applyNumberFormat="1" applyFont="1" applyFill="1"/>
    <xf numFmtId="37" fontId="14" fillId="9" borderId="0" xfId="0" applyNumberFormat="1" applyFont="1" applyFill="1"/>
    <xf numFmtId="0" fontId="23" fillId="9" borderId="4" xfId="0" applyFont="1" applyFill="1" applyBorder="1"/>
    <xf numFmtId="37" fontId="23" fillId="9" borderId="4" xfId="0" applyNumberFormat="1" applyFont="1" applyFill="1" applyBorder="1"/>
    <xf numFmtId="0" fontId="27" fillId="10" borderId="0" xfId="0" applyFont="1" applyFill="1"/>
    <xf numFmtId="0" fontId="34" fillId="0" borderId="0" xfId="0" applyFont="1" applyAlignment="1">
      <alignment horizontal="center"/>
    </xf>
    <xf numFmtId="0" fontId="36" fillId="0" borderId="0" xfId="0" applyFont="1"/>
    <xf numFmtId="0" fontId="37" fillId="9" borderId="0" xfId="0" applyFont="1" applyFill="1"/>
    <xf numFmtId="3" fontId="0" fillId="4" borderId="0" xfId="0" applyNumberFormat="1" applyFill="1"/>
    <xf numFmtId="37" fontId="0" fillId="11" borderId="3" xfId="0" applyNumberFormat="1" applyFill="1" applyBorder="1"/>
    <xf numFmtId="37" fontId="38" fillId="0" borderId="0" xfId="0" applyNumberFormat="1" applyFont="1"/>
    <xf numFmtId="37" fontId="39" fillId="0" borderId="0" xfId="0" applyNumberFormat="1" applyFont="1"/>
    <xf numFmtId="37" fontId="40" fillId="0" borderId="0" xfId="0" applyNumberFormat="1" applyFont="1" applyAlignment="1">
      <alignment horizontal="center"/>
    </xf>
    <xf numFmtId="0" fontId="0" fillId="11" borderId="0" xfId="0" applyFill="1" applyAlignment="1">
      <alignment horizontal="center"/>
    </xf>
    <xf numFmtId="0" fontId="10" fillId="5" borderId="8" xfId="1" applyFont="1" applyFill="1" applyBorder="1" applyAlignment="1" applyProtection="1">
      <alignment horizontal="center"/>
    </xf>
    <xf numFmtId="0" fontId="10" fillId="5" borderId="9" xfId="1" applyFont="1" applyFill="1" applyBorder="1" applyAlignment="1" applyProtection="1">
      <alignment horizontal="center"/>
    </xf>
    <xf numFmtId="0" fontId="25" fillId="12" borderId="9" xfId="0" applyFont="1" applyFill="1" applyBorder="1"/>
    <xf numFmtId="0" fontId="10" fillId="5" borderId="10" xfId="1" applyFont="1" applyFill="1" applyBorder="1" applyAlignment="1" applyProtection="1">
      <alignment horizontal="center"/>
    </xf>
    <xf numFmtId="0" fontId="10" fillId="5" borderId="0" xfId="1" applyFont="1" applyFill="1" applyBorder="1" applyAlignment="1" applyProtection="1">
      <alignment horizontal="center"/>
    </xf>
    <xf numFmtId="0" fontId="0" fillId="0" borderId="11" xfId="0" applyBorder="1"/>
    <xf numFmtId="0" fontId="12" fillId="5" borderId="10" xfId="0" applyFont="1" applyFill="1" applyBorder="1" applyAlignment="1">
      <alignment horizontal="center"/>
    </xf>
    <xf numFmtId="0" fontId="0" fillId="0" borderId="10" xfId="0" applyBorder="1" applyAlignment="1">
      <alignment horizontal="center"/>
    </xf>
    <xf numFmtId="0" fontId="3" fillId="0" borderId="11" xfId="0" applyFont="1" applyBorder="1" applyAlignment="1">
      <alignment horizontal="center"/>
    </xf>
    <xf numFmtId="49" fontId="3" fillId="0" borderId="0" xfId="0" applyNumberFormat="1" applyFont="1" applyAlignment="1">
      <alignment horizontal="center"/>
    </xf>
    <xf numFmtId="0" fontId="3" fillId="2" borderId="0" xfId="0" applyFont="1" applyFill="1" applyAlignment="1">
      <alignment horizontal="center"/>
    </xf>
    <xf numFmtId="0" fontId="3" fillId="2" borderId="11" xfId="0" applyFont="1" applyFill="1" applyBorder="1" applyAlignment="1">
      <alignment horizontal="center"/>
    </xf>
    <xf numFmtId="3" fontId="0" fillId="0" borderId="11" xfId="0" applyNumberFormat="1" applyBorder="1"/>
    <xf numFmtId="10" fontId="3" fillId="0" borderId="0" xfId="0" applyNumberFormat="1" applyFont="1"/>
    <xf numFmtId="10" fontId="3" fillId="0" borderId="11" xfId="0" applyNumberFormat="1" applyFont="1" applyBorder="1"/>
    <xf numFmtId="37" fontId="0" fillId="0" borderId="11" xfId="0" applyNumberFormat="1" applyBorder="1"/>
    <xf numFmtId="0" fontId="0" fillId="0" borderId="10" xfId="0" applyBorder="1"/>
    <xf numFmtId="10" fontId="0" fillId="0" borderId="11" xfId="0" applyNumberFormat="1" applyBorder="1"/>
    <xf numFmtId="37" fontId="0" fillId="0" borderId="12" xfId="0" applyNumberFormat="1" applyBorder="1"/>
    <xf numFmtId="37" fontId="4" fillId="0" borderId="13" xfId="0" applyNumberFormat="1" applyFont="1" applyBorder="1"/>
    <xf numFmtId="0" fontId="3" fillId="0" borderId="10" xfId="0" applyFont="1" applyBorder="1" applyAlignment="1">
      <alignment horizontal="center"/>
    </xf>
    <xf numFmtId="37" fontId="0" fillId="0" borderId="13" xfId="0" applyNumberFormat="1" applyBorder="1"/>
    <xf numFmtId="0" fontId="0" fillId="0" borderId="12" xfId="0" applyBorder="1"/>
    <xf numFmtId="37" fontId="0" fillId="11" borderId="13" xfId="0" applyNumberFormat="1" applyFill="1" applyBorder="1"/>
    <xf numFmtId="37" fontId="1" fillId="11" borderId="0" xfId="0" applyNumberFormat="1" applyFont="1" applyFill="1"/>
    <xf numFmtId="37" fontId="1" fillId="11" borderId="11" xfId="0" applyNumberFormat="1" applyFont="1" applyFill="1" applyBorder="1"/>
    <xf numFmtId="0" fontId="0" fillId="0" borderId="14" xfId="0" applyBorder="1"/>
    <xf numFmtId="49" fontId="0" fillId="0" borderId="15" xfId="0" applyNumberFormat="1" applyBorder="1" applyAlignment="1">
      <alignment horizontal="center"/>
    </xf>
    <xf numFmtId="0" fontId="0" fillId="0" borderId="15" xfId="0" applyBorder="1"/>
    <xf numFmtId="0" fontId="0" fillId="0" borderId="16" xfId="0" applyBorder="1"/>
    <xf numFmtId="0" fontId="0" fillId="0" borderId="14" xfId="0" applyBorder="1" applyAlignment="1">
      <alignment horizontal="center"/>
    </xf>
    <xf numFmtId="37" fontId="0" fillId="0" borderId="15" xfId="0" applyNumberFormat="1" applyBorder="1"/>
    <xf numFmtId="37" fontId="0" fillId="0" borderId="16" xfId="0" applyNumberFormat="1" applyBorder="1"/>
    <xf numFmtId="49" fontId="1" fillId="0" borderId="0" xfId="0" applyNumberFormat="1" applyFont="1" applyAlignment="1">
      <alignment horizontal="center"/>
    </xf>
    <xf numFmtId="0" fontId="4" fillId="0" borderId="0" xfId="0" applyFont="1" applyAlignment="1">
      <alignment horizontal="right"/>
    </xf>
    <xf numFmtId="0" fontId="3" fillId="0" borderId="0" xfId="0" applyFont="1" applyAlignment="1">
      <alignment horizontal="center"/>
    </xf>
    <xf numFmtId="0" fontId="0" fillId="0" borderId="0" xfId="0"/>
    <xf numFmtId="0" fontId="14" fillId="12" borderId="0" xfId="0" applyFont="1" applyFill="1" applyAlignment="1">
      <alignment horizontal="center" vertical="center" shrinkToFit="1"/>
    </xf>
    <xf numFmtId="0" fontId="0" fillId="12" borderId="0" xfId="0" applyFill="1" applyAlignment="1">
      <alignment shrinkToFit="1"/>
    </xf>
    <xf numFmtId="0" fontId="24" fillId="0" borderId="0" xfId="0" applyFont="1" applyAlignment="1">
      <alignment horizontal="center"/>
    </xf>
    <xf numFmtId="0" fontId="4" fillId="0" borderId="0" xfId="0" applyFont="1"/>
    <xf numFmtId="0" fontId="4" fillId="0" borderId="0" xfId="0" applyFont="1" applyAlignment="1">
      <alignment horizontal="left"/>
    </xf>
    <xf numFmtId="0" fontId="10" fillId="5" borderId="0" xfId="1" applyFont="1" applyFill="1" applyAlignment="1" applyProtection="1">
      <alignment horizontal="center"/>
    </xf>
    <xf numFmtId="0" fontId="0" fillId="2" borderId="18" xfId="0" applyFill="1" applyBorder="1"/>
    <xf numFmtId="0" fontId="0" fillId="2" borderId="19" xfId="0" applyFill="1" applyBorder="1"/>
    <xf numFmtId="0" fontId="0" fillId="2" borderId="20" xfId="0" applyFill="1" applyBorder="1"/>
    <xf numFmtId="0" fontId="0" fillId="0" borderId="0" xfId="0" applyAlignment="1">
      <alignment horizontal="right"/>
    </xf>
    <xf numFmtId="0" fontId="0" fillId="3" borderId="0" xfId="0" applyFill="1" applyAlignment="1">
      <alignment horizontal="center" vertical="center" textRotation="90"/>
    </xf>
    <xf numFmtId="0" fontId="8" fillId="0" borderId="0" xfId="0" applyFont="1"/>
    <xf numFmtId="0" fontId="0" fillId="5" borderId="0" xfId="0" applyFill="1" applyAlignment="1">
      <alignment horizontal="center"/>
    </xf>
    <xf numFmtId="0" fontId="4" fillId="3" borderId="0" xfId="0" applyFont="1" applyFill="1" applyAlignment="1">
      <alignment horizontal="center" vertical="center" textRotation="90"/>
    </xf>
    <xf numFmtId="0" fontId="4" fillId="0" borderId="0" xfId="0" applyFont="1" applyAlignment="1">
      <alignment horizontal="center"/>
    </xf>
    <xf numFmtId="0" fontId="8" fillId="0" borderId="0" xfId="0" applyFont="1" applyAlignment="1">
      <alignment horizontal="center"/>
    </xf>
    <xf numFmtId="0" fontId="35" fillId="4" borderId="10" xfId="1" applyFont="1" applyFill="1" applyBorder="1" applyAlignment="1" applyProtection="1">
      <alignment horizontal="left"/>
    </xf>
    <xf numFmtId="0" fontId="35" fillId="4" borderId="0" xfId="1" applyFont="1" applyFill="1" applyBorder="1" applyAlignment="1" applyProtection="1">
      <alignment horizontal="left"/>
    </xf>
    <xf numFmtId="0" fontId="25" fillId="12" borderId="9" xfId="0" applyFont="1" applyFill="1" applyBorder="1" applyAlignment="1">
      <alignment horizontal="left"/>
    </xf>
    <xf numFmtId="0" fontId="25" fillId="12" borderId="17" xfId="0" applyFont="1" applyFill="1" applyBorder="1" applyAlignment="1">
      <alignment horizontal="left"/>
    </xf>
  </cellXfs>
  <cellStyles count="2">
    <cellStyle name="Hyperlink" xfId="1" builtinId="8"/>
    <cellStyle name="Normal" xfId="0" builtinId="0"/>
  </cellStyles>
  <dxfs count="5">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Acid Ratio Comparison
</a:t>
            </a:r>
            <a:r>
              <a:rPr lang="ar-EG"/>
              <a:t>مقارنة نسب السيولة السريعة</a:t>
            </a:r>
          </a:p>
        </c:rich>
      </c:tx>
      <c:layout>
        <c:manualLayout>
          <c:xMode val="edge"/>
          <c:yMode val="edge"/>
          <c:x val="0.3958573072497123"/>
          <c:y val="3.7037158818519891E-2"/>
        </c:manualLayout>
      </c:layout>
      <c:overlay val="0"/>
      <c:spPr>
        <a:noFill/>
        <a:ln w="25400">
          <a:noFill/>
        </a:ln>
      </c:spPr>
    </c:title>
    <c:autoTitleDeleted val="0"/>
    <c:plotArea>
      <c:layout>
        <c:manualLayout>
          <c:layoutTarget val="inner"/>
          <c:xMode val="edge"/>
          <c:yMode val="edge"/>
          <c:x val="0.10586881472957423"/>
          <c:y val="0.30303129942425366"/>
          <c:w val="0.6110471806674338"/>
          <c:h val="0.42761083363200242"/>
        </c:manualLayout>
      </c:layout>
      <c:lineChart>
        <c:grouping val="standard"/>
        <c:varyColors val="0"/>
        <c:ser>
          <c:idx val="0"/>
          <c:order val="0"/>
          <c:tx>
            <c:strRef>
              <c:f>'8 - Benchmark Analysis'!$C$15</c:f>
              <c:strCache>
                <c:ptCount val="1"/>
                <c:pt idx="0">
                  <c:v>Acid Test Ratio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Analysis'!$E$15:$I$15</c:f>
              <c:numCache>
                <c:formatCode>0.00</c:formatCode>
                <c:ptCount val="5"/>
                <c:pt idx="0">
                  <c:v>1.2</c:v>
                </c:pt>
                <c:pt idx="1">
                  <c:v>1.2</c:v>
                </c:pt>
                <c:pt idx="2">
                  <c:v>1.2</c:v>
                </c:pt>
                <c:pt idx="3">
                  <c:v>1.2</c:v>
                </c:pt>
                <c:pt idx="4">
                  <c:v>1.2</c:v>
                </c:pt>
              </c:numCache>
            </c:numRef>
          </c:val>
          <c:smooth val="0"/>
          <c:extLst>
            <c:ext xmlns:c16="http://schemas.microsoft.com/office/drawing/2014/chart" uri="{C3380CC4-5D6E-409C-BE32-E72D297353CC}">
              <c16:uniqueId val="{00000000-C2B2-4815-8216-1FE4F9312DAF}"/>
            </c:ext>
          </c:extLst>
        </c:ser>
        <c:ser>
          <c:idx val="1"/>
          <c:order val="1"/>
          <c:tx>
            <c:strRef>
              <c:f>'8 - Benchmark Analysis'!$C$16</c:f>
              <c:strCache>
                <c:ptCount val="1"/>
                <c:pt idx="0">
                  <c:v>Acid Test Ratio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Analysis'!$E$16:$I$16</c:f>
              <c:numCache>
                <c:formatCode>0.00</c:formatCode>
                <c:ptCount val="5"/>
                <c:pt idx="0">
                  <c:v>0.72347200274397705</c:v>
                </c:pt>
                <c:pt idx="1">
                  <c:v>0.45782620834735188</c:v>
                </c:pt>
                <c:pt idx="2">
                  <c:v>0.46330569464122423</c:v>
                </c:pt>
                <c:pt idx="3">
                  <c:v>0.49956881124472735</c:v>
                </c:pt>
                <c:pt idx="4">
                  <c:v>0.7007111775548478</c:v>
                </c:pt>
              </c:numCache>
            </c:numRef>
          </c:val>
          <c:smooth val="0"/>
          <c:extLst>
            <c:ext xmlns:c16="http://schemas.microsoft.com/office/drawing/2014/chart" uri="{C3380CC4-5D6E-409C-BE32-E72D297353CC}">
              <c16:uniqueId val="{00000001-C2B2-4815-8216-1FE4F9312DAF}"/>
            </c:ext>
          </c:extLst>
        </c:ser>
        <c:dLbls>
          <c:showLegendKey val="0"/>
          <c:showVal val="0"/>
          <c:showCatName val="0"/>
          <c:showSerName val="0"/>
          <c:showPercent val="0"/>
          <c:showBubbleSize val="0"/>
        </c:dLbls>
        <c:smooth val="0"/>
        <c:axId val="202496271"/>
        <c:axId val="1"/>
      </c:lineChart>
      <c:catAx>
        <c:axId val="20249627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7399309551208287"/>
              <c:y val="0.8518546528259576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Ratio</a:t>
                </a:r>
              </a:p>
            </c:rich>
          </c:tx>
          <c:layout>
            <c:manualLayout>
              <c:xMode val="edge"/>
              <c:yMode val="edge"/>
              <c:x val="1.8411967779056387E-2"/>
              <c:y val="0.43771187694614422"/>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496271"/>
        <c:crosses val="autoZero"/>
        <c:crossBetween val="between"/>
      </c:valAx>
      <c:spPr>
        <a:solidFill>
          <a:srgbClr val="FFFFFF"/>
        </a:solidFill>
        <a:ln w="12700">
          <a:solidFill>
            <a:srgbClr val="FFFFFF"/>
          </a:solidFill>
          <a:prstDash val="solid"/>
        </a:ln>
      </c:spPr>
    </c:plotArea>
    <c:legend>
      <c:legendPos val="r"/>
      <c:layout>
        <c:manualLayout>
          <c:xMode val="edge"/>
          <c:yMode val="edge"/>
          <c:x val="0.72957422324510934"/>
          <c:y val="0.43434486250809695"/>
          <c:w val="0.26121979286536251"/>
          <c:h val="0.1649837074643159"/>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Current Ratio Comparison 
</a:t>
            </a:r>
            <a:r>
              <a:rPr lang="ar-EG"/>
              <a:t>مقارنة نسب التداول</a:t>
            </a:r>
          </a:p>
        </c:rich>
      </c:tx>
      <c:layout>
        <c:manualLayout>
          <c:xMode val="edge"/>
          <c:yMode val="edge"/>
          <c:x val="0.33064534729023443"/>
          <c:y val="6.1224693162378968E-2"/>
        </c:manualLayout>
      </c:layout>
      <c:overlay val="0"/>
      <c:spPr>
        <a:noFill/>
        <a:ln w="25400">
          <a:noFill/>
        </a:ln>
      </c:spPr>
    </c:title>
    <c:autoTitleDeleted val="0"/>
    <c:plotArea>
      <c:layout>
        <c:manualLayout>
          <c:layoutTarget val="inner"/>
          <c:xMode val="edge"/>
          <c:yMode val="edge"/>
          <c:x val="0.11175121493781442"/>
          <c:y val="0.26190563186128779"/>
          <c:w val="0.62212016563319372"/>
          <c:h val="0.46598794240255104"/>
        </c:manualLayout>
      </c:layout>
      <c:lineChart>
        <c:grouping val="standard"/>
        <c:varyColors val="0"/>
        <c:ser>
          <c:idx val="0"/>
          <c:order val="0"/>
          <c:tx>
            <c:strRef>
              <c:f>'8 - Benchmark Analysis'!$C$18</c:f>
              <c:strCache>
                <c:ptCount val="1"/>
                <c:pt idx="0">
                  <c:v>Current Ratio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Analysis'!$E$18:$I$18</c:f>
              <c:numCache>
                <c:formatCode>0.00_);\(0.00\)</c:formatCode>
                <c:ptCount val="5"/>
                <c:pt idx="0">
                  <c:v>1.1200000000000001</c:v>
                </c:pt>
                <c:pt idx="1">
                  <c:v>1.1000000000000001</c:v>
                </c:pt>
                <c:pt idx="2">
                  <c:v>1.05</c:v>
                </c:pt>
                <c:pt idx="3">
                  <c:v>1.08</c:v>
                </c:pt>
                <c:pt idx="4">
                  <c:v>1.07</c:v>
                </c:pt>
              </c:numCache>
            </c:numRef>
          </c:val>
          <c:smooth val="0"/>
          <c:extLst>
            <c:ext xmlns:c16="http://schemas.microsoft.com/office/drawing/2014/chart" uri="{C3380CC4-5D6E-409C-BE32-E72D297353CC}">
              <c16:uniqueId val="{00000000-24C1-4716-B9E9-6F1324B3DDAE}"/>
            </c:ext>
          </c:extLst>
        </c:ser>
        <c:ser>
          <c:idx val="1"/>
          <c:order val="1"/>
          <c:tx>
            <c:strRef>
              <c:f>'8 - Benchmark Analysis'!$C$19</c:f>
              <c:strCache>
                <c:ptCount val="1"/>
                <c:pt idx="0">
                  <c:v>Current Ratio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Analysis'!$E$19:$I$19</c:f>
              <c:numCache>
                <c:formatCode>0.00_);\(0.00\)</c:formatCode>
                <c:ptCount val="5"/>
                <c:pt idx="0">
                  <c:v>1.0080923351634621</c:v>
                </c:pt>
                <c:pt idx="1">
                  <c:v>0.71149539820570562</c:v>
                </c:pt>
                <c:pt idx="2">
                  <c:v>0.71036868102030259</c:v>
                </c:pt>
                <c:pt idx="3">
                  <c:v>0.76439744343871741</c:v>
                </c:pt>
                <c:pt idx="4">
                  <c:v>1.2221499553809021</c:v>
                </c:pt>
              </c:numCache>
            </c:numRef>
          </c:val>
          <c:smooth val="0"/>
          <c:extLst>
            <c:ext xmlns:c16="http://schemas.microsoft.com/office/drawing/2014/chart" uri="{C3380CC4-5D6E-409C-BE32-E72D297353CC}">
              <c16:uniqueId val="{00000001-24C1-4716-B9E9-6F1324B3DDAE}"/>
            </c:ext>
          </c:extLst>
        </c:ser>
        <c:dLbls>
          <c:showLegendKey val="0"/>
          <c:showVal val="0"/>
          <c:showCatName val="0"/>
          <c:showSerName val="0"/>
          <c:showPercent val="0"/>
          <c:showBubbleSize val="0"/>
        </c:dLbls>
        <c:smooth val="0"/>
        <c:axId val="202547151"/>
        <c:axId val="1"/>
      </c:lineChart>
      <c:catAx>
        <c:axId val="20254715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8594491756874055"/>
              <c:y val="0.8503429605885968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Ratio</a:t>
                </a:r>
              </a:p>
            </c:rich>
          </c:tx>
          <c:layout>
            <c:manualLayout>
              <c:xMode val="edge"/>
              <c:yMode val="edge"/>
              <c:x val="1.843319009283537E-2"/>
              <c:y val="0.41496736476723523"/>
            </c:manualLayout>
          </c:layout>
          <c:overlay val="0"/>
          <c:spPr>
            <a:noFill/>
            <a:ln w="25400">
              <a:noFill/>
            </a:ln>
          </c:spPr>
        </c:title>
        <c:numFmt formatCode="0.00_);\(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47151"/>
        <c:crosses val="autoZero"/>
        <c:crossBetween val="between"/>
      </c:valAx>
      <c:spPr>
        <a:solidFill>
          <a:srgbClr val="FFFFFF"/>
        </a:solidFill>
        <a:ln w="12700">
          <a:solidFill>
            <a:srgbClr val="FFFFFF"/>
          </a:solidFill>
          <a:prstDash val="solid"/>
        </a:ln>
      </c:spPr>
    </c:plotArea>
    <c:legend>
      <c:legendPos val="r"/>
      <c:layout>
        <c:manualLayout>
          <c:xMode val="edge"/>
          <c:yMode val="edge"/>
          <c:x val="0.74654419875983247"/>
          <c:y val="0.41156599292488083"/>
          <c:w val="0.24423976873006864"/>
          <c:h val="0.16666722027536496"/>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Receivable Turnover Comparison</a:t>
            </a:r>
          </a:p>
        </c:rich>
      </c:tx>
      <c:layout>
        <c:manualLayout>
          <c:xMode val="edge"/>
          <c:yMode val="edge"/>
          <c:x val="0.2986114486258597"/>
          <c:y val="3.7542662116040959E-2"/>
        </c:manualLayout>
      </c:layout>
      <c:overlay val="0"/>
      <c:spPr>
        <a:noFill/>
        <a:ln w="25400">
          <a:noFill/>
        </a:ln>
      </c:spPr>
    </c:title>
    <c:autoTitleDeleted val="0"/>
    <c:plotArea>
      <c:layout>
        <c:manualLayout>
          <c:layoutTarget val="inner"/>
          <c:xMode val="edge"/>
          <c:yMode val="edge"/>
          <c:x val="0.12268532385403538"/>
          <c:y val="0.26279863481228671"/>
          <c:w val="0.55208395734315929"/>
          <c:h val="0.46416382252559729"/>
        </c:manualLayout>
      </c:layout>
      <c:lineChart>
        <c:grouping val="standard"/>
        <c:varyColors val="0"/>
        <c:ser>
          <c:idx val="0"/>
          <c:order val="0"/>
          <c:tx>
            <c:strRef>
              <c:f>'8 - Benchmark Analysis'!$C$21</c:f>
              <c:strCache>
                <c:ptCount val="1"/>
                <c:pt idx="0">
                  <c:v>Receivable Turnover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Analysis'!$E$21:$I$21</c:f>
              <c:numCache>
                <c:formatCode>0.00_);\(0.00\)</c:formatCode>
                <c:ptCount val="5"/>
                <c:pt idx="0">
                  <c:v>8.5</c:v>
                </c:pt>
                <c:pt idx="1">
                  <c:v>8.6999999999999993</c:v>
                </c:pt>
                <c:pt idx="2">
                  <c:v>8.4</c:v>
                </c:pt>
                <c:pt idx="3">
                  <c:v>8.1999999999999993</c:v>
                </c:pt>
                <c:pt idx="4">
                  <c:v>8.3000000000000007</c:v>
                </c:pt>
              </c:numCache>
            </c:numRef>
          </c:val>
          <c:smooth val="0"/>
          <c:extLst>
            <c:ext xmlns:c16="http://schemas.microsoft.com/office/drawing/2014/chart" uri="{C3380CC4-5D6E-409C-BE32-E72D297353CC}">
              <c16:uniqueId val="{00000000-08F9-4C37-B4AD-BCE29D8E4734}"/>
            </c:ext>
          </c:extLst>
        </c:ser>
        <c:ser>
          <c:idx val="1"/>
          <c:order val="1"/>
          <c:tx>
            <c:strRef>
              <c:f>'8 - Benchmark Analysis'!$C$22</c:f>
              <c:strCache>
                <c:ptCount val="1"/>
                <c:pt idx="0">
                  <c:v>Receivable Turnover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Analysis'!$E$22:$I$22</c:f>
              <c:numCache>
                <c:formatCode>0.00_);\(0.00\)</c:formatCode>
                <c:ptCount val="5"/>
                <c:pt idx="0">
                  <c:v>6.2065052865149219</c:v>
                </c:pt>
                <c:pt idx="1">
                  <c:v>6.4396771096592857</c:v>
                </c:pt>
                <c:pt idx="2">
                  <c:v>3.7752764381775314</c:v>
                </c:pt>
                <c:pt idx="3">
                  <c:v>3.531914651541292</c:v>
                </c:pt>
                <c:pt idx="4">
                  <c:v>3.4468026606853126</c:v>
                </c:pt>
              </c:numCache>
            </c:numRef>
          </c:val>
          <c:smooth val="0"/>
          <c:extLst>
            <c:ext xmlns:c16="http://schemas.microsoft.com/office/drawing/2014/chart" uri="{C3380CC4-5D6E-409C-BE32-E72D297353CC}">
              <c16:uniqueId val="{00000001-08F9-4C37-B4AD-BCE29D8E4734}"/>
            </c:ext>
          </c:extLst>
        </c:ser>
        <c:dLbls>
          <c:showLegendKey val="0"/>
          <c:showVal val="0"/>
          <c:showCatName val="0"/>
          <c:showSerName val="0"/>
          <c:showPercent val="0"/>
          <c:showBubbleSize val="0"/>
        </c:dLbls>
        <c:smooth val="0"/>
        <c:axId val="202540431"/>
        <c:axId val="1"/>
      </c:lineChart>
      <c:catAx>
        <c:axId val="20254043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6111151926848151"/>
              <c:y val="0.849829351535836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Turnover Rate</a:t>
                </a:r>
              </a:p>
            </c:rich>
          </c:tx>
          <c:layout>
            <c:manualLayout>
              <c:xMode val="edge"/>
              <c:yMode val="edge"/>
              <c:x val="1.8518539449665718E-2"/>
              <c:y val="0.30034129692832767"/>
            </c:manualLayout>
          </c:layout>
          <c:overlay val="0"/>
          <c:spPr>
            <a:noFill/>
            <a:ln w="25400">
              <a:noFill/>
            </a:ln>
          </c:spPr>
        </c:title>
        <c:numFmt formatCode="0.00_);\(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40431"/>
        <c:crosses val="autoZero"/>
        <c:crossBetween val="between"/>
      </c:valAx>
      <c:spPr>
        <a:solidFill>
          <a:srgbClr val="FFFFFF"/>
        </a:solidFill>
        <a:ln w="12700">
          <a:solidFill>
            <a:srgbClr val="FFFFFF"/>
          </a:solidFill>
          <a:prstDash val="solid"/>
        </a:ln>
      </c:spPr>
    </c:plotArea>
    <c:legend>
      <c:legendPos val="r"/>
      <c:layout>
        <c:manualLayout>
          <c:xMode val="edge"/>
          <c:yMode val="edge"/>
          <c:x val="0.68750077706883983"/>
          <c:y val="0.41296928327645049"/>
          <c:w val="0.30324108348827616"/>
          <c:h val="0.1672354948805460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Receivable Collection Comparison</a:t>
            </a:r>
          </a:p>
        </c:rich>
      </c:tx>
      <c:layout>
        <c:manualLayout>
          <c:xMode val="edge"/>
          <c:yMode val="edge"/>
          <c:x val="0.29608311586616809"/>
          <c:y val="3.7288197312296927E-2"/>
        </c:manualLayout>
      </c:layout>
      <c:overlay val="0"/>
      <c:spPr>
        <a:noFill/>
        <a:ln w="25400">
          <a:noFill/>
        </a:ln>
      </c:spPr>
    </c:title>
    <c:autoTitleDeleted val="0"/>
    <c:plotArea>
      <c:layout>
        <c:manualLayout>
          <c:layoutTarget val="inner"/>
          <c:xMode val="edge"/>
          <c:yMode val="edge"/>
          <c:x val="0.10714291741460558"/>
          <c:y val="0.26101738118607848"/>
          <c:w val="0.57718926478190746"/>
          <c:h val="0.46779738446336144"/>
        </c:manualLayout>
      </c:layout>
      <c:lineChart>
        <c:grouping val="standard"/>
        <c:varyColors val="0"/>
        <c:ser>
          <c:idx val="0"/>
          <c:order val="0"/>
          <c:tx>
            <c:strRef>
              <c:f>'8 - Benchmark Analysis'!$C$24</c:f>
              <c:strCache>
                <c:ptCount val="1"/>
                <c:pt idx="0">
                  <c:v>Days to Collect A/R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Analysis'!$E$24:$I$24</c:f>
              <c:numCache>
                <c:formatCode>0_);\(0\)</c:formatCode>
                <c:ptCount val="5"/>
                <c:pt idx="0">
                  <c:v>41</c:v>
                </c:pt>
                <c:pt idx="1">
                  <c:v>39</c:v>
                </c:pt>
                <c:pt idx="2">
                  <c:v>40</c:v>
                </c:pt>
                <c:pt idx="3">
                  <c:v>41</c:v>
                </c:pt>
                <c:pt idx="4">
                  <c:v>41</c:v>
                </c:pt>
              </c:numCache>
            </c:numRef>
          </c:val>
          <c:smooth val="0"/>
          <c:extLst>
            <c:ext xmlns:c16="http://schemas.microsoft.com/office/drawing/2014/chart" uri="{C3380CC4-5D6E-409C-BE32-E72D297353CC}">
              <c16:uniqueId val="{00000000-9B58-4973-96D1-61278DC5F6AD}"/>
            </c:ext>
          </c:extLst>
        </c:ser>
        <c:ser>
          <c:idx val="1"/>
          <c:order val="1"/>
          <c:tx>
            <c:strRef>
              <c:f>'8 - Benchmark Analysis'!$C$25</c:f>
              <c:strCache>
                <c:ptCount val="1"/>
                <c:pt idx="0">
                  <c:v>Days to Collect A/R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Analysis'!$E$25:$I$25</c:f>
              <c:numCache>
                <c:formatCode>0_);\(0\)</c:formatCode>
                <c:ptCount val="5"/>
                <c:pt idx="0">
                  <c:v>58.809262725200199</c:v>
                </c:pt>
                <c:pt idx="1">
                  <c:v>56.679860462648513</c:v>
                </c:pt>
                <c:pt idx="2">
                  <c:v>96.681661853667933</c:v>
                </c:pt>
                <c:pt idx="3">
                  <c:v>103.34338057708095</c:v>
                </c:pt>
                <c:pt idx="4">
                  <c:v>105.89524145470767</c:v>
                </c:pt>
              </c:numCache>
            </c:numRef>
          </c:val>
          <c:smooth val="0"/>
          <c:extLst>
            <c:ext xmlns:c16="http://schemas.microsoft.com/office/drawing/2014/chart" uri="{C3380CC4-5D6E-409C-BE32-E72D297353CC}">
              <c16:uniqueId val="{00000001-9B58-4973-96D1-61278DC5F6AD}"/>
            </c:ext>
          </c:extLst>
        </c:ser>
        <c:dLbls>
          <c:showLegendKey val="0"/>
          <c:showVal val="0"/>
          <c:showCatName val="0"/>
          <c:showSerName val="0"/>
          <c:showPercent val="0"/>
          <c:showBubbleSize val="0"/>
        </c:dLbls>
        <c:smooth val="0"/>
        <c:axId val="202533711"/>
        <c:axId val="1"/>
      </c:lineChart>
      <c:catAx>
        <c:axId val="20253371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5829513242948746"/>
              <c:y val="0.8508488659442299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Days to Collect A/R</a:t>
                </a:r>
              </a:p>
            </c:rich>
          </c:tx>
          <c:layout>
            <c:manualLayout>
              <c:xMode val="edge"/>
              <c:yMode val="edge"/>
              <c:x val="1.843319009283537E-2"/>
              <c:y val="0.23728852835098047"/>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33711"/>
        <c:crosses val="autoZero"/>
        <c:crossBetween val="between"/>
      </c:valAx>
      <c:spPr>
        <a:solidFill>
          <a:srgbClr val="FFFFFF"/>
        </a:solidFill>
        <a:ln w="12700">
          <a:solidFill>
            <a:srgbClr val="FFFFFF"/>
          </a:solidFill>
          <a:prstDash val="solid"/>
        </a:ln>
      </c:spPr>
    </c:plotArea>
    <c:legend>
      <c:legendPos val="r"/>
      <c:layout>
        <c:manualLayout>
          <c:xMode val="edge"/>
          <c:yMode val="edge"/>
          <c:x val="0.69700500038533741"/>
          <c:y val="0.41356000655456593"/>
          <c:w val="0.29377896710456369"/>
          <c:h val="0.16610196984568631"/>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Inventory Turnover Comparison</a:t>
            </a:r>
          </a:p>
        </c:rich>
      </c:tx>
      <c:layout>
        <c:manualLayout>
          <c:xMode val="edge"/>
          <c:yMode val="edge"/>
          <c:x val="0.30831408775981523"/>
          <c:y val="3.7288197312296927E-2"/>
        </c:manualLayout>
      </c:layout>
      <c:overlay val="0"/>
      <c:spPr>
        <a:noFill/>
        <a:ln w="25400">
          <a:noFill/>
        </a:ln>
      </c:spPr>
    </c:title>
    <c:autoTitleDeleted val="0"/>
    <c:plotArea>
      <c:layout>
        <c:manualLayout>
          <c:layoutTarget val="inner"/>
          <c:xMode val="edge"/>
          <c:yMode val="edge"/>
          <c:x val="0.13279445727482678"/>
          <c:y val="0.26101738118607848"/>
          <c:w val="0.56351039260969982"/>
          <c:h val="0.46779738446336144"/>
        </c:manualLayout>
      </c:layout>
      <c:lineChart>
        <c:grouping val="standard"/>
        <c:varyColors val="0"/>
        <c:ser>
          <c:idx val="0"/>
          <c:order val="0"/>
          <c:tx>
            <c:strRef>
              <c:f>'8 - Benchmark Analysis'!$C$27</c:f>
              <c:strCache>
                <c:ptCount val="1"/>
                <c:pt idx="0">
                  <c:v>Inventory Turnover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Analysis'!$E$27:$I$27</c:f>
              <c:numCache>
                <c:formatCode>0.00_);\(0.00\)</c:formatCode>
                <c:ptCount val="5"/>
                <c:pt idx="0">
                  <c:v>4.4000000000000004</c:v>
                </c:pt>
                <c:pt idx="1">
                  <c:v>4.45</c:v>
                </c:pt>
                <c:pt idx="2">
                  <c:v>4.2</c:v>
                </c:pt>
                <c:pt idx="3">
                  <c:v>4.3</c:v>
                </c:pt>
                <c:pt idx="4">
                  <c:v>4.38</c:v>
                </c:pt>
              </c:numCache>
            </c:numRef>
          </c:val>
          <c:smooth val="0"/>
          <c:extLst>
            <c:ext xmlns:c16="http://schemas.microsoft.com/office/drawing/2014/chart" uri="{C3380CC4-5D6E-409C-BE32-E72D297353CC}">
              <c16:uniqueId val="{00000000-A005-4213-9BA3-CF7D5CF147CC}"/>
            </c:ext>
          </c:extLst>
        </c:ser>
        <c:ser>
          <c:idx val="1"/>
          <c:order val="1"/>
          <c:tx>
            <c:strRef>
              <c:f>'8 - Benchmark Analysis'!$C$28</c:f>
              <c:strCache>
                <c:ptCount val="1"/>
                <c:pt idx="0">
                  <c:v>Inventory Turnover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Analysis'!$E$28:$I$28</c:f>
              <c:numCache>
                <c:formatCode>0.00_);\(0.00\)</c:formatCode>
                <c:ptCount val="5"/>
                <c:pt idx="0">
                  <c:v>79.739614522588255</c:v>
                </c:pt>
                <c:pt idx="1">
                  <c:v>42.418314319238512</c:v>
                </c:pt>
                <c:pt idx="2">
                  <c:v>27.240927861609123</c:v>
                </c:pt>
                <c:pt idx="3">
                  <c:v>17.850816712436075</c:v>
                </c:pt>
                <c:pt idx="4">
                  <c:v>8.2821931487097977</c:v>
                </c:pt>
              </c:numCache>
            </c:numRef>
          </c:val>
          <c:smooth val="0"/>
          <c:extLst>
            <c:ext xmlns:c16="http://schemas.microsoft.com/office/drawing/2014/chart" uri="{C3380CC4-5D6E-409C-BE32-E72D297353CC}">
              <c16:uniqueId val="{00000001-A005-4213-9BA3-CF7D5CF147CC}"/>
            </c:ext>
          </c:extLst>
        </c:ser>
        <c:dLbls>
          <c:showLegendKey val="0"/>
          <c:showVal val="0"/>
          <c:showCatName val="0"/>
          <c:showSerName val="0"/>
          <c:showPercent val="0"/>
          <c:showBubbleSize val="0"/>
        </c:dLbls>
        <c:smooth val="0"/>
        <c:axId val="202534671"/>
        <c:axId val="1"/>
      </c:lineChart>
      <c:catAx>
        <c:axId val="20253467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7759815242494227"/>
              <c:y val="0.8508488659442299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Turnover Rate</a:t>
                </a:r>
              </a:p>
            </c:rich>
          </c:tx>
          <c:layout>
            <c:manualLayout>
              <c:xMode val="edge"/>
              <c:yMode val="edge"/>
              <c:x val="1.8475750577367205E-2"/>
              <c:y val="0.30169541461767513"/>
            </c:manualLayout>
          </c:layout>
          <c:overlay val="0"/>
          <c:spPr>
            <a:noFill/>
            <a:ln w="25400">
              <a:noFill/>
            </a:ln>
          </c:spPr>
        </c:title>
        <c:numFmt formatCode="0.00_);\(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34671"/>
        <c:crosses val="autoZero"/>
        <c:crossBetween val="between"/>
      </c:valAx>
      <c:spPr>
        <a:solidFill>
          <a:srgbClr val="FFFFFF"/>
        </a:solidFill>
        <a:ln w="12700">
          <a:solidFill>
            <a:srgbClr val="FFFFFF"/>
          </a:solidFill>
          <a:prstDash val="solid"/>
        </a:ln>
      </c:spPr>
    </c:plotArea>
    <c:legend>
      <c:legendPos val="r"/>
      <c:layout>
        <c:manualLayout>
          <c:xMode val="edge"/>
          <c:yMode val="edge"/>
          <c:x val="0.70900692840646651"/>
          <c:y val="0.41356000655456593"/>
          <c:w val="0.28175519630484991"/>
          <c:h val="0.16610196984568631"/>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Inventory Days Comparison</a:t>
            </a:r>
          </a:p>
        </c:rich>
      </c:tx>
      <c:layout>
        <c:manualLayout>
          <c:xMode val="edge"/>
          <c:yMode val="edge"/>
          <c:x val="0.33333371009398294"/>
          <c:y val="3.741509026589826E-2"/>
        </c:manualLayout>
      </c:layout>
      <c:overlay val="0"/>
      <c:spPr>
        <a:noFill/>
        <a:ln w="25400">
          <a:noFill/>
        </a:ln>
      </c:spPr>
    </c:title>
    <c:autoTitleDeleted val="0"/>
    <c:plotArea>
      <c:layout>
        <c:manualLayout>
          <c:layoutTarget val="inner"/>
          <c:xMode val="edge"/>
          <c:yMode val="edge"/>
          <c:x val="0.11574087156041074"/>
          <c:y val="0.26190563186128779"/>
          <c:w val="0.58912103624249068"/>
          <c:h val="0.46598794240255104"/>
        </c:manualLayout>
      </c:layout>
      <c:lineChart>
        <c:grouping val="standard"/>
        <c:varyColors val="0"/>
        <c:ser>
          <c:idx val="0"/>
          <c:order val="0"/>
          <c:tx>
            <c:strRef>
              <c:f>'8 - Benchmark Analysis'!$C$30</c:f>
              <c:strCache>
                <c:ptCount val="1"/>
                <c:pt idx="0">
                  <c:v>Days in Inventory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Analysis'!$E$30:$I$30</c:f>
              <c:numCache>
                <c:formatCode>General</c:formatCode>
                <c:ptCount val="5"/>
                <c:pt idx="0">
                  <c:v>45</c:v>
                </c:pt>
                <c:pt idx="1">
                  <c:v>45</c:v>
                </c:pt>
                <c:pt idx="2">
                  <c:v>45</c:v>
                </c:pt>
                <c:pt idx="3">
                  <c:v>45</c:v>
                </c:pt>
                <c:pt idx="4">
                  <c:v>45</c:v>
                </c:pt>
              </c:numCache>
            </c:numRef>
          </c:val>
          <c:smooth val="0"/>
          <c:extLst>
            <c:ext xmlns:c16="http://schemas.microsoft.com/office/drawing/2014/chart" uri="{C3380CC4-5D6E-409C-BE32-E72D297353CC}">
              <c16:uniqueId val="{00000000-1A24-4E14-B91E-B67765438FD0}"/>
            </c:ext>
          </c:extLst>
        </c:ser>
        <c:ser>
          <c:idx val="1"/>
          <c:order val="1"/>
          <c:tx>
            <c:strRef>
              <c:f>'8 - Benchmark Analysis'!$C$31</c:f>
              <c:strCache>
                <c:ptCount val="1"/>
                <c:pt idx="0">
                  <c:v>Days in Inventory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Analysis'!$E$31:$I$31</c:f>
              <c:numCache>
                <c:formatCode>0</c:formatCode>
                <c:ptCount val="5"/>
                <c:pt idx="0">
                  <c:v>4.5773986015019492</c:v>
                </c:pt>
                <c:pt idx="1">
                  <c:v>8.6047738072056514</c:v>
                </c:pt>
                <c:pt idx="2">
                  <c:v>13.398956226979246</c:v>
                </c:pt>
                <c:pt idx="3">
                  <c:v>20.447243724468727</c:v>
                </c:pt>
                <c:pt idx="4">
                  <c:v>44.070452529455899</c:v>
                </c:pt>
              </c:numCache>
            </c:numRef>
          </c:val>
          <c:smooth val="0"/>
          <c:extLst>
            <c:ext xmlns:c16="http://schemas.microsoft.com/office/drawing/2014/chart" uri="{C3380CC4-5D6E-409C-BE32-E72D297353CC}">
              <c16:uniqueId val="{00000001-1A24-4E14-B91E-B67765438FD0}"/>
            </c:ext>
          </c:extLst>
        </c:ser>
        <c:dLbls>
          <c:showLegendKey val="0"/>
          <c:showVal val="0"/>
          <c:showCatName val="0"/>
          <c:showSerName val="0"/>
          <c:showPercent val="0"/>
          <c:showBubbleSize val="0"/>
        </c:dLbls>
        <c:smooth val="0"/>
        <c:axId val="202522191"/>
        <c:axId val="1"/>
      </c:lineChart>
      <c:catAx>
        <c:axId val="20252219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7268560642452259"/>
              <c:y val="0.8503429605885968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Days Held in Inventory</a:t>
                </a:r>
              </a:p>
            </c:rich>
          </c:tx>
          <c:layout>
            <c:manualLayout>
              <c:xMode val="edge"/>
              <c:yMode val="edge"/>
              <c:x val="1.8518539449665718E-2"/>
              <c:y val="0.312926209496603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22191"/>
        <c:crosses val="autoZero"/>
        <c:crossBetween val="between"/>
      </c:valAx>
      <c:spPr>
        <a:solidFill>
          <a:srgbClr val="FFFFFF"/>
        </a:solidFill>
        <a:ln w="12700">
          <a:solidFill>
            <a:srgbClr val="FFFFFF"/>
          </a:solidFill>
          <a:prstDash val="solid"/>
        </a:ln>
      </c:spPr>
    </c:plotArea>
    <c:legend>
      <c:legendPos val="r"/>
      <c:layout>
        <c:manualLayout>
          <c:xMode val="edge"/>
          <c:yMode val="edge"/>
          <c:x val="0.7175934036745466"/>
          <c:y val="0.41156599292488083"/>
          <c:w val="0.27314845688256933"/>
          <c:h val="0.16666722027536496"/>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75" b="1" i="0" u="none" strike="noStrike" baseline="0">
                <a:solidFill>
                  <a:srgbClr val="000000"/>
                </a:solidFill>
                <a:latin typeface="Arial"/>
                <a:ea typeface="Arial"/>
                <a:cs typeface="Arial"/>
              </a:defRPr>
            </a:pPr>
            <a:r>
              <a:rPr lang="en-US"/>
              <a:t>Asset Turnover Comparison</a:t>
            </a:r>
          </a:p>
        </c:rich>
      </c:tx>
      <c:layout>
        <c:manualLayout>
          <c:xMode val="edge"/>
          <c:yMode val="edge"/>
          <c:x val="0.32986148394717063"/>
          <c:y val="3.7162162162162164E-2"/>
        </c:manualLayout>
      </c:layout>
      <c:overlay val="0"/>
      <c:spPr>
        <a:noFill/>
        <a:ln w="25400">
          <a:noFill/>
        </a:ln>
      </c:spPr>
    </c:title>
    <c:autoTitleDeleted val="0"/>
    <c:plotArea>
      <c:layout>
        <c:manualLayout>
          <c:layoutTarget val="inner"/>
          <c:xMode val="edge"/>
          <c:yMode val="edge"/>
          <c:x val="0.11226864541359842"/>
          <c:y val="0.26013513513513514"/>
          <c:w val="0.60648216697655233"/>
          <c:h val="0.46959459459459457"/>
        </c:manualLayout>
      </c:layout>
      <c:lineChart>
        <c:grouping val="standard"/>
        <c:varyColors val="0"/>
        <c:ser>
          <c:idx val="0"/>
          <c:order val="0"/>
          <c:tx>
            <c:strRef>
              <c:f>'8 - Benchmark Analysis'!$C$33</c:f>
              <c:strCache>
                <c:ptCount val="1"/>
                <c:pt idx="0">
                  <c:v>Asset Turnover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Analysis'!$E$33:$I$33</c:f>
              <c:numCache>
                <c:formatCode>0.00_);\(0.00\)</c:formatCode>
                <c:ptCount val="5"/>
                <c:pt idx="0">
                  <c:v>1.6</c:v>
                </c:pt>
                <c:pt idx="1">
                  <c:v>1.55</c:v>
                </c:pt>
                <c:pt idx="2">
                  <c:v>1.62</c:v>
                </c:pt>
                <c:pt idx="3">
                  <c:v>1.68</c:v>
                </c:pt>
                <c:pt idx="4">
                  <c:v>1.69</c:v>
                </c:pt>
              </c:numCache>
            </c:numRef>
          </c:val>
          <c:smooth val="0"/>
          <c:extLst>
            <c:ext xmlns:c16="http://schemas.microsoft.com/office/drawing/2014/chart" uri="{C3380CC4-5D6E-409C-BE32-E72D297353CC}">
              <c16:uniqueId val="{00000000-DAC8-46F3-BC08-8BD001E0927A}"/>
            </c:ext>
          </c:extLst>
        </c:ser>
        <c:ser>
          <c:idx val="1"/>
          <c:order val="1"/>
          <c:tx>
            <c:strRef>
              <c:f>'8 - Benchmark Analysis'!$C$34</c:f>
              <c:strCache>
                <c:ptCount val="1"/>
                <c:pt idx="0">
                  <c:v>Asset Turnover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Analysis'!$E$34:$I$34</c:f>
              <c:numCache>
                <c:formatCode>0.00_);\(0.00\)</c:formatCode>
                <c:ptCount val="5"/>
                <c:pt idx="0">
                  <c:v>2.2857852775235852</c:v>
                </c:pt>
                <c:pt idx="1">
                  <c:v>1.0257325752153552</c:v>
                </c:pt>
                <c:pt idx="2">
                  <c:v>0.88407989556986655</c:v>
                </c:pt>
                <c:pt idx="3">
                  <c:v>0.81599766844664645</c:v>
                </c:pt>
                <c:pt idx="4">
                  <c:v>0.92363992364420455</c:v>
                </c:pt>
              </c:numCache>
            </c:numRef>
          </c:val>
          <c:smooth val="0"/>
          <c:extLst>
            <c:ext xmlns:c16="http://schemas.microsoft.com/office/drawing/2014/chart" uri="{C3380CC4-5D6E-409C-BE32-E72D297353CC}">
              <c16:uniqueId val="{00000001-DAC8-46F3-BC08-8BD001E0927A}"/>
            </c:ext>
          </c:extLst>
        </c:ser>
        <c:dLbls>
          <c:showLegendKey val="0"/>
          <c:showVal val="0"/>
          <c:showCatName val="0"/>
          <c:showSerName val="0"/>
          <c:showPercent val="0"/>
          <c:showBubbleSize val="0"/>
        </c:dLbls>
        <c:smooth val="0"/>
        <c:axId val="202522671"/>
        <c:axId val="1"/>
      </c:lineChart>
      <c:catAx>
        <c:axId val="20252267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7847265000254315"/>
              <c:y val="0.8513513513513513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Turnover Rate</a:t>
                </a:r>
              </a:p>
            </c:rich>
          </c:tx>
          <c:layout>
            <c:manualLayout>
              <c:xMode val="edge"/>
              <c:yMode val="edge"/>
              <c:x val="1.8518539449665718E-2"/>
              <c:y val="0.30067567567567566"/>
            </c:manualLayout>
          </c:layout>
          <c:overlay val="0"/>
          <c:spPr>
            <a:noFill/>
            <a:ln w="25400">
              <a:noFill/>
            </a:ln>
          </c:spPr>
        </c:title>
        <c:numFmt formatCode="0.00_);\(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22671"/>
        <c:crosses val="autoZero"/>
        <c:crossBetween val="between"/>
      </c:valAx>
      <c:spPr>
        <a:solidFill>
          <a:srgbClr val="FFFFFF"/>
        </a:solidFill>
        <a:ln w="12700">
          <a:solidFill>
            <a:srgbClr val="FFFFFF"/>
          </a:solidFill>
          <a:prstDash val="solid"/>
        </a:ln>
      </c:spPr>
    </c:plotArea>
    <c:legend>
      <c:legendPos val="r"/>
      <c:layout>
        <c:manualLayout>
          <c:xMode val="edge"/>
          <c:yMode val="edge"/>
          <c:x val="0.73148230826179594"/>
          <c:y val="0.41216216216216217"/>
          <c:w val="0.25925955229532005"/>
          <c:h val="0.16554054054054054"/>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Gross Profit Margin</a:t>
            </a:r>
          </a:p>
        </c:rich>
      </c:tx>
      <c:layout>
        <c:manualLayout>
          <c:xMode val="edge"/>
          <c:yMode val="edge"/>
          <c:x val="0.38283084330524675"/>
          <c:y val="3.7288197312296927E-2"/>
        </c:manualLayout>
      </c:layout>
      <c:overlay val="0"/>
      <c:spPr>
        <a:noFill/>
        <a:ln w="25400">
          <a:noFill/>
        </a:ln>
      </c:spPr>
    </c:title>
    <c:autoTitleDeleted val="0"/>
    <c:plotArea>
      <c:layout>
        <c:manualLayout>
          <c:layoutTarget val="inner"/>
          <c:xMode val="edge"/>
          <c:yMode val="edge"/>
          <c:x val="0.13341074842455569"/>
          <c:y val="0.26101738118607848"/>
          <c:w val="0.54872420873752037"/>
          <c:h val="0.46779738446336144"/>
        </c:manualLayout>
      </c:layout>
      <c:lineChart>
        <c:grouping val="standard"/>
        <c:varyColors val="0"/>
        <c:ser>
          <c:idx val="0"/>
          <c:order val="0"/>
          <c:tx>
            <c:strRef>
              <c:f>'8 - Benchmark Analysis'!$C$36</c:f>
              <c:strCache>
                <c:ptCount val="1"/>
                <c:pt idx="0">
                  <c:v>Gross Profit Margin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Analysis'!$E$36:$I$36</c:f>
              <c:numCache>
                <c:formatCode>0.00%</c:formatCode>
                <c:ptCount val="5"/>
                <c:pt idx="0">
                  <c:v>0.55000000000000004</c:v>
                </c:pt>
                <c:pt idx="1">
                  <c:v>0.52</c:v>
                </c:pt>
                <c:pt idx="2">
                  <c:v>0.6</c:v>
                </c:pt>
                <c:pt idx="3">
                  <c:v>0.62</c:v>
                </c:pt>
                <c:pt idx="4">
                  <c:v>0.63</c:v>
                </c:pt>
              </c:numCache>
            </c:numRef>
          </c:val>
          <c:smooth val="0"/>
          <c:extLst>
            <c:ext xmlns:c16="http://schemas.microsoft.com/office/drawing/2014/chart" uri="{C3380CC4-5D6E-409C-BE32-E72D297353CC}">
              <c16:uniqueId val="{00000000-9F03-4F76-BD74-E04105BDDAFA}"/>
            </c:ext>
          </c:extLst>
        </c:ser>
        <c:ser>
          <c:idx val="1"/>
          <c:order val="1"/>
          <c:tx>
            <c:strRef>
              <c:f>'8 - Benchmark Analysis'!$C$37</c:f>
              <c:strCache>
                <c:ptCount val="1"/>
                <c:pt idx="0">
                  <c:v>Gross Profit Margin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Analysis'!$E$37:$I$37</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9F03-4F76-BD74-E04105BDDAFA}"/>
            </c:ext>
          </c:extLst>
        </c:ser>
        <c:dLbls>
          <c:showLegendKey val="0"/>
          <c:showVal val="0"/>
          <c:showCatName val="0"/>
          <c:showSerName val="0"/>
          <c:showPercent val="0"/>
          <c:showBubbleSize val="0"/>
        </c:dLbls>
        <c:smooth val="0"/>
        <c:axId val="202545231"/>
        <c:axId val="1"/>
      </c:lineChart>
      <c:catAx>
        <c:axId val="20254523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7006981519507187"/>
              <c:y val="0.8508488659442299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Gross Profit Margin</a:t>
                </a:r>
              </a:p>
            </c:rich>
          </c:tx>
          <c:layout>
            <c:manualLayout>
              <c:xMode val="edge"/>
              <c:yMode val="edge"/>
              <c:x val="1.8561495432981662E-2"/>
              <c:y val="0.23728852835098047"/>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45231"/>
        <c:crosses val="autoZero"/>
        <c:crossBetween val="between"/>
      </c:valAx>
      <c:spPr>
        <a:solidFill>
          <a:srgbClr val="FFFFFF"/>
        </a:solidFill>
        <a:ln w="12700">
          <a:solidFill>
            <a:srgbClr val="FFFFFF"/>
          </a:solidFill>
          <a:prstDash val="solid"/>
        </a:ln>
      </c:spPr>
    </c:plotArea>
    <c:legend>
      <c:legendPos val="r"/>
      <c:layout>
        <c:manualLayout>
          <c:xMode val="edge"/>
          <c:yMode val="edge"/>
          <c:x val="0.69489598527225094"/>
          <c:y val="0.41356000655456593"/>
          <c:w val="0.29582383346314522"/>
          <c:h val="0.16610196984568631"/>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Net Profit Margin</a:t>
            </a:r>
          </a:p>
        </c:rich>
      </c:tx>
      <c:layout>
        <c:manualLayout>
          <c:xMode val="edge"/>
          <c:yMode val="edge"/>
          <c:x val="0.39860950173812282"/>
          <c:y val="3.741509026589826E-2"/>
        </c:manualLayout>
      </c:layout>
      <c:overlay val="0"/>
      <c:spPr>
        <a:noFill/>
        <a:ln w="25400">
          <a:noFill/>
        </a:ln>
      </c:spPr>
    </c:title>
    <c:autoTitleDeleted val="0"/>
    <c:plotArea>
      <c:layout>
        <c:manualLayout>
          <c:layoutTarget val="inner"/>
          <c:xMode val="edge"/>
          <c:yMode val="edge"/>
          <c:x val="0.1332560834298957"/>
          <c:y val="0.26190563186128779"/>
          <c:w val="0.57010428736964081"/>
          <c:h val="0.46598794240255104"/>
        </c:manualLayout>
      </c:layout>
      <c:lineChart>
        <c:grouping val="standard"/>
        <c:varyColors val="0"/>
        <c:ser>
          <c:idx val="0"/>
          <c:order val="0"/>
          <c:tx>
            <c:strRef>
              <c:f>'8 - Benchmark Analysis'!$C$39</c:f>
              <c:strCache>
                <c:ptCount val="1"/>
                <c:pt idx="0">
                  <c:v>Net Profit Margin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Analysis'!$E$39:$I$39</c:f>
              <c:numCache>
                <c:formatCode>0.00%</c:formatCode>
                <c:ptCount val="5"/>
                <c:pt idx="0">
                  <c:v>0.2</c:v>
                </c:pt>
                <c:pt idx="1">
                  <c:v>0.23</c:v>
                </c:pt>
                <c:pt idx="2">
                  <c:v>0.22</c:v>
                </c:pt>
                <c:pt idx="3">
                  <c:v>0.19</c:v>
                </c:pt>
                <c:pt idx="4">
                  <c:v>0.2</c:v>
                </c:pt>
              </c:numCache>
            </c:numRef>
          </c:val>
          <c:smooth val="0"/>
          <c:extLst>
            <c:ext xmlns:c16="http://schemas.microsoft.com/office/drawing/2014/chart" uri="{C3380CC4-5D6E-409C-BE32-E72D297353CC}">
              <c16:uniqueId val="{00000000-8CFA-4B62-8D8C-0BA40262A81A}"/>
            </c:ext>
          </c:extLst>
        </c:ser>
        <c:ser>
          <c:idx val="1"/>
          <c:order val="1"/>
          <c:tx>
            <c:strRef>
              <c:f>'8 - Benchmark Analysis'!$C$40</c:f>
              <c:strCache>
                <c:ptCount val="1"/>
                <c:pt idx="0">
                  <c:v>Net Profit Margin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Analysis'!$E$40:$I$40</c:f>
              <c:numCache>
                <c:formatCode>0.00%</c:formatCode>
                <c:ptCount val="5"/>
                <c:pt idx="0">
                  <c:v>4.5462850412110345E-2</c:v>
                </c:pt>
                <c:pt idx="1">
                  <c:v>0.11986047318530689</c:v>
                </c:pt>
                <c:pt idx="2">
                  <c:v>0.1028278446644366</c:v>
                </c:pt>
                <c:pt idx="3">
                  <c:v>0.10745149574265495</c:v>
                </c:pt>
                <c:pt idx="4">
                  <c:v>0.13354567719121832</c:v>
                </c:pt>
              </c:numCache>
            </c:numRef>
          </c:val>
          <c:smooth val="0"/>
          <c:extLst>
            <c:ext xmlns:c16="http://schemas.microsoft.com/office/drawing/2014/chart" uri="{C3380CC4-5D6E-409C-BE32-E72D297353CC}">
              <c16:uniqueId val="{00000001-8CFA-4B62-8D8C-0BA40262A81A}"/>
            </c:ext>
          </c:extLst>
        </c:ser>
        <c:dLbls>
          <c:showLegendKey val="0"/>
          <c:showVal val="0"/>
          <c:showCatName val="0"/>
          <c:showSerName val="0"/>
          <c:showPercent val="0"/>
          <c:showBubbleSize val="0"/>
        </c:dLbls>
        <c:smooth val="0"/>
        <c:axId val="202535151"/>
        <c:axId val="1"/>
      </c:lineChart>
      <c:catAx>
        <c:axId val="20253515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8122827346465815"/>
              <c:y val="0.8503429605885968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Net Profit Margin</a:t>
                </a:r>
              </a:p>
            </c:rich>
          </c:tx>
          <c:layout>
            <c:manualLayout>
              <c:xMode val="edge"/>
              <c:yMode val="edge"/>
              <c:x val="1.8539976825028968E-2"/>
              <c:y val="0.2687083755459965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35151"/>
        <c:crosses val="autoZero"/>
        <c:crossBetween val="between"/>
      </c:valAx>
      <c:spPr>
        <a:solidFill>
          <a:srgbClr val="FFFFFF"/>
        </a:solidFill>
        <a:ln w="12700">
          <a:solidFill>
            <a:srgbClr val="FFFFFF"/>
          </a:solidFill>
          <a:prstDash val="solid"/>
        </a:ln>
      </c:spPr>
    </c:plotArea>
    <c:legend>
      <c:legendPos val="r"/>
      <c:layout>
        <c:manualLayout>
          <c:xMode val="edge"/>
          <c:yMode val="edge"/>
          <c:x val="0.71610660486674393"/>
          <c:y val="0.41156599292488083"/>
          <c:w val="0.27462340672074159"/>
          <c:h val="0.16666722027536496"/>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Return on Equity Comparison</a:t>
            </a:r>
          </a:p>
        </c:rich>
      </c:tx>
      <c:layout>
        <c:manualLayout>
          <c:xMode val="edge"/>
          <c:yMode val="edge"/>
          <c:x val="0.32332563510392609"/>
          <c:y val="3.741509026589826E-2"/>
        </c:manualLayout>
      </c:layout>
      <c:overlay val="0"/>
      <c:spPr>
        <a:noFill/>
        <a:ln w="25400">
          <a:noFill/>
        </a:ln>
      </c:spPr>
    </c:title>
    <c:autoTitleDeleted val="0"/>
    <c:plotArea>
      <c:layout>
        <c:manualLayout>
          <c:layoutTarget val="inner"/>
          <c:xMode val="edge"/>
          <c:yMode val="edge"/>
          <c:x val="0.15704387990762125"/>
          <c:y val="0.26190563186128779"/>
          <c:w val="0.50230946882217087"/>
          <c:h val="0.46598794240255104"/>
        </c:manualLayout>
      </c:layout>
      <c:lineChart>
        <c:grouping val="standard"/>
        <c:varyColors val="0"/>
        <c:ser>
          <c:idx val="0"/>
          <c:order val="0"/>
          <c:tx>
            <c:strRef>
              <c:f>'8 - Benchmark Analysis'!$C$42</c:f>
              <c:strCache>
                <c:ptCount val="1"/>
                <c:pt idx="0">
                  <c:v>Return on Total Assets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Analysis'!$E$42:$I$42</c:f>
              <c:numCache>
                <c:formatCode>0.00%</c:formatCode>
                <c:ptCount val="5"/>
                <c:pt idx="0">
                  <c:v>0.38</c:v>
                </c:pt>
                <c:pt idx="1">
                  <c:v>0.36</c:v>
                </c:pt>
                <c:pt idx="2">
                  <c:v>0.37</c:v>
                </c:pt>
                <c:pt idx="3">
                  <c:v>0.34</c:v>
                </c:pt>
                <c:pt idx="4">
                  <c:v>0.36</c:v>
                </c:pt>
              </c:numCache>
            </c:numRef>
          </c:val>
          <c:smooth val="0"/>
          <c:extLst>
            <c:ext xmlns:c16="http://schemas.microsoft.com/office/drawing/2014/chart" uri="{C3380CC4-5D6E-409C-BE32-E72D297353CC}">
              <c16:uniqueId val="{00000000-8BFF-4033-AD8D-FC6D4A4E28B1}"/>
            </c:ext>
          </c:extLst>
        </c:ser>
        <c:ser>
          <c:idx val="1"/>
          <c:order val="1"/>
          <c:tx>
            <c:strRef>
              <c:f>'8 - Benchmark Analysis'!$C$43</c:f>
              <c:strCache>
                <c:ptCount val="1"/>
                <c:pt idx="0">
                  <c:v>Return on Total Assets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Analysis'!$E$43:$I$43</c:f>
              <c:numCache>
                <c:formatCode>0.00%</c:formatCode>
                <c:ptCount val="5"/>
                <c:pt idx="0">
                  <c:v>0.3</c:v>
                </c:pt>
                <c:pt idx="1">
                  <c:v>0.15654196858619854</c:v>
                </c:pt>
                <c:pt idx="2">
                  <c:v>0.10297337701335155</c:v>
                </c:pt>
                <c:pt idx="3">
                  <c:v>0.11164706586001465</c:v>
                </c:pt>
                <c:pt idx="4">
                  <c:v>0.13740545554257325</c:v>
                </c:pt>
              </c:numCache>
            </c:numRef>
          </c:val>
          <c:smooth val="0"/>
          <c:extLst>
            <c:ext xmlns:c16="http://schemas.microsoft.com/office/drawing/2014/chart" uri="{C3380CC4-5D6E-409C-BE32-E72D297353CC}">
              <c16:uniqueId val="{00000001-8BFF-4033-AD8D-FC6D4A4E28B1}"/>
            </c:ext>
          </c:extLst>
        </c:ser>
        <c:dLbls>
          <c:showLegendKey val="0"/>
          <c:showVal val="0"/>
          <c:showCatName val="0"/>
          <c:showSerName val="0"/>
          <c:showPercent val="0"/>
          <c:showBubbleSize val="0"/>
        </c:dLbls>
        <c:smooth val="0"/>
        <c:axId val="202535631"/>
        <c:axId val="1"/>
      </c:lineChart>
      <c:catAx>
        <c:axId val="20253563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7066974595842955"/>
              <c:y val="0.8503429605885968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Return on Common Equity</a:t>
                </a:r>
              </a:p>
            </c:rich>
          </c:tx>
          <c:layout>
            <c:manualLayout>
              <c:xMode val="edge"/>
              <c:yMode val="edge"/>
              <c:x val="1.8475750577367205E-2"/>
              <c:y val="0.22108916975303516"/>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35631"/>
        <c:crosses val="autoZero"/>
        <c:crossBetween val="between"/>
      </c:valAx>
      <c:spPr>
        <a:solidFill>
          <a:srgbClr val="FFFFFF"/>
        </a:solidFill>
        <a:ln w="12700">
          <a:solidFill>
            <a:srgbClr val="FFFFFF"/>
          </a:solidFill>
          <a:prstDash val="solid"/>
        </a:ln>
      </c:spPr>
    </c:plotArea>
    <c:legend>
      <c:legendPos val="r"/>
      <c:layout>
        <c:manualLayout>
          <c:xMode val="edge"/>
          <c:yMode val="edge"/>
          <c:x val="0.67205542725173206"/>
          <c:y val="0.41156599292488083"/>
          <c:w val="0.3187066974595843"/>
          <c:h val="0.16666722027536496"/>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Return on Total Assets</a:t>
            </a:r>
          </a:p>
        </c:rich>
      </c:tx>
      <c:layout>
        <c:manualLayout>
          <c:xMode val="edge"/>
          <c:yMode val="edge"/>
          <c:x val="0.36216880470642832"/>
          <c:y val="3.741509026589826E-2"/>
        </c:manualLayout>
      </c:layout>
      <c:overlay val="0"/>
      <c:spPr>
        <a:noFill/>
        <a:ln w="25400">
          <a:noFill/>
        </a:ln>
      </c:spPr>
    </c:title>
    <c:autoTitleDeleted val="0"/>
    <c:plotArea>
      <c:layout>
        <c:manualLayout>
          <c:layoutTarget val="inner"/>
          <c:xMode val="edge"/>
          <c:yMode val="edge"/>
          <c:x val="0.15686292178367595"/>
          <c:y val="0.26190563186128779"/>
          <c:w val="0.50288407277707881"/>
          <c:h val="0.46598794240255104"/>
        </c:manualLayout>
      </c:layout>
      <c:lineChart>
        <c:grouping val="standard"/>
        <c:varyColors val="0"/>
        <c:ser>
          <c:idx val="0"/>
          <c:order val="0"/>
          <c:tx>
            <c:strRef>
              <c:f>'8 - Benchmark Analysis'!$C$42</c:f>
              <c:strCache>
                <c:ptCount val="1"/>
                <c:pt idx="0">
                  <c:v>Return on Total Assets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Analysis'!$E$42:$I$42</c:f>
              <c:numCache>
                <c:formatCode>0.00%</c:formatCode>
                <c:ptCount val="5"/>
                <c:pt idx="0">
                  <c:v>0.38</c:v>
                </c:pt>
                <c:pt idx="1">
                  <c:v>0.36</c:v>
                </c:pt>
                <c:pt idx="2">
                  <c:v>0.37</c:v>
                </c:pt>
                <c:pt idx="3">
                  <c:v>0.34</c:v>
                </c:pt>
                <c:pt idx="4">
                  <c:v>0.36</c:v>
                </c:pt>
              </c:numCache>
            </c:numRef>
          </c:val>
          <c:smooth val="0"/>
          <c:extLst>
            <c:ext xmlns:c16="http://schemas.microsoft.com/office/drawing/2014/chart" uri="{C3380CC4-5D6E-409C-BE32-E72D297353CC}">
              <c16:uniqueId val="{00000000-B8C6-4D5E-85E8-8B3E162FC6FF}"/>
            </c:ext>
          </c:extLst>
        </c:ser>
        <c:ser>
          <c:idx val="1"/>
          <c:order val="1"/>
          <c:tx>
            <c:strRef>
              <c:f>'8 - Benchmark Analysis'!$C$43</c:f>
              <c:strCache>
                <c:ptCount val="1"/>
                <c:pt idx="0">
                  <c:v>Return on Total Assets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Analysis'!$E$43:$I$43</c:f>
              <c:numCache>
                <c:formatCode>0.00%</c:formatCode>
                <c:ptCount val="5"/>
                <c:pt idx="0">
                  <c:v>0.3</c:v>
                </c:pt>
                <c:pt idx="1">
                  <c:v>0.15654196858619854</c:v>
                </c:pt>
                <c:pt idx="2">
                  <c:v>0.10297337701335155</c:v>
                </c:pt>
                <c:pt idx="3">
                  <c:v>0.11164706586001465</c:v>
                </c:pt>
                <c:pt idx="4">
                  <c:v>0.13740545554257325</c:v>
                </c:pt>
              </c:numCache>
            </c:numRef>
          </c:val>
          <c:smooth val="0"/>
          <c:extLst>
            <c:ext xmlns:c16="http://schemas.microsoft.com/office/drawing/2014/chart" uri="{C3380CC4-5D6E-409C-BE32-E72D297353CC}">
              <c16:uniqueId val="{00000001-B8C6-4D5E-85E8-8B3E162FC6FF}"/>
            </c:ext>
          </c:extLst>
        </c:ser>
        <c:dLbls>
          <c:showLegendKey val="0"/>
          <c:showVal val="0"/>
          <c:showCatName val="0"/>
          <c:showSerName val="0"/>
          <c:showPercent val="0"/>
          <c:showBubbleSize val="0"/>
        </c:dLbls>
        <c:smooth val="0"/>
        <c:axId val="202550031"/>
        <c:axId val="1"/>
      </c:lineChart>
      <c:catAx>
        <c:axId val="20255003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7139603539958571"/>
              <c:y val="0.8503429605885968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Return on Total Assets</a:t>
                </a:r>
              </a:p>
            </c:rich>
          </c:tx>
          <c:layout>
            <c:manualLayout>
              <c:xMode val="edge"/>
              <c:yMode val="edge"/>
              <c:x val="1.8454461386314819E-2"/>
              <c:y val="0.27551111923070537"/>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50031"/>
        <c:crosses val="autoZero"/>
        <c:crossBetween val="between"/>
      </c:valAx>
      <c:spPr>
        <a:solidFill>
          <a:srgbClr val="FFFFFF"/>
        </a:solidFill>
        <a:ln w="12700">
          <a:solidFill>
            <a:srgbClr val="FFFFFF"/>
          </a:solidFill>
          <a:prstDash val="solid"/>
        </a:ln>
      </c:spPr>
    </c:plotArea>
    <c:legend>
      <c:legendPos val="r"/>
      <c:layout>
        <c:manualLayout>
          <c:xMode val="edge"/>
          <c:yMode val="edge"/>
          <c:x val="0.67243443676384618"/>
          <c:y val="0.41156599292488083"/>
          <c:w val="0.31833945891393062"/>
          <c:h val="0.16666722027536496"/>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Debt to Equity Comparison</a:t>
            </a:r>
          </a:p>
        </c:rich>
      </c:tx>
      <c:layout>
        <c:manualLayout>
          <c:xMode val="edge"/>
          <c:yMode val="edge"/>
          <c:x val="0.33796334495639935"/>
          <c:y val="3.7288197312296927E-2"/>
        </c:manualLayout>
      </c:layout>
      <c:overlay val="0"/>
      <c:spPr>
        <a:noFill/>
        <a:ln w="25400">
          <a:noFill/>
        </a:ln>
      </c:spPr>
    </c:title>
    <c:autoTitleDeleted val="0"/>
    <c:plotArea>
      <c:layout>
        <c:manualLayout>
          <c:layoutTarget val="inner"/>
          <c:xMode val="edge"/>
          <c:yMode val="edge"/>
          <c:x val="0.11805568899161896"/>
          <c:y val="0.26101738118607848"/>
          <c:w val="0.60763957569215643"/>
          <c:h val="0.46779738446336144"/>
        </c:manualLayout>
      </c:layout>
      <c:lineChart>
        <c:grouping val="standard"/>
        <c:varyColors val="0"/>
        <c:ser>
          <c:idx val="0"/>
          <c:order val="0"/>
          <c:tx>
            <c:strRef>
              <c:f>'8 - Benchmark Analysis'!$C$48</c:f>
              <c:strCache>
                <c:ptCount val="1"/>
                <c:pt idx="0">
                  <c:v>Debt to Equity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Analysis'!$E$48:$I$48</c:f>
              <c:numCache>
                <c:formatCode>0%</c:formatCode>
                <c:ptCount val="5"/>
                <c:pt idx="0">
                  <c:v>0.35</c:v>
                </c:pt>
                <c:pt idx="1">
                  <c:v>0.38</c:v>
                </c:pt>
                <c:pt idx="2">
                  <c:v>0.31</c:v>
                </c:pt>
                <c:pt idx="3">
                  <c:v>0.34</c:v>
                </c:pt>
                <c:pt idx="4">
                  <c:v>0.32</c:v>
                </c:pt>
              </c:numCache>
            </c:numRef>
          </c:val>
          <c:smooth val="0"/>
          <c:extLst>
            <c:ext xmlns:c16="http://schemas.microsoft.com/office/drawing/2014/chart" uri="{C3380CC4-5D6E-409C-BE32-E72D297353CC}">
              <c16:uniqueId val="{00000000-F4ED-48E7-A577-BB84C3697D82}"/>
            </c:ext>
          </c:extLst>
        </c:ser>
        <c:ser>
          <c:idx val="1"/>
          <c:order val="1"/>
          <c:tx>
            <c:strRef>
              <c:f>'8 - Benchmark Analysis'!$C$49</c:f>
              <c:strCache>
                <c:ptCount val="1"/>
                <c:pt idx="0">
                  <c:v>Debt to Equity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Analysis'!$E$49:$I$49</c:f>
              <c:numCache>
                <c:formatCode>0%</c:formatCode>
                <c:ptCount val="5"/>
                <c:pt idx="0">
                  <c:v>1.254634530057579</c:v>
                </c:pt>
                <c:pt idx="1">
                  <c:v>1.6419942951626885</c:v>
                </c:pt>
                <c:pt idx="2">
                  <c:v>2.5239747150830696</c:v>
                </c:pt>
                <c:pt idx="3">
                  <c:v>2.0768101624439943</c:v>
                </c:pt>
                <c:pt idx="4">
                  <c:v>1.6270864272864662</c:v>
                </c:pt>
              </c:numCache>
            </c:numRef>
          </c:val>
          <c:smooth val="0"/>
          <c:extLst>
            <c:ext xmlns:c16="http://schemas.microsoft.com/office/drawing/2014/chart" uri="{C3380CC4-5D6E-409C-BE32-E72D297353CC}">
              <c16:uniqueId val="{00000001-F4ED-48E7-A577-BB84C3697D82}"/>
            </c:ext>
          </c:extLst>
        </c:ser>
        <c:dLbls>
          <c:showLegendKey val="0"/>
          <c:showVal val="0"/>
          <c:showCatName val="0"/>
          <c:showSerName val="0"/>
          <c:showPercent val="0"/>
          <c:showBubbleSize val="0"/>
        </c:dLbls>
        <c:smooth val="0"/>
        <c:axId val="202524591"/>
        <c:axId val="1"/>
      </c:lineChart>
      <c:catAx>
        <c:axId val="20252459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8425969358056367"/>
              <c:y val="0.8508488659442299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Debt to Equity Ratio</a:t>
                </a:r>
              </a:p>
            </c:rich>
          </c:tx>
          <c:layout>
            <c:manualLayout>
              <c:xMode val="edge"/>
              <c:yMode val="edge"/>
              <c:x val="1.8518539449665718E-2"/>
              <c:y val="0.22711901999308129"/>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24591"/>
        <c:crosses val="autoZero"/>
        <c:crossBetween val="between"/>
      </c:valAx>
      <c:spPr>
        <a:solidFill>
          <a:srgbClr val="FFFFFF"/>
        </a:solidFill>
        <a:ln w="12700">
          <a:solidFill>
            <a:srgbClr val="FFFFFF"/>
          </a:solidFill>
          <a:prstDash val="solid"/>
        </a:ln>
      </c:spPr>
    </c:plotArea>
    <c:legend>
      <c:legendPos val="r"/>
      <c:layout>
        <c:manualLayout>
          <c:xMode val="edge"/>
          <c:yMode val="edge"/>
          <c:x val="0.73842676055542056"/>
          <c:y val="0.41356000655456593"/>
          <c:w val="0.25231510000169544"/>
          <c:h val="0.16610196984568631"/>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Times Interest Earned</a:t>
            </a:r>
          </a:p>
        </c:rich>
      </c:tx>
      <c:layout>
        <c:manualLayout>
          <c:xMode val="edge"/>
          <c:yMode val="edge"/>
          <c:x val="0.36763026532597165"/>
          <c:y val="3.7542662116040959E-2"/>
        </c:manualLayout>
      </c:layout>
      <c:overlay val="0"/>
      <c:spPr>
        <a:noFill/>
        <a:ln w="25400">
          <a:noFill/>
        </a:ln>
      </c:spPr>
    </c:title>
    <c:autoTitleDeleted val="0"/>
    <c:plotArea>
      <c:layout>
        <c:manualLayout>
          <c:layoutTarget val="inner"/>
          <c:xMode val="edge"/>
          <c:yMode val="edge"/>
          <c:x val="9.1329531323118746E-2"/>
          <c:y val="0.26279863481228671"/>
          <c:w val="0.57225465829042754"/>
          <c:h val="0.46416382252559729"/>
        </c:manualLayout>
      </c:layout>
      <c:lineChart>
        <c:grouping val="standard"/>
        <c:varyColors val="0"/>
        <c:ser>
          <c:idx val="0"/>
          <c:order val="0"/>
          <c:tx>
            <c:strRef>
              <c:f>'8 - Benchmark Analysis'!$C$51</c:f>
              <c:strCache>
                <c:ptCount val="1"/>
                <c:pt idx="0">
                  <c:v>Times Interest Earned - Industry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Analysis'!$E$51:$I$51</c:f>
              <c:numCache>
                <c:formatCode>0</c:formatCode>
                <c:ptCount val="5"/>
                <c:pt idx="0">
                  <c:v>40</c:v>
                </c:pt>
                <c:pt idx="1">
                  <c:v>38</c:v>
                </c:pt>
                <c:pt idx="2">
                  <c:v>36</c:v>
                </c:pt>
                <c:pt idx="3">
                  <c:v>39</c:v>
                </c:pt>
                <c:pt idx="4">
                  <c:v>43</c:v>
                </c:pt>
              </c:numCache>
            </c:numRef>
          </c:val>
          <c:smooth val="0"/>
          <c:extLst>
            <c:ext xmlns:c16="http://schemas.microsoft.com/office/drawing/2014/chart" uri="{C3380CC4-5D6E-409C-BE32-E72D297353CC}">
              <c16:uniqueId val="{00000000-A164-4651-A179-BEAE45673072}"/>
            </c:ext>
          </c:extLst>
        </c:ser>
        <c:ser>
          <c:idx val="1"/>
          <c:order val="1"/>
          <c:tx>
            <c:strRef>
              <c:f>'8 - Benchmark Analysis'!$C$52</c:f>
              <c:strCache>
                <c:ptCount val="1"/>
                <c:pt idx="0">
                  <c:v>Times Interest Earned - Company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Analysis'!$E$52:$I$52</c:f>
              <c:numCache>
                <c:formatCode>0</c:formatCode>
                <c:ptCount val="5"/>
                <c:pt idx="0">
                  <c:v>10.456541109801361</c:v>
                </c:pt>
                <c:pt idx="1">
                  <c:v>11.287907808998412</c:v>
                </c:pt>
                <c:pt idx="2">
                  <c:v>6.966011584709741</c:v>
                </c:pt>
                <c:pt idx="3">
                  <c:v>5.6939300730500628</c:v>
                </c:pt>
                <c:pt idx="4">
                  <c:v>8.2813872686395698</c:v>
                </c:pt>
              </c:numCache>
            </c:numRef>
          </c:val>
          <c:smooth val="0"/>
          <c:extLst>
            <c:ext xmlns:c16="http://schemas.microsoft.com/office/drawing/2014/chart" uri="{C3380CC4-5D6E-409C-BE32-E72D297353CC}">
              <c16:uniqueId val="{00000001-A164-4651-A179-BEAE45673072}"/>
            </c:ext>
          </c:extLst>
        </c:ser>
        <c:dLbls>
          <c:showLegendKey val="0"/>
          <c:showVal val="0"/>
          <c:showCatName val="0"/>
          <c:showSerName val="0"/>
          <c:showPercent val="0"/>
          <c:showBubbleSize val="0"/>
        </c:dLbls>
        <c:smooth val="0"/>
        <c:axId val="202537071"/>
        <c:axId val="1"/>
      </c:lineChart>
      <c:catAx>
        <c:axId val="20253707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3988458492401152"/>
              <c:y val="0.849829351535836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Times Interest Earned</a:t>
                </a:r>
              </a:p>
            </c:rich>
          </c:tx>
          <c:layout>
            <c:manualLayout>
              <c:xMode val="edge"/>
              <c:yMode val="edge"/>
              <c:x val="1.8497120267973417E-2"/>
              <c:y val="0.20136518771331058"/>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537071"/>
        <c:crosses val="autoZero"/>
        <c:crossBetween val="between"/>
      </c:valAx>
      <c:spPr>
        <a:solidFill>
          <a:srgbClr val="FFFFFF"/>
        </a:solidFill>
        <a:ln w="12700">
          <a:solidFill>
            <a:srgbClr val="FFFFFF"/>
          </a:solidFill>
          <a:prstDash val="solid"/>
        </a:ln>
      </c:spPr>
    </c:plotArea>
    <c:legend>
      <c:legendPos val="r"/>
      <c:layout>
        <c:manualLayout>
          <c:xMode val="edge"/>
          <c:yMode val="edge"/>
          <c:x val="0.67630095979777805"/>
          <c:y val="0.41296928327645049"/>
          <c:w val="0.31445104455554806"/>
          <c:h val="0.1672354948805460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Trading Ratio Comparison</a:t>
            </a:r>
          </a:p>
        </c:rich>
      </c:tx>
      <c:layout>
        <c:manualLayout>
          <c:xMode val="edge"/>
          <c:yMode val="edge"/>
          <c:x val="0.34522439585730724"/>
          <c:y val="3.5031847133757961E-2"/>
        </c:manualLayout>
      </c:layout>
      <c:overlay val="0"/>
      <c:spPr>
        <a:noFill/>
        <a:ln w="25400">
          <a:noFill/>
        </a:ln>
      </c:spPr>
    </c:title>
    <c:autoTitleDeleted val="0"/>
    <c:plotArea>
      <c:layout>
        <c:manualLayout>
          <c:layoutTarget val="inner"/>
          <c:xMode val="edge"/>
          <c:yMode val="edge"/>
          <c:x val="0.13118527042577677"/>
          <c:y val="0.26114649681528662"/>
          <c:w val="0.53164556962025311"/>
          <c:h val="0.43630573248407645"/>
        </c:manualLayout>
      </c:layout>
      <c:lineChart>
        <c:grouping val="stacked"/>
        <c:varyColors val="0"/>
        <c:ser>
          <c:idx val="0"/>
          <c:order val="0"/>
          <c:tx>
            <c:strRef>
              <c:f>'8 - Benchmark Analysis'!$C$56</c:f>
              <c:strCache>
                <c:ptCount val="1"/>
                <c:pt idx="0">
                  <c:v>Trading Ratio - Company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Analysis'!$E$56:$I$56</c:f>
              <c:numCache>
                <c:formatCode>0.00_);\(0.00\)</c:formatCode>
                <c:ptCount val="5"/>
                <c:pt idx="0">
                  <c:v>1.0119367699557904</c:v>
                </c:pt>
                <c:pt idx="1">
                  <c:v>1.6876780293085412</c:v>
                </c:pt>
                <c:pt idx="2">
                  <c:v>2.0680612902401125</c:v>
                </c:pt>
                <c:pt idx="3">
                  <c:v>1.6487512757750573</c:v>
                </c:pt>
                <c:pt idx="4">
                  <c:v>1.2698936798017766</c:v>
                </c:pt>
              </c:numCache>
            </c:numRef>
          </c:val>
          <c:smooth val="0"/>
          <c:extLst>
            <c:ext xmlns:c16="http://schemas.microsoft.com/office/drawing/2014/chart" uri="{C3380CC4-5D6E-409C-BE32-E72D297353CC}">
              <c16:uniqueId val="{00000000-837D-4AC0-AC39-C87051F7FFBE}"/>
            </c:ext>
          </c:extLst>
        </c:ser>
        <c:ser>
          <c:idx val="1"/>
          <c:order val="1"/>
          <c:tx>
            <c:strRef>
              <c:f>'8 - Benchmark Analysis'!$C$57</c:f>
              <c:strCache>
                <c:ptCount val="1"/>
                <c:pt idx="0">
                  <c:v>Trading Ratio - Industry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Analysis'!$E$57:$I$57</c:f>
              <c:numCache>
                <c:formatCode>0.00</c:formatCode>
                <c:ptCount val="5"/>
                <c:pt idx="0">
                  <c:v>1.26</c:v>
                </c:pt>
                <c:pt idx="1">
                  <c:v>1.28</c:v>
                </c:pt>
                <c:pt idx="2">
                  <c:v>1.31</c:v>
                </c:pt>
                <c:pt idx="3">
                  <c:v>1.3</c:v>
                </c:pt>
                <c:pt idx="4">
                  <c:v>1.27</c:v>
                </c:pt>
              </c:numCache>
            </c:numRef>
          </c:val>
          <c:smooth val="0"/>
          <c:extLst>
            <c:ext xmlns:c16="http://schemas.microsoft.com/office/drawing/2014/chart" uri="{C3380CC4-5D6E-409C-BE32-E72D297353CC}">
              <c16:uniqueId val="{00000001-837D-4AC0-AC39-C87051F7FFBE}"/>
            </c:ext>
          </c:extLst>
        </c:ser>
        <c:dLbls>
          <c:showLegendKey val="0"/>
          <c:showVal val="0"/>
          <c:showCatName val="0"/>
          <c:showSerName val="0"/>
          <c:showPercent val="0"/>
          <c:showBubbleSize val="0"/>
        </c:dLbls>
        <c:smooth val="0"/>
        <c:axId val="202528431"/>
        <c:axId val="1"/>
      </c:lineChart>
      <c:catAx>
        <c:axId val="20252843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36018411967779057"/>
              <c:y val="0.8598726114649681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75"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Ratio</a:t>
                </a:r>
              </a:p>
            </c:rich>
          </c:tx>
          <c:layout>
            <c:manualLayout>
              <c:xMode val="edge"/>
              <c:yMode val="edge"/>
              <c:x val="1.8411967779056387E-2"/>
              <c:y val="0.40445859872611467"/>
            </c:manualLayout>
          </c:layout>
          <c:overlay val="0"/>
          <c:spPr>
            <a:noFill/>
            <a:ln w="25400">
              <a:noFill/>
            </a:ln>
          </c:spPr>
        </c:title>
        <c:numFmt formatCode="0.00_);\(0.00\)" sourceLinked="1"/>
        <c:majorTickMark val="out"/>
        <c:minorTickMark val="none"/>
        <c:tickLblPos val="nextTo"/>
        <c:spPr>
          <a:ln w="3175">
            <a:solidFill>
              <a:srgbClr val="000000"/>
            </a:solidFill>
            <a:prstDash val="solid"/>
          </a:ln>
        </c:spPr>
        <c:txPr>
          <a:bodyPr rot="0" vert="horz"/>
          <a:lstStyle/>
          <a:p>
            <a:pPr>
              <a:defRPr sz="1575" b="0" i="0" u="none" strike="noStrike" baseline="0">
                <a:solidFill>
                  <a:srgbClr val="000000"/>
                </a:solidFill>
                <a:latin typeface="Arial"/>
                <a:ea typeface="Arial"/>
                <a:cs typeface="Arial"/>
              </a:defRPr>
            </a:pPr>
            <a:endParaRPr lang="ar-EG"/>
          </a:p>
        </c:txPr>
        <c:crossAx val="202528431"/>
        <c:crosses val="autoZero"/>
        <c:crossBetween val="between"/>
      </c:valAx>
      <c:spPr>
        <a:solidFill>
          <a:srgbClr val="FFFFFF"/>
        </a:solidFill>
        <a:ln w="12700">
          <a:solidFill>
            <a:srgbClr val="FFFFFF"/>
          </a:solidFill>
          <a:prstDash val="solid"/>
        </a:ln>
      </c:spPr>
    </c:plotArea>
    <c:legend>
      <c:legendPos val="r"/>
      <c:layout>
        <c:manualLayout>
          <c:xMode val="edge"/>
          <c:yMode val="edge"/>
          <c:x val="0.67548906789413121"/>
          <c:y val="0.38216560509554143"/>
          <c:w val="0.31530494821634064"/>
          <c:h val="0.19426751592356689"/>
        </c:manualLayout>
      </c:layout>
      <c:overlay val="0"/>
      <c:spPr>
        <a:solidFill>
          <a:srgbClr val="FFFFFF"/>
        </a:solidFill>
        <a:ln w="3175">
          <a:solidFill>
            <a:srgbClr val="000000"/>
          </a:solidFill>
          <a:prstDash val="solid"/>
        </a:ln>
      </c:spPr>
      <c:txPr>
        <a:bodyPr/>
        <a:lstStyle/>
        <a:p>
          <a:pPr>
            <a:defRPr sz="1445"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575"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75" b="1" i="0" u="none" strike="noStrike" baseline="0">
                <a:solidFill>
                  <a:srgbClr val="000000"/>
                </a:solidFill>
                <a:latin typeface="Arial"/>
                <a:ea typeface="Arial"/>
                <a:cs typeface="Arial"/>
              </a:defRPr>
            </a:pPr>
            <a:r>
              <a:rPr lang="en-US"/>
              <a:t>Sales to Worth Comparison</a:t>
            </a:r>
          </a:p>
        </c:rich>
      </c:tx>
      <c:layout>
        <c:manualLayout>
          <c:xMode val="edge"/>
          <c:yMode val="edge"/>
          <c:x val="0.29792147806004621"/>
          <c:y val="3.3333431976302015E-2"/>
        </c:manualLayout>
      </c:layout>
      <c:overlay val="0"/>
      <c:spPr>
        <a:noFill/>
        <a:ln w="25400">
          <a:noFill/>
        </a:ln>
      </c:spPr>
    </c:title>
    <c:autoTitleDeleted val="0"/>
    <c:plotArea>
      <c:layout>
        <c:manualLayout>
          <c:layoutTarget val="inner"/>
          <c:xMode val="edge"/>
          <c:yMode val="edge"/>
          <c:x val="0.13394919168591224"/>
          <c:y val="0.27878870380179865"/>
          <c:w val="0.52193995381062352"/>
          <c:h val="0.4030314957134698"/>
        </c:manualLayout>
      </c:layout>
      <c:lineChart>
        <c:grouping val="stacked"/>
        <c:varyColors val="0"/>
        <c:ser>
          <c:idx val="0"/>
          <c:order val="0"/>
          <c:tx>
            <c:strRef>
              <c:f>'8 - Benchmark Analysis'!$C$59</c:f>
              <c:strCache>
                <c:ptCount val="1"/>
                <c:pt idx="0">
                  <c:v>Net Sales to Net Worth - Company</c:v>
                </c:pt>
              </c:strCache>
            </c:strRef>
          </c:tx>
          <c:spPr>
            <a:ln w="12700">
              <a:solidFill>
                <a:srgbClr val="000080"/>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Analysis'!$E$59:$I$59</c:f>
              <c:numCache>
                <c:formatCode>0.00</c:formatCode>
                <c:ptCount val="5"/>
                <c:pt idx="0">
                  <c:v>5.1536104150019213</c:v>
                </c:pt>
                <c:pt idx="1">
                  <c:v>2.7328072305069484</c:v>
                </c:pt>
                <c:pt idx="2">
                  <c:v>3.1196312603656233</c:v>
                </c:pt>
                <c:pt idx="3">
                  <c:v>2.5215953103519908</c:v>
                </c:pt>
                <c:pt idx="4">
                  <c:v>2.4427632915803441</c:v>
                </c:pt>
              </c:numCache>
            </c:numRef>
          </c:val>
          <c:smooth val="0"/>
          <c:extLst>
            <c:ext xmlns:c16="http://schemas.microsoft.com/office/drawing/2014/chart" uri="{C3380CC4-5D6E-409C-BE32-E72D297353CC}">
              <c16:uniqueId val="{00000000-8AB9-4CBB-BFC5-7C9DCDBEC0FF}"/>
            </c:ext>
          </c:extLst>
        </c:ser>
        <c:ser>
          <c:idx val="1"/>
          <c:order val="1"/>
          <c:tx>
            <c:strRef>
              <c:f>'8 - Benchmark Analysis'!$C$60</c:f>
              <c:strCache>
                <c:ptCount val="1"/>
                <c:pt idx="0">
                  <c:v>Net Sales to Net Worth - Industry</c:v>
                </c:pt>
              </c:strCache>
            </c:strRef>
          </c:tx>
          <c:spPr>
            <a:ln w="12700">
              <a:solidFill>
                <a:srgbClr val="FF00FF"/>
              </a:solidFill>
              <a:prstDash val="solid"/>
            </a:ln>
          </c:spPr>
          <c:marker>
            <c:symbol val="none"/>
          </c:marker>
          <c:cat>
            <c:numRef>
              <c:f>'8 - Benchmark Analysis'!$E$13:$I$13</c:f>
              <c:numCache>
                <c:formatCode>General</c:formatCode>
                <c:ptCount val="5"/>
                <c:pt idx="0">
                  <c:v>2005</c:v>
                </c:pt>
                <c:pt idx="1">
                  <c:v>2006</c:v>
                </c:pt>
                <c:pt idx="2">
                  <c:v>2007</c:v>
                </c:pt>
                <c:pt idx="3">
                  <c:v>2008</c:v>
                </c:pt>
                <c:pt idx="4">
                  <c:v>2009</c:v>
                </c:pt>
              </c:numCache>
            </c:numRef>
          </c:cat>
          <c:val>
            <c:numRef>
              <c:f>'8 - Benchmark Analysis'!$E$60:$I$60</c:f>
              <c:numCache>
                <c:formatCode>0.00</c:formatCode>
                <c:ptCount val="5"/>
                <c:pt idx="0">
                  <c:v>1.22</c:v>
                </c:pt>
                <c:pt idx="1">
                  <c:v>1.2</c:v>
                </c:pt>
                <c:pt idx="2">
                  <c:v>1.19</c:v>
                </c:pt>
                <c:pt idx="3">
                  <c:v>1.22</c:v>
                </c:pt>
                <c:pt idx="4">
                  <c:v>1.2</c:v>
                </c:pt>
              </c:numCache>
            </c:numRef>
          </c:val>
          <c:smooth val="0"/>
          <c:extLst>
            <c:ext xmlns:c16="http://schemas.microsoft.com/office/drawing/2014/chart" uri="{C3380CC4-5D6E-409C-BE32-E72D297353CC}">
              <c16:uniqueId val="{00000001-8AB9-4CBB-BFC5-7C9DCDBEC0FF}"/>
            </c:ext>
          </c:extLst>
        </c:ser>
        <c:dLbls>
          <c:showLegendKey val="0"/>
          <c:showVal val="0"/>
          <c:showCatName val="0"/>
          <c:showSerName val="0"/>
          <c:showPercent val="0"/>
          <c:showBubbleSize val="0"/>
        </c:dLbls>
        <c:smooth val="0"/>
        <c:axId val="202530831"/>
        <c:axId val="1"/>
      </c:lineChart>
      <c:catAx>
        <c:axId val="202530831"/>
        <c:scaling>
          <c:orientation val="minMax"/>
        </c:scaling>
        <c:delete val="0"/>
        <c:axPos val="b"/>
        <c:title>
          <c:tx>
            <c:rich>
              <a:bodyPr/>
              <a:lstStyle/>
              <a:p>
                <a:pPr>
                  <a:defRPr sz="1650" b="1" i="0" u="none" strike="noStrike" baseline="0">
                    <a:solidFill>
                      <a:srgbClr val="000000"/>
                    </a:solidFill>
                    <a:latin typeface="Arial"/>
                    <a:ea typeface="Arial"/>
                    <a:cs typeface="Arial"/>
                  </a:defRPr>
                </a:pPr>
                <a:r>
                  <a:rPr lang="en-US"/>
                  <a:t>Periods</a:t>
                </a:r>
              </a:p>
            </c:rich>
          </c:tx>
          <c:layout>
            <c:manualLayout>
              <c:xMode val="edge"/>
              <c:yMode val="edge"/>
              <c:x val="0.3464203233256351"/>
              <c:y val="0.839396423403241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65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650" b="1" i="0" u="none" strike="noStrike" baseline="0">
                    <a:solidFill>
                      <a:srgbClr val="000000"/>
                    </a:solidFill>
                    <a:latin typeface="Arial"/>
                    <a:ea typeface="Arial"/>
                    <a:cs typeface="Arial"/>
                  </a:defRPr>
                </a:pPr>
                <a:r>
                  <a:rPr lang="en-US"/>
                  <a:t>Ratio</a:t>
                </a:r>
              </a:p>
            </c:rich>
          </c:tx>
          <c:layout>
            <c:manualLayout>
              <c:xMode val="edge"/>
              <c:yMode val="edge"/>
              <c:x val="1.8475750577367205E-2"/>
              <c:y val="0.39091024772208727"/>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50" b="0" i="0" u="none" strike="noStrike" baseline="0">
                <a:solidFill>
                  <a:srgbClr val="000000"/>
                </a:solidFill>
                <a:latin typeface="Arial"/>
                <a:ea typeface="Arial"/>
                <a:cs typeface="Arial"/>
              </a:defRPr>
            </a:pPr>
            <a:endParaRPr lang="ar-EG"/>
          </a:p>
        </c:txPr>
        <c:crossAx val="202530831"/>
        <c:crosses val="autoZero"/>
        <c:crossBetween val="between"/>
      </c:valAx>
      <c:spPr>
        <a:solidFill>
          <a:srgbClr val="FFFFFF"/>
        </a:solidFill>
        <a:ln w="12700">
          <a:solidFill>
            <a:srgbClr val="FFFFFF"/>
          </a:solidFill>
          <a:prstDash val="solid"/>
        </a:ln>
      </c:spPr>
    </c:plotArea>
    <c:legend>
      <c:legendPos val="r"/>
      <c:layout>
        <c:manualLayout>
          <c:xMode val="edge"/>
          <c:yMode val="edge"/>
          <c:x val="0.6685912240184757"/>
          <c:y val="0.30606151178240937"/>
          <c:w val="0.32217090069284066"/>
          <c:h val="0.34848587975224832"/>
        </c:manualLayout>
      </c:layout>
      <c:overlay val="0"/>
      <c:spPr>
        <a:solidFill>
          <a:srgbClr val="FFFFFF"/>
        </a:solidFill>
        <a:ln w="3175">
          <a:solidFill>
            <a:srgbClr val="000000"/>
          </a:solidFill>
          <a:prstDash val="solid"/>
        </a:ln>
      </c:spPr>
      <c:txPr>
        <a:bodyPr/>
        <a:lstStyle/>
        <a:p>
          <a:pPr>
            <a:defRPr sz="1515"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65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590286425902862"/>
          <c:y val="4.1666855047630243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ar-EG"/>
        </a:p>
      </c:txPr>
    </c:title>
    <c:autoTitleDeleted val="0"/>
    <c:plotArea>
      <c:layout>
        <c:manualLayout>
          <c:layoutTarget val="inner"/>
          <c:xMode val="edge"/>
          <c:yMode val="edge"/>
          <c:x val="0.12328767123287671"/>
          <c:y val="0.26389008196832486"/>
          <c:w val="0.66002490660024904"/>
          <c:h val="0.50926156169325854"/>
        </c:manualLayout>
      </c:layout>
      <c:lineChart>
        <c:grouping val="stacked"/>
        <c:varyColors val="0"/>
        <c:ser>
          <c:idx val="0"/>
          <c:order val="0"/>
          <c:tx>
            <c:strRef>
              <c:f>'9 - Horizontal Analysis'!$C$12</c:f>
              <c:strCache>
                <c:ptCount val="1"/>
                <c:pt idx="0">
                  <c:v>Growth in Net Sales</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'9 - Horizontal Analysis'!$E$10:$I$10</c:f>
              <c:numCache>
                <c:formatCode>General</c:formatCode>
                <c:ptCount val="5"/>
                <c:pt idx="0">
                  <c:v>2005</c:v>
                </c:pt>
                <c:pt idx="1">
                  <c:v>2006</c:v>
                </c:pt>
                <c:pt idx="2">
                  <c:v>2007</c:v>
                </c:pt>
                <c:pt idx="3">
                  <c:v>2008</c:v>
                </c:pt>
                <c:pt idx="4">
                  <c:v>2009</c:v>
                </c:pt>
              </c:numCache>
            </c:numRef>
          </c:cat>
          <c:val>
            <c:numRef>
              <c:f>'9 - Horizontal Analysis'!$E$12:$I$12</c:f>
              <c:numCache>
                <c:formatCode>0.00%</c:formatCode>
                <c:ptCount val="5"/>
                <c:pt idx="1">
                  <c:v>-0.220082181967134</c:v>
                </c:pt>
                <c:pt idx="2">
                  <c:v>0.11637590646890231</c:v>
                </c:pt>
                <c:pt idx="3">
                  <c:v>0.54894057200922486</c:v>
                </c:pt>
                <c:pt idx="4">
                  <c:v>0.41755581923447438</c:v>
                </c:pt>
              </c:numCache>
            </c:numRef>
          </c:val>
          <c:smooth val="0"/>
          <c:extLst>
            <c:ext xmlns:c16="http://schemas.microsoft.com/office/drawing/2014/chart" uri="{C3380CC4-5D6E-409C-BE32-E72D297353CC}">
              <c16:uniqueId val="{00000000-4F43-4F9A-94D9-5B6C6DF77FFE}"/>
            </c:ext>
          </c:extLst>
        </c:ser>
        <c:dLbls>
          <c:showLegendKey val="0"/>
          <c:showVal val="1"/>
          <c:showCatName val="0"/>
          <c:showSerName val="0"/>
          <c:showPercent val="0"/>
          <c:showBubbleSize val="0"/>
        </c:dLbls>
        <c:marker val="1"/>
        <c:smooth val="0"/>
        <c:axId val="202552431"/>
        <c:axId val="1"/>
      </c:lineChart>
      <c:catAx>
        <c:axId val="202552431"/>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Periods</a:t>
                </a:r>
              </a:p>
            </c:rich>
          </c:tx>
          <c:layout>
            <c:manualLayout>
              <c:xMode val="edge"/>
              <c:yMode val="edge"/>
              <c:x val="0.42092154420921546"/>
              <c:y val="0.8240777998309092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en-US"/>
                  <a:t>% Change</a:t>
                </a:r>
              </a:p>
            </c:rich>
          </c:tx>
          <c:layout>
            <c:manualLayout>
              <c:xMode val="edge"/>
              <c:yMode val="edge"/>
              <c:x val="1.9925280199252802E-2"/>
              <c:y val="0.3657423943069765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202552431"/>
        <c:crosses val="autoZero"/>
        <c:crossBetween val="between"/>
      </c:valAx>
      <c:spPr>
        <a:solidFill>
          <a:srgbClr val="FFFFFF"/>
        </a:solidFill>
        <a:ln w="12700">
          <a:solidFill>
            <a:srgbClr val="FFFFFF"/>
          </a:solidFill>
          <a:prstDash val="solid"/>
        </a:ln>
      </c:spPr>
    </c:plotArea>
    <c:legend>
      <c:legendPos val="r"/>
      <c:layout>
        <c:manualLayout>
          <c:xMode val="edge"/>
          <c:yMode val="edge"/>
          <c:x val="0.79701120797011205"/>
          <c:y val="0.4675947066456283"/>
          <c:w val="0.19302615193026151"/>
          <c:h val="0.10185231233865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839352428393523"/>
          <c:y val="4.1666855047630243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ar-EG"/>
        </a:p>
      </c:txPr>
    </c:title>
    <c:autoTitleDeleted val="0"/>
    <c:plotArea>
      <c:layout>
        <c:manualLayout>
          <c:layoutTarget val="inner"/>
          <c:xMode val="edge"/>
          <c:yMode val="edge"/>
          <c:x val="0.12328767123287671"/>
          <c:y val="0.26389008196832486"/>
          <c:w val="0.66376089663760895"/>
          <c:h val="0.50926156169325854"/>
        </c:manualLayout>
      </c:layout>
      <c:lineChart>
        <c:grouping val="stacked"/>
        <c:varyColors val="0"/>
        <c:ser>
          <c:idx val="0"/>
          <c:order val="0"/>
          <c:tx>
            <c:strRef>
              <c:f>'9 - Horizontal Analysis'!$C$14</c:f>
              <c:strCache>
                <c:ptCount val="1"/>
                <c:pt idx="0">
                  <c:v>Cost of Goods Sold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'9 - Horizontal Analysis'!$E$10:$I$10</c:f>
              <c:numCache>
                <c:formatCode>General</c:formatCode>
                <c:ptCount val="5"/>
                <c:pt idx="0">
                  <c:v>2005</c:v>
                </c:pt>
                <c:pt idx="1">
                  <c:v>2006</c:v>
                </c:pt>
                <c:pt idx="2">
                  <c:v>2007</c:v>
                </c:pt>
                <c:pt idx="3">
                  <c:v>2008</c:v>
                </c:pt>
                <c:pt idx="4">
                  <c:v>2009</c:v>
                </c:pt>
              </c:numCache>
            </c:numRef>
          </c:cat>
          <c:val>
            <c:numRef>
              <c:f>'9 - Horizontal Analysis'!$E$14:$I$14</c:f>
              <c:numCache>
                <c:formatCode>0.00%</c:formatCode>
                <c:ptCount val="5"/>
                <c:pt idx="1">
                  <c:v>-0.33651524783883491</c:v>
                </c:pt>
                <c:pt idx="2">
                  <c:v>9.8771551369433302E-2</c:v>
                </c:pt>
                <c:pt idx="3">
                  <c:v>0.57043716607698769</c:v>
                </c:pt>
                <c:pt idx="4">
                  <c:v>0.35854276446760747</c:v>
                </c:pt>
              </c:numCache>
            </c:numRef>
          </c:val>
          <c:smooth val="0"/>
          <c:extLst>
            <c:ext xmlns:c16="http://schemas.microsoft.com/office/drawing/2014/chart" uri="{C3380CC4-5D6E-409C-BE32-E72D297353CC}">
              <c16:uniqueId val="{00000000-1A31-4555-AA4F-BF6D9D8F01ED}"/>
            </c:ext>
          </c:extLst>
        </c:ser>
        <c:dLbls>
          <c:showLegendKey val="0"/>
          <c:showVal val="1"/>
          <c:showCatName val="0"/>
          <c:showSerName val="0"/>
          <c:showPercent val="0"/>
          <c:showBubbleSize val="0"/>
        </c:dLbls>
        <c:marker val="1"/>
        <c:smooth val="0"/>
        <c:axId val="202553391"/>
        <c:axId val="1"/>
      </c:lineChart>
      <c:catAx>
        <c:axId val="202553391"/>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Periods</a:t>
                </a:r>
              </a:p>
            </c:rich>
          </c:tx>
          <c:layout>
            <c:manualLayout>
              <c:xMode val="edge"/>
              <c:yMode val="edge"/>
              <c:x val="0.42216687422166876"/>
              <c:y val="0.8240777998309092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en-US"/>
                  <a:t>% Change</a:t>
                </a:r>
              </a:p>
            </c:rich>
          </c:tx>
          <c:layout>
            <c:manualLayout>
              <c:xMode val="edge"/>
              <c:yMode val="edge"/>
              <c:x val="1.9925280199252802E-2"/>
              <c:y val="0.3657423943069765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202553391"/>
        <c:crosses val="autoZero"/>
        <c:crossBetween val="between"/>
      </c:valAx>
      <c:spPr>
        <a:solidFill>
          <a:srgbClr val="FFFFFF"/>
        </a:solidFill>
        <a:ln w="12700">
          <a:solidFill>
            <a:srgbClr val="FFFFFF"/>
          </a:solidFill>
          <a:prstDash val="solid"/>
        </a:ln>
      </c:spPr>
    </c:plotArea>
    <c:legend>
      <c:legendPos val="r"/>
      <c:layout>
        <c:manualLayout>
          <c:xMode val="edge"/>
          <c:yMode val="edge"/>
          <c:x val="0.80074719800747196"/>
          <c:y val="0.4675947066456283"/>
          <c:w val="0.18929016189290163"/>
          <c:h val="0.10185231233865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1396533931610141"/>
          <c:y val="4.1666855047630243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ar-EG"/>
        </a:p>
      </c:txPr>
    </c:title>
    <c:autoTitleDeleted val="0"/>
    <c:plotArea>
      <c:layout>
        <c:manualLayout>
          <c:layoutTarget val="inner"/>
          <c:xMode val="edge"/>
          <c:yMode val="edge"/>
          <c:x val="0.12718212232000706"/>
          <c:y val="0.26389008196832486"/>
          <c:w val="0.63216996094356448"/>
          <c:h val="0.41666855047630241"/>
        </c:manualLayout>
      </c:layout>
      <c:lineChart>
        <c:grouping val="stacked"/>
        <c:varyColors val="0"/>
        <c:ser>
          <c:idx val="0"/>
          <c:order val="0"/>
          <c:tx>
            <c:strRef>
              <c:f>'9 - Horizontal Analysis'!$C$16</c:f>
              <c:strCache>
                <c:ptCount val="1"/>
                <c:pt idx="0">
                  <c:v>Growth in Gross Profits</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'9 - Horizontal Analysis'!$E$10:$I$10</c:f>
              <c:numCache>
                <c:formatCode>General</c:formatCode>
                <c:ptCount val="5"/>
                <c:pt idx="0">
                  <c:v>2005</c:v>
                </c:pt>
                <c:pt idx="1">
                  <c:v>2006</c:v>
                </c:pt>
                <c:pt idx="2">
                  <c:v>2007</c:v>
                </c:pt>
                <c:pt idx="3">
                  <c:v>2008</c:v>
                </c:pt>
                <c:pt idx="4">
                  <c:v>2009</c:v>
                </c:pt>
              </c:numCache>
            </c:numRef>
          </c:cat>
          <c:val>
            <c:numRef>
              <c:f>'9 - Horizontal Analysis'!$E$16:$I$16</c:f>
              <c:numCache>
                <c:formatCode>0.00%</c:formatCode>
                <c:ptCount val="5"/>
                <c:pt idx="1">
                  <c:v>0</c:v>
                </c:pt>
                <c:pt idx="2">
                  <c:v>0</c:v>
                </c:pt>
                <c:pt idx="3">
                  <c:v>0</c:v>
                </c:pt>
                <c:pt idx="4">
                  <c:v>0</c:v>
                </c:pt>
              </c:numCache>
            </c:numRef>
          </c:val>
          <c:smooth val="0"/>
          <c:extLst>
            <c:ext xmlns:c16="http://schemas.microsoft.com/office/drawing/2014/chart" uri="{C3380CC4-5D6E-409C-BE32-E72D297353CC}">
              <c16:uniqueId val="{00000000-3C34-4C42-9B07-F43B2C253175}"/>
            </c:ext>
          </c:extLst>
        </c:ser>
        <c:dLbls>
          <c:showLegendKey val="0"/>
          <c:showVal val="1"/>
          <c:showCatName val="0"/>
          <c:showSerName val="0"/>
          <c:showPercent val="0"/>
          <c:showBubbleSize val="0"/>
        </c:dLbls>
        <c:marker val="1"/>
        <c:smooth val="0"/>
        <c:axId val="821412239"/>
        <c:axId val="1"/>
      </c:lineChart>
      <c:catAx>
        <c:axId val="821412239"/>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Periods</a:t>
                </a:r>
              </a:p>
            </c:rich>
          </c:tx>
          <c:layout>
            <c:manualLayout>
              <c:xMode val="edge"/>
              <c:yMode val="edge"/>
              <c:x val="0.41022468865963063"/>
              <c:y val="0.8240777998309092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en-US"/>
                  <a:t>% Change</a:t>
                </a:r>
              </a:p>
            </c:rich>
          </c:tx>
          <c:layout>
            <c:manualLayout>
              <c:xMode val="edge"/>
              <c:yMode val="edge"/>
              <c:x val="1.9950136834510912E-2"/>
              <c:y val="0.3194458886984985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821412239"/>
        <c:crosses val="autoZero"/>
        <c:crossBetween val="between"/>
      </c:valAx>
      <c:spPr>
        <a:solidFill>
          <a:srgbClr val="FFFFFF"/>
        </a:solidFill>
        <a:ln w="12700">
          <a:solidFill>
            <a:srgbClr val="FFFFFF"/>
          </a:solidFill>
          <a:prstDash val="solid"/>
        </a:ln>
      </c:spPr>
    </c:plotArea>
    <c:legend>
      <c:legendPos val="r"/>
      <c:layout>
        <c:manualLayout>
          <c:xMode val="edge"/>
          <c:yMode val="edge"/>
          <c:x val="0.77306780233729788"/>
          <c:y val="0.42129820103715021"/>
          <c:w val="0.21695773807530616"/>
          <c:h val="0.10185231233865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
          <c:y val="4.1666855047630243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ar-EG"/>
        </a:p>
      </c:txPr>
    </c:title>
    <c:autoTitleDeleted val="0"/>
    <c:plotArea>
      <c:layout>
        <c:manualLayout>
          <c:layoutTarget val="inner"/>
          <c:xMode val="edge"/>
          <c:yMode val="edge"/>
          <c:x val="0.1275"/>
          <c:y val="0.26389008196832486"/>
          <c:w val="0.64375000000000004"/>
          <c:h val="0.50926156169325854"/>
        </c:manualLayout>
      </c:layout>
      <c:lineChart>
        <c:grouping val="stacked"/>
        <c:varyColors val="0"/>
        <c:ser>
          <c:idx val="0"/>
          <c:order val="0"/>
          <c:tx>
            <c:strRef>
              <c:f>'9 - Horizontal Analysis'!$C$25</c:f>
              <c:strCache>
                <c:ptCount val="1"/>
                <c:pt idx="0">
                  <c:v>Growth in Net Income</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'9 - Horizontal Analysis'!$E$10:$I$10</c:f>
              <c:numCache>
                <c:formatCode>General</c:formatCode>
                <c:ptCount val="5"/>
                <c:pt idx="0">
                  <c:v>2005</c:v>
                </c:pt>
                <c:pt idx="1">
                  <c:v>2006</c:v>
                </c:pt>
                <c:pt idx="2">
                  <c:v>2007</c:v>
                </c:pt>
                <c:pt idx="3">
                  <c:v>2008</c:v>
                </c:pt>
                <c:pt idx="4">
                  <c:v>2009</c:v>
                </c:pt>
              </c:numCache>
            </c:numRef>
          </c:cat>
          <c:val>
            <c:numRef>
              <c:f>'9 - Horizontal Analysis'!$E$25:$I$25</c:f>
              <c:numCache>
                <c:formatCode>0.00%</c:formatCode>
                <c:ptCount val="5"/>
                <c:pt idx="1">
                  <c:v>1.0107426446571166</c:v>
                </c:pt>
                <c:pt idx="2">
                  <c:v>-4.1614291387374387E-2</c:v>
                </c:pt>
                <c:pt idx="3">
                  <c:v>0.63864454924700287</c:v>
                </c:pt>
                <c:pt idx="4">
                  <c:v>0.73696571944731748</c:v>
                </c:pt>
              </c:numCache>
            </c:numRef>
          </c:val>
          <c:smooth val="0"/>
          <c:extLst>
            <c:ext xmlns:c16="http://schemas.microsoft.com/office/drawing/2014/chart" uri="{C3380CC4-5D6E-409C-BE32-E72D297353CC}">
              <c16:uniqueId val="{00000000-32BB-4FB7-95D4-0D8754207008}"/>
            </c:ext>
          </c:extLst>
        </c:ser>
        <c:dLbls>
          <c:showLegendKey val="0"/>
          <c:showVal val="1"/>
          <c:showCatName val="0"/>
          <c:showSerName val="0"/>
          <c:showPercent val="0"/>
          <c:showBubbleSize val="0"/>
        </c:dLbls>
        <c:marker val="1"/>
        <c:smooth val="0"/>
        <c:axId val="821427119"/>
        <c:axId val="1"/>
      </c:lineChart>
      <c:catAx>
        <c:axId val="821427119"/>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Periods</a:t>
                </a:r>
              </a:p>
            </c:rich>
          </c:tx>
          <c:layout>
            <c:manualLayout>
              <c:xMode val="edge"/>
              <c:yMode val="edge"/>
              <c:x val="0.41625000000000001"/>
              <c:y val="0.8240777998309092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en-US"/>
                  <a:t>% Change</a:t>
                </a:r>
              </a:p>
            </c:rich>
          </c:tx>
          <c:layout>
            <c:manualLayout>
              <c:xMode val="edge"/>
              <c:yMode val="edge"/>
              <c:x val="0.02"/>
              <c:y val="0.3657423943069765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821427119"/>
        <c:crosses val="autoZero"/>
        <c:crossBetween val="between"/>
      </c:valAx>
      <c:spPr>
        <a:solidFill>
          <a:srgbClr val="FFFFFF"/>
        </a:solidFill>
        <a:ln w="12700">
          <a:solidFill>
            <a:srgbClr val="FFFFFF"/>
          </a:solidFill>
          <a:prstDash val="solid"/>
        </a:ln>
      </c:spPr>
    </c:plotArea>
    <c:legend>
      <c:legendPos val="r"/>
      <c:layout>
        <c:manualLayout>
          <c:xMode val="edge"/>
          <c:yMode val="edge"/>
          <c:x val="0.78500000000000003"/>
          <c:y val="0.4675947066456283"/>
          <c:w val="0.20499999999999999"/>
          <c:h val="0.10185231233865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9"/>
          <c:y val="4.1666855047630243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ar-EG"/>
        </a:p>
      </c:txPr>
    </c:title>
    <c:autoTitleDeleted val="0"/>
    <c:plotArea>
      <c:layout>
        <c:manualLayout>
          <c:layoutTarget val="inner"/>
          <c:xMode val="edge"/>
          <c:yMode val="edge"/>
          <c:x val="0.1275"/>
          <c:y val="0.26389008196832486"/>
          <c:w val="0.58499999999999996"/>
          <c:h val="0.50926156169325854"/>
        </c:manualLayout>
      </c:layout>
      <c:lineChart>
        <c:grouping val="stacked"/>
        <c:varyColors val="0"/>
        <c:ser>
          <c:idx val="0"/>
          <c:order val="0"/>
          <c:tx>
            <c:strRef>
              <c:f>'9 - Horizontal Analysis'!$C$27</c:f>
              <c:strCache>
                <c:ptCount val="1"/>
                <c:pt idx="0">
                  <c:v>Growth in Earnings Per Share</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'9 - Horizontal Analysis'!$E$10:$I$10</c:f>
              <c:numCache>
                <c:formatCode>General</c:formatCode>
                <c:ptCount val="5"/>
                <c:pt idx="0">
                  <c:v>2005</c:v>
                </c:pt>
                <c:pt idx="1">
                  <c:v>2006</c:v>
                </c:pt>
                <c:pt idx="2">
                  <c:v>2007</c:v>
                </c:pt>
                <c:pt idx="3">
                  <c:v>2008</c:v>
                </c:pt>
                <c:pt idx="4">
                  <c:v>2009</c:v>
                </c:pt>
              </c:numCache>
            </c:numRef>
          </c:cat>
          <c:val>
            <c:numRef>
              <c:f>'9 - Horizontal Analysis'!$E$27:$I$27</c:f>
              <c:numCache>
                <c:formatCode>0.00%</c:formatCode>
                <c:ptCount val="5"/>
                <c:pt idx="1">
                  <c:v>0</c:v>
                </c:pt>
                <c:pt idx="2">
                  <c:v>0</c:v>
                </c:pt>
                <c:pt idx="3">
                  <c:v>0</c:v>
                </c:pt>
                <c:pt idx="4">
                  <c:v>0</c:v>
                </c:pt>
              </c:numCache>
            </c:numRef>
          </c:val>
          <c:smooth val="0"/>
          <c:extLst>
            <c:ext xmlns:c16="http://schemas.microsoft.com/office/drawing/2014/chart" uri="{C3380CC4-5D6E-409C-BE32-E72D297353CC}">
              <c16:uniqueId val="{00000000-FE27-47E4-90DE-64716167F657}"/>
            </c:ext>
          </c:extLst>
        </c:ser>
        <c:dLbls>
          <c:showLegendKey val="0"/>
          <c:showVal val="1"/>
          <c:showCatName val="0"/>
          <c:showSerName val="0"/>
          <c:showPercent val="0"/>
          <c:showBubbleSize val="0"/>
        </c:dLbls>
        <c:marker val="1"/>
        <c:smooth val="0"/>
        <c:axId val="821429519"/>
        <c:axId val="1"/>
      </c:lineChart>
      <c:catAx>
        <c:axId val="821429519"/>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Periods</a:t>
                </a:r>
              </a:p>
            </c:rich>
          </c:tx>
          <c:layout>
            <c:manualLayout>
              <c:xMode val="edge"/>
              <c:yMode val="edge"/>
              <c:x val="0.38750000000000001"/>
              <c:y val="0.8240777998309092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en-US"/>
                  <a:t>% Change</a:t>
                </a:r>
              </a:p>
            </c:rich>
          </c:tx>
          <c:layout>
            <c:manualLayout>
              <c:xMode val="edge"/>
              <c:yMode val="edge"/>
              <c:x val="0.02"/>
              <c:y val="0.3657423943069765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821429519"/>
        <c:crosses val="autoZero"/>
        <c:crossBetween val="between"/>
      </c:valAx>
      <c:spPr>
        <a:solidFill>
          <a:srgbClr val="FFFFFF"/>
        </a:solidFill>
        <a:ln w="12700">
          <a:solidFill>
            <a:srgbClr val="FFFFFF"/>
          </a:solidFill>
          <a:prstDash val="solid"/>
        </a:ln>
      </c:spPr>
    </c:plotArea>
    <c:legend>
      <c:legendPos val="r"/>
      <c:layout>
        <c:manualLayout>
          <c:xMode val="edge"/>
          <c:yMode val="edge"/>
          <c:x val="0.72624999999999995"/>
          <c:y val="0.4675947066456283"/>
          <c:w val="0.26374999999999998"/>
          <c:h val="0.10185231233865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1573084392902904"/>
          <c:y val="4.1666855047630243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ar-EG"/>
        </a:p>
      </c:txPr>
    </c:title>
    <c:autoTitleDeleted val="0"/>
    <c:plotArea>
      <c:layout>
        <c:manualLayout>
          <c:layoutTarget val="inner"/>
          <c:xMode val="edge"/>
          <c:yMode val="edge"/>
          <c:x val="0.11860189241218547"/>
          <c:y val="0.26389008196832486"/>
          <c:w val="0.64419554194408102"/>
          <c:h val="0.41666855047630241"/>
        </c:manualLayout>
      </c:layout>
      <c:lineChart>
        <c:grouping val="stacked"/>
        <c:varyColors val="0"/>
        <c:ser>
          <c:idx val="0"/>
          <c:order val="0"/>
          <c:tx>
            <c:strRef>
              <c:f>'9 - Horizontal Analysis'!$C$43</c:f>
              <c:strCache>
                <c:ptCount val="1"/>
                <c:pt idx="0">
                  <c:v>Growth in Total Assets</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'9 - Horizontal Analysis'!$E$10:$I$10</c:f>
              <c:numCache>
                <c:formatCode>General</c:formatCode>
                <c:ptCount val="5"/>
                <c:pt idx="0">
                  <c:v>2005</c:v>
                </c:pt>
                <c:pt idx="1">
                  <c:v>2006</c:v>
                </c:pt>
                <c:pt idx="2">
                  <c:v>2007</c:v>
                </c:pt>
                <c:pt idx="3">
                  <c:v>2008</c:v>
                </c:pt>
                <c:pt idx="4">
                  <c:v>2009</c:v>
                </c:pt>
              </c:numCache>
            </c:numRef>
          </c:cat>
          <c:val>
            <c:numRef>
              <c:f>'9 - Horizontal Analysis'!$E$43:$I$43</c:f>
              <c:numCache>
                <c:formatCode>0.00%</c:formatCode>
                <c:ptCount val="5"/>
                <c:pt idx="1">
                  <c:v>0.73800141402700015</c:v>
                </c:pt>
                <c:pt idx="2">
                  <c:v>0.29524847153390477</c:v>
                </c:pt>
                <c:pt idx="3">
                  <c:v>0.67817540674184107</c:v>
                </c:pt>
                <c:pt idx="4">
                  <c:v>0.25235193258481103</c:v>
                </c:pt>
              </c:numCache>
            </c:numRef>
          </c:val>
          <c:smooth val="0"/>
          <c:extLst>
            <c:ext xmlns:c16="http://schemas.microsoft.com/office/drawing/2014/chart" uri="{C3380CC4-5D6E-409C-BE32-E72D297353CC}">
              <c16:uniqueId val="{00000000-F3D7-4780-A585-7D414535179B}"/>
            </c:ext>
          </c:extLst>
        </c:ser>
        <c:dLbls>
          <c:showLegendKey val="0"/>
          <c:showVal val="1"/>
          <c:showCatName val="0"/>
          <c:showSerName val="0"/>
          <c:showPercent val="0"/>
          <c:showBubbleSize val="0"/>
        </c:dLbls>
        <c:marker val="1"/>
        <c:smooth val="0"/>
        <c:axId val="821433359"/>
        <c:axId val="1"/>
      </c:lineChart>
      <c:catAx>
        <c:axId val="821433359"/>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Periods</a:t>
                </a:r>
              </a:p>
            </c:rich>
          </c:tx>
          <c:layout>
            <c:manualLayout>
              <c:xMode val="edge"/>
              <c:yMode val="edge"/>
              <c:x val="0.40824019809246997"/>
              <c:y val="0.8240777998309092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en-US"/>
                  <a:t>% Change</a:t>
                </a:r>
              </a:p>
            </c:rich>
          </c:tx>
          <c:layout>
            <c:manualLayout>
              <c:xMode val="edge"/>
              <c:yMode val="edge"/>
              <c:x val="1.9975055564157553E-2"/>
              <c:y val="0.3194458886984985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821433359"/>
        <c:crosses val="autoZero"/>
        <c:crossBetween val="between"/>
      </c:valAx>
      <c:spPr>
        <a:solidFill>
          <a:srgbClr val="FFFFFF"/>
        </a:solidFill>
        <a:ln w="12700">
          <a:solidFill>
            <a:srgbClr val="FFFFFF"/>
          </a:solidFill>
          <a:prstDash val="solid"/>
        </a:ln>
      </c:spPr>
    </c:plotArea>
    <c:legend>
      <c:legendPos val="r"/>
      <c:layout>
        <c:manualLayout>
          <c:xMode val="edge"/>
          <c:yMode val="edge"/>
          <c:x val="0.7765302850566248"/>
          <c:y val="0.42129820103715021"/>
          <c:w val="0.21348340634193383"/>
          <c:h val="0.10185231233865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7437856418416243"/>
          <c:y val="4.1666855047630243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ar-EG"/>
        </a:p>
      </c:txPr>
    </c:title>
    <c:autoTitleDeleted val="0"/>
    <c:plotArea>
      <c:layout>
        <c:manualLayout>
          <c:layoutTarget val="inner"/>
          <c:xMode val="edge"/>
          <c:yMode val="edge"/>
          <c:x val="0.12686582573682581"/>
          <c:y val="0.26389008196832486"/>
          <c:w val="0.55348325934203413"/>
          <c:h val="0.50926156169325854"/>
        </c:manualLayout>
      </c:layout>
      <c:lineChart>
        <c:grouping val="stacked"/>
        <c:varyColors val="0"/>
        <c:ser>
          <c:idx val="0"/>
          <c:order val="0"/>
          <c:tx>
            <c:strRef>
              <c:f>'9 - Horizontal Analysis'!$C$64</c:f>
              <c:strCache>
                <c:ptCount val="1"/>
                <c:pt idx="0">
                  <c:v>Growth in Total Equity (Net Worth)</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'9 - Horizontal Analysis'!$E$10:$I$10</c:f>
              <c:numCache>
                <c:formatCode>General</c:formatCode>
                <c:ptCount val="5"/>
                <c:pt idx="0">
                  <c:v>2005</c:v>
                </c:pt>
                <c:pt idx="1">
                  <c:v>2006</c:v>
                </c:pt>
                <c:pt idx="2">
                  <c:v>2007</c:v>
                </c:pt>
                <c:pt idx="3">
                  <c:v>2008</c:v>
                </c:pt>
                <c:pt idx="4">
                  <c:v>2009</c:v>
                </c:pt>
              </c:numCache>
            </c:numRef>
          </c:cat>
          <c:val>
            <c:numRef>
              <c:f>'9 - Horizontal Analysis'!$E$64:$I$64</c:f>
              <c:numCache>
                <c:formatCode>0.00%</c:formatCode>
                <c:ptCount val="5"/>
                <c:pt idx="1">
                  <c:v>0.48318185566440691</c:v>
                </c:pt>
                <c:pt idx="2">
                  <c:v>-2.8926326297405977E-2</c:v>
                </c:pt>
                <c:pt idx="3">
                  <c:v>0.92207103740679364</c:v>
                </c:pt>
                <c:pt idx="4">
                  <c:v>0.4667386322395824</c:v>
                </c:pt>
              </c:numCache>
            </c:numRef>
          </c:val>
          <c:smooth val="0"/>
          <c:extLst>
            <c:ext xmlns:c16="http://schemas.microsoft.com/office/drawing/2014/chart" uri="{C3380CC4-5D6E-409C-BE32-E72D297353CC}">
              <c16:uniqueId val="{00000000-FD20-4CC0-89C6-59E06EA0B74A}"/>
            </c:ext>
          </c:extLst>
        </c:ser>
        <c:dLbls>
          <c:showLegendKey val="0"/>
          <c:showVal val="1"/>
          <c:showCatName val="0"/>
          <c:showSerName val="0"/>
          <c:showPercent val="0"/>
          <c:showBubbleSize val="0"/>
        </c:dLbls>
        <c:marker val="1"/>
        <c:smooth val="0"/>
        <c:axId val="821436719"/>
        <c:axId val="1"/>
      </c:lineChart>
      <c:catAx>
        <c:axId val="821436719"/>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Periods</a:t>
                </a:r>
              </a:p>
            </c:rich>
          </c:tx>
          <c:layout>
            <c:manualLayout>
              <c:xMode val="edge"/>
              <c:yMode val="edge"/>
              <c:x val="0.37064721636837344"/>
              <c:y val="0.8240777998309092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en-US"/>
                  <a:t>% Change</a:t>
                </a:r>
              </a:p>
            </c:rich>
          </c:tx>
          <c:layout>
            <c:manualLayout>
              <c:xMode val="edge"/>
              <c:yMode val="edge"/>
              <c:x val="1.9900521684207969E-2"/>
              <c:y val="0.3657423943069765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821436719"/>
        <c:crosses val="autoZero"/>
        <c:crossBetween val="between"/>
      </c:valAx>
      <c:spPr>
        <a:solidFill>
          <a:srgbClr val="FFFFFF"/>
        </a:solidFill>
        <a:ln w="12700">
          <a:solidFill>
            <a:srgbClr val="FFFFFF"/>
          </a:solidFill>
          <a:prstDash val="solid"/>
        </a:ln>
      </c:spPr>
    </c:plotArea>
    <c:legend>
      <c:legendPos val="r"/>
      <c:layout>
        <c:manualLayout>
          <c:xMode val="edge"/>
          <c:yMode val="edge"/>
          <c:x val="0.69403069373675297"/>
          <c:y val="0.4675947066456283"/>
          <c:w val="0.29602026005259352"/>
          <c:h val="0.10185231233865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9700422933763135"/>
          <c:y val="4.1666855047630243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ar-EG"/>
        </a:p>
      </c:txPr>
    </c:title>
    <c:autoTitleDeleted val="0"/>
    <c:plotArea>
      <c:layout>
        <c:manualLayout>
          <c:layoutTarget val="inner"/>
          <c:xMode val="edge"/>
          <c:yMode val="edge"/>
          <c:x val="0.11860189241218547"/>
          <c:y val="0.26389008196832486"/>
          <c:w val="0.60674231276128565"/>
          <c:h val="0.41666855047630241"/>
        </c:manualLayout>
      </c:layout>
      <c:lineChart>
        <c:grouping val="stacked"/>
        <c:varyColors val="0"/>
        <c:ser>
          <c:idx val="0"/>
          <c:order val="0"/>
          <c:tx>
            <c:strRef>
              <c:f>'9 - Horizontal Analysis'!$C$66</c:f>
              <c:strCache>
                <c:ptCount val="1"/>
                <c:pt idx="0">
                  <c:v>Sustainable Growth Rate #1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'9 - Horizontal Analysis'!$E$10:$I$10</c:f>
              <c:numCache>
                <c:formatCode>General</c:formatCode>
                <c:ptCount val="5"/>
                <c:pt idx="0">
                  <c:v>2005</c:v>
                </c:pt>
                <c:pt idx="1">
                  <c:v>2006</c:v>
                </c:pt>
                <c:pt idx="2">
                  <c:v>2007</c:v>
                </c:pt>
                <c:pt idx="3">
                  <c:v>2008</c:v>
                </c:pt>
                <c:pt idx="4">
                  <c:v>2009</c:v>
                </c:pt>
              </c:numCache>
            </c:numRef>
          </c:cat>
          <c:val>
            <c:numRef>
              <c:f>'9 - Horizontal Analysis'!$E$66:$I$66</c:f>
              <c:numCache>
                <c:formatCode>0.00%</c:formatCode>
                <c:ptCount val="5"/>
                <c:pt idx="1">
                  <c:v>0</c:v>
                </c:pt>
                <c:pt idx="2">
                  <c:v>0</c:v>
                </c:pt>
                <c:pt idx="3">
                  <c:v>0</c:v>
                </c:pt>
                <c:pt idx="4">
                  <c:v>0</c:v>
                </c:pt>
              </c:numCache>
            </c:numRef>
          </c:val>
          <c:smooth val="0"/>
          <c:extLst>
            <c:ext xmlns:c16="http://schemas.microsoft.com/office/drawing/2014/chart" uri="{C3380CC4-5D6E-409C-BE32-E72D297353CC}">
              <c16:uniqueId val="{00000000-1B14-4EF6-B2BC-7806A0BF8298}"/>
            </c:ext>
          </c:extLst>
        </c:ser>
        <c:dLbls>
          <c:showLegendKey val="0"/>
          <c:showVal val="1"/>
          <c:showCatName val="0"/>
          <c:showSerName val="0"/>
          <c:showPercent val="0"/>
          <c:showBubbleSize val="0"/>
        </c:dLbls>
        <c:marker val="1"/>
        <c:smooth val="0"/>
        <c:axId val="821451119"/>
        <c:axId val="1"/>
      </c:lineChart>
      <c:catAx>
        <c:axId val="821451119"/>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a:t>
                </a:r>
              </a:p>
            </c:rich>
          </c:tx>
          <c:layout>
            <c:manualLayout>
              <c:xMode val="edge"/>
              <c:yMode val="edge"/>
              <c:x val="0.39325890641935179"/>
              <c:y val="0.8240777998309092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en-US"/>
                  <a:t>% Change</a:t>
                </a:r>
              </a:p>
            </c:rich>
          </c:tx>
          <c:layout>
            <c:manualLayout>
              <c:xMode val="edge"/>
              <c:yMode val="edge"/>
              <c:x val="1.9975055564157553E-2"/>
              <c:y val="0.3194458886984985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821451119"/>
        <c:crosses val="autoZero"/>
        <c:crossBetween val="between"/>
      </c:valAx>
      <c:spPr>
        <a:solidFill>
          <a:srgbClr val="FFFFFF"/>
        </a:solidFill>
        <a:ln w="12700">
          <a:solidFill>
            <a:srgbClr val="FFFFFF"/>
          </a:solidFill>
          <a:prstDash val="solid"/>
        </a:ln>
      </c:spPr>
    </c:plotArea>
    <c:legend>
      <c:legendPos val="r"/>
      <c:layout>
        <c:manualLayout>
          <c:xMode val="edge"/>
          <c:yMode val="edge"/>
          <c:x val="0.73907705587382944"/>
          <c:y val="0.42129820103715021"/>
          <c:w val="0.25093663552472922"/>
          <c:h val="0.10185231233865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500000000000001"/>
          <c:y val="4.1666855047630243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ar-EG"/>
        </a:p>
      </c:txPr>
    </c:title>
    <c:autoTitleDeleted val="0"/>
    <c:plotArea>
      <c:layout>
        <c:manualLayout>
          <c:layoutTarget val="inner"/>
          <c:xMode val="edge"/>
          <c:yMode val="edge"/>
          <c:x val="0.1275"/>
          <c:y val="0.26389008196832486"/>
          <c:w val="0.57374999999999998"/>
          <c:h val="0.50926156169325854"/>
        </c:manualLayout>
      </c:layout>
      <c:lineChart>
        <c:grouping val="stacked"/>
        <c:varyColors val="0"/>
        <c:ser>
          <c:idx val="0"/>
          <c:order val="0"/>
          <c:tx>
            <c:strRef>
              <c:f>'9 - Horizontal Analysis'!$C$69</c:f>
              <c:strCache>
                <c:ptCount val="1"/>
                <c:pt idx="0">
                  <c:v>Growth in Market Capitalization</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'9 - Horizontal Analysis'!$E$10:$I$10</c:f>
              <c:numCache>
                <c:formatCode>General</c:formatCode>
                <c:ptCount val="5"/>
                <c:pt idx="0">
                  <c:v>2005</c:v>
                </c:pt>
                <c:pt idx="1">
                  <c:v>2006</c:v>
                </c:pt>
                <c:pt idx="2">
                  <c:v>2007</c:v>
                </c:pt>
                <c:pt idx="3">
                  <c:v>2008</c:v>
                </c:pt>
                <c:pt idx="4">
                  <c:v>2009</c:v>
                </c:pt>
              </c:numCache>
            </c:numRef>
          </c:cat>
          <c:val>
            <c:numRef>
              <c:f>'9 - Horizontal Analysis'!$E$69:$I$69</c:f>
              <c:numCache>
                <c:formatCode>0.00%</c:formatCode>
                <c:ptCount val="5"/>
                <c:pt idx="1">
                  <c:v>0</c:v>
                </c:pt>
                <c:pt idx="2">
                  <c:v>0</c:v>
                </c:pt>
                <c:pt idx="3">
                  <c:v>0</c:v>
                </c:pt>
                <c:pt idx="4">
                  <c:v>0</c:v>
                </c:pt>
              </c:numCache>
            </c:numRef>
          </c:val>
          <c:smooth val="0"/>
          <c:extLst>
            <c:ext xmlns:c16="http://schemas.microsoft.com/office/drawing/2014/chart" uri="{C3380CC4-5D6E-409C-BE32-E72D297353CC}">
              <c16:uniqueId val="{00000000-BCA6-4050-8DB5-8BED4F5AEB5B}"/>
            </c:ext>
          </c:extLst>
        </c:ser>
        <c:dLbls>
          <c:showLegendKey val="0"/>
          <c:showVal val="1"/>
          <c:showCatName val="0"/>
          <c:showSerName val="0"/>
          <c:showPercent val="0"/>
          <c:showBubbleSize val="0"/>
        </c:dLbls>
        <c:marker val="1"/>
        <c:smooth val="0"/>
        <c:axId val="821457839"/>
        <c:axId val="1"/>
      </c:lineChart>
      <c:catAx>
        <c:axId val="821457839"/>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Periods</a:t>
                </a:r>
              </a:p>
            </c:rich>
          </c:tx>
          <c:layout>
            <c:manualLayout>
              <c:xMode val="edge"/>
              <c:yMode val="edge"/>
              <c:x val="0.38124999999999998"/>
              <c:y val="0.8240777998309092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en-US"/>
                  <a:t>% Change</a:t>
                </a:r>
              </a:p>
            </c:rich>
          </c:tx>
          <c:layout>
            <c:manualLayout>
              <c:xMode val="edge"/>
              <c:yMode val="edge"/>
              <c:x val="0.02"/>
              <c:y val="0.3657423943069765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ar-EG"/>
          </a:p>
        </c:txPr>
        <c:crossAx val="821457839"/>
        <c:crosses val="autoZero"/>
        <c:crossBetween val="between"/>
      </c:valAx>
      <c:spPr>
        <a:solidFill>
          <a:srgbClr val="FFFFFF"/>
        </a:solidFill>
        <a:ln w="12700">
          <a:solidFill>
            <a:srgbClr val="FFFFFF"/>
          </a:solidFill>
          <a:prstDash val="solid"/>
        </a:ln>
      </c:spPr>
    </c:plotArea>
    <c:legend>
      <c:legendPos val="r"/>
      <c:layout>
        <c:manualLayout>
          <c:xMode val="edge"/>
          <c:yMode val="edge"/>
          <c:x val="0.71499999999999997"/>
          <c:y val="0.4675947066456283"/>
          <c:w val="0.27500000000000002"/>
          <c:h val="0.101852312338651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Current / NonCurrent Assets</a:t>
            </a:r>
          </a:p>
        </c:rich>
      </c:tx>
      <c:layout>
        <c:manualLayout>
          <c:xMode val="edge"/>
          <c:yMode val="edge"/>
          <c:x val="0.3068787032886689"/>
          <c:y val="3.313253012048193E-2"/>
        </c:manualLayout>
      </c:layout>
      <c:overlay val="0"/>
      <c:spPr>
        <a:noFill/>
        <a:ln w="25400">
          <a:noFill/>
        </a:ln>
      </c:spPr>
    </c:title>
    <c:autoTitleDeleted val="0"/>
    <c:plotArea>
      <c:layout>
        <c:manualLayout>
          <c:layoutTarget val="inner"/>
          <c:xMode val="edge"/>
          <c:yMode val="edge"/>
          <c:x val="0.20899497896383484"/>
          <c:y val="0.25"/>
          <c:w val="0.44709052461883658"/>
          <c:h val="0.43975903614457829"/>
        </c:manualLayout>
      </c:layout>
      <c:areaChart>
        <c:grouping val="stacked"/>
        <c:varyColors val="0"/>
        <c:ser>
          <c:idx val="0"/>
          <c:order val="0"/>
          <c:tx>
            <c:strRef>
              <c:f>'10 - Vertical Analysis'!$D$18</c:f>
              <c:strCache>
                <c:ptCount val="1"/>
                <c:pt idx="0">
                  <c:v>Current Assets</c:v>
                </c:pt>
              </c:strCache>
            </c:strRef>
          </c:tx>
          <c:spPr>
            <a:solidFill>
              <a:srgbClr val="9999FF"/>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Analysis'!$F$18:$J$18</c:f>
              <c:numCache>
                <c:formatCode>0.00%</c:formatCode>
                <c:ptCount val="5"/>
                <c:pt idx="0">
                  <c:v>0.55117481061112483</c:v>
                </c:pt>
                <c:pt idx="1">
                  <c:v>0.36654649043214893</c:v>
                </c:pt>
                <c:pt idx="2">
                  <c:v>0.41392707762093656</c:v>
                </c:pt>
                <c:pt idx="3">
                  <c:v>0.46645792393503516</c:v>
                </c:pt>
                <c:pt idx="4">
                  <c:v>0.51983702002925214</c:v>
                </c:pt>
              </c:numCache>
            </c:numRef>
          </c:val>
          <c:extLst>
            <c:ext xmlns:c16="http://schemas.microsoft.com/office/drawing/2014/chart" uri="{C3380CC4-5D6E-409C-BE32-E72D297353CC}">
              <c16:uniqueId val="{00000000-16DB-4A0A-903D-674FA859AA76}"/>
            </c:ext>
          </c:extLst>
        </c:ser>
        <c:ser>
          <c:idx val="2"/>
          <c:order val="1"/>
          <c:tx>
            <c:strRef>
              <c:f>'10 - Vertical Analysis'!$D$24</c:f>
              <c:strCache>
                <c:ptCount val="1"/>
                <c:pt idx="0">
                  <c:v>Non Current Assets</c:v>
                </c:pt>
              </c:strCache>
            </c:strRef>
          </c:tx>
          <c:spPr>
            <a:solidFill>
              <a:srgbClr val="FFFFCC"/>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Analysis'!$F$24:$J$24</c:f>
              <c:numCache>
                <c:formatCode>0.00%</c:formatCode>
                <c:ptCount val="5"/>
                <c:pt idx="0">
                  <c:v>0.44882518938887517</c:v>
                </c:pt>
                <c:pt idx="1">
                  <c:v>0.63345350956785107</c:v>
                </c:pt>
                <c:pt idx="2">
                  <c:v>0.5860729223790635</c:v>
                </c:pt>
                <c:pt idx="3">
                  <c:v>0.53354207606496484</c:v>
                </c:pt>
                <c:pt idx="4">
                  <c:v>0.48016297997074786</c:v>
                </c:pt>
              </c:numCache>
            </c:numRef>
          </c:val>
          <c:extLst>
            <c:ext xmlns:c16="http://schemas.microsoft.com/office/drawing/2014/chart" uri="{C3380CC4-5D6E-409C-BE32-E72D297353CC}">
              <c16:uniqueId val="{00000001-16DB-4A0A-903D-674FA859AA76}"/>
            </c:ext>
          </c:extLst>
        </c:ser>
        <c:dLbls>
          <c:showLegendKey val="0"/>
          <c:showVal val="0"/>
          <c:showCatName val="0"/>
          <c:showSerName val="0"/>
          <c:showPercent val="0"/>
          <c:showBubbleSize val="0"/>
        </c:dLbls>
        <c:axId val="202505871"/>
        <c:axId val="1"/>
      </c:areaChart>
      <c:catAx>
        <c:axId val="202505871"/>
        <c:scaling>
          <c:orientation val="minMax"/>
        </c:scaling>
        <c:delete val="0"/>
        <c:axPos val="b"/>
        <c:title>
          <c:tx>
            <c:rich>
              <a:bodyPr/>
              <a:lstStyle/>
              <a:p>
                <a:pPr>
                  <a:defRPr sz="1550" b="1" i="0" u="none" strike="noStrike" baseline="0">
                    <a:solidFill>
                      <a:srgbClr val="000000"/>
                    </a:solidFill>
                    <a:latin typeface="Arial"/>
                    <a:ea typeface="Arial"/>
                    <a:cs typeface="Arial"/>
                  </a:defRPr>
                </a:pPr>
                <a:r>
                  <a:rPr lang="en-US"/>
                  <a:t>Periods</a:t>
                </a:r>
              </a:p>
            </c:rich>
          </c:tx>
          <c:layout>
            <c:manualLayout>
              <c:xMode val="edge"/>
              <c:yMode val="edge"/>
              <c:x val="0.37830736698516942"/>
              <c:y val="0.8433734939759036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5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550" b="1" i="0" u="none" strike="noStrike" baseline="0">
                    <a:solidFill>
                      <a:srgbClr val="000000"/>
                    </a:solidFill>
                    <a:latin typeface="Arial"/>
                    <a:ea typeface="Arial"/>
                    <a:cs typeface="Arial"/>
                  </a:defRPr>
                </a:pPr>
                <a:r>
                  <a:rPr lang="en-US"/>
                  <a:t>% of Total</a:t>
                </a:r>
              </a:p>
            </c:rich>
          </c:tx>
          <c:layout>
            <c:manualLayout>
              <c:xMode val="edge"/>
              <c:yMode val="edge"/>
              <c:x val="2.1164048502666819E-2"/>
              <c:y val="0.3132530120481927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550" b="0" i="0" u="none" strike="noStrike" baseline="0">
                <a:solidFill>
                  <a:srgbClr val="000000"/>
                </a:solidFill>
                <a:latin typeface="Arial"/>
                <a:ea typeface="Arial"/>
                <a:cs typeface="Arial"/>
              </a:defRPr>
            </a:pPr>
            <a:endParaRPr lang="ar-EG"/>
          </a:p>
        </c:txPr>
        <c:crossAx val="202505871"/>
        <c:crosses val="autoZero"/>
        <c:crossBetween val="midCat"/>
      </c:valAx>
      <c:spPr>
        <a:solidFill>
          <a:srgbClr val="C0C0C0"/>
        </a:solidFill>
        <a:ln w="12700">
          <a:solidFill>
            <a:srgbClr val="808080"/>
          </a:solidFill>
          <a:prstDash val="solid"/>
        </a:ln>
      </c:spPr>
    </c:plotArea>
    <c:legend>
      <c:legendPos val="r"/>
      <c:layout>
        <c:manualLayout>
          <c:xMode val="edge"/>
          <c:yMode val="edge"/>
          <c:x val="0.70635011877650511"/>
          <c:y val="0.37951807228915663"/>
          <c:w val="0.28306914872316874"/>
          <c:h val="0.18373493975903615"/>
        </c:manualLayout>
      </c:layout>
      <c:overlay val="0"/>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55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50" b="1" i="0" u="none" strike="noStrike" baseline="0">
                <a:solidFill>
                  <a:srgbClr val="000000"/>
                </a:solidFill>
                <a:latin typeface="Arial"/>
                <a:ea typeface="Arial"/>
                <a:cs typeface="Arial"/>
              </a:defRPr>
            </a:pPr>
            <a:r>
              <a:rPr lang="en-US"/>
              <a:t>Liab &amp; Equity to Total Assets</a:t>
            </a:r>
          </a:p>
        </c:rich>
      </c:tx>
      <c:layout>
        <c:manualLayout>
          <c:xMode val="edge"/>
          <c:yMode val="edge"/>
          <c:x val="0.26912928759894461"/>
          <c:y val="3.3742331288343558E-2"/>
        </c:manualLayout>
      </c:layout>
      <c:overlay val="0"/>
      <c:spPr>
        <a:noFill/>
        <a:ln w="25400">
          <a:noFill/>
        </a:ln>
      </c:spPr>
    </c:title>
    <c:autoTitleDeleted val="0"/>
    <c:plotArea>
      <c:layout>
        <c:manualLayout>
          <c:layoutTarget val="inner"/>
          <c:xMode val="edge"/>
          <c:yMode val="edge"/>
          <c:x val="0.19656992084432717"/>
          <c:y val="0.26993865030674846"/>
          <c:w val="0.53298153034300788"/>
          <c:h val="0.43558282208588955"/>
        </c:manualLayout>
      </c:layout>
      <c:areaChart>
        <c:grouping val="stacked"/>
        <c:varyColors val="0"/>
        <c:ser>
          <c:idx val="0"/>
          <c:order val="0"/>
          <c:tx>
            <c:strRef>
              <c:f>'10 - Vertical Analysis'!$D$38</c:f>
              <c:strCache>
                <c:ptCount val="1"/>
                <c:pt idx="0">
                  <c:v>Total Liabilities</c:v>
                </c:pt>
              </c:strCache>
            </c:strRef>
          </c:tx>
          <c:spPr>
            <a:solidFill>
              <a:srgbClr val="9999FF"/>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Analysis'!$F$38:$J$38</c:f>
              <c:numCache>
                <c:formatCode>0.00%</c:formatCode>
                <c:ptCount val="5"/>
                <c:pt idx="0">
                  <c:v>0.55646913649705254</c:v>
                </c:pt>
                <c:pt idx="1">
                  <c:v>0.62149804720209578</c:v>
                </c:pt>
                <c:pt idx="2">
                  <c:v>0.71622951898040865</c:v>
                </c:pt>
                <c:pt idx="3">
                  <c:v>0.67498807297045826</c:v>
                </c:pt>
                <c:pt idx="4">
                  <c:v>0.61935017073918419</c:v>
                </c:pt>
              </c:numCache>
            </c:numRef>
          </c:val>
          <c:extLst>
            <c:ext xmlns:c16="http://schemas.microsoft.com/office/drawing/2014/chart" uri="{C3380CC4-5D6E-409C-BE32-E72D297353CC}">
              <c16:uniqueId val="{00000000-0018-4087-9CE3-7396700F22F3}"/>
            </c:ext>
          </c:extLst>
        </c:ser>
        <c:ser>
          <c:idx val="2"/>
          <c:order val="1"/>
          <c:tx>
            <c:strRef>
              <c:f>'10 - Vertical Analysis'!$D$46</c:f>
              <c:strCache>
                <c:ptCount val="1"/>
                <c:pt idx="0">
                  <c:v>Total Equity</c:v>
                </c:pt>
              </c:strCache>
            </c:strRef>
          </c:tx>
          <c:spPr>
            <a:solidFill>
              <a:srgbClr val="FFFFCC"/>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Analysis'!$F$46:$J$46</c:f>
              <c:numCache>
                <c:formatCode>0.00%</c:formatCode>
                <c:ptCount val="5"/>
                <c:pt idx="0">
                  <c:v>0</c:v>
                </c:pt>
                <c:pt idx="1">
                  <c:v>0.65783692917473835</c:v>
                </c:pt>
                <c:pt idx="2">
                  <c:v>0.36755328180706665</c:v>
                </c:pt>
                <c:pt idx="3">
                  <c:v>0.54542702283875077</c:v>
                </c:pt>
                <c:pt idx="4">
                  <c:v>0.47670754931286102</c:v>
                </c:pt>
              </c:numCache>
            </c:numRef>
          </c:val>
          <c:extLst>
            <c:ext xmlns:c16="http://schemas.microsoft.com/office/drawing/2014/chart" uri="{C3380CC4-5D6E-409C-BE32-E72D297353CC}">
              <c16:uniqueId val="{00000001-0018-4087-9CE3-7396700F22F3}"/>
            </c:ext>
          </c:extLst>
        </c:ser>
        <c:dLbls>
          <c:showLegendKey val="0"/>
          <c:showVal val="0"/>
          <c:showCatName val="0"/>
          <c:showSerName val="0"/>
          <c:showPercent val="0"/>
          <c:showBubbleSize val="0"/>
        </c:dLbls>
        <c:axId val="202497231"/>
        <c:axId val="1"/>
      </c:areaChart>
      <c:catAx>
        <c:axId val="202497231"/>
        <c:scaling>
          <c:orientation val="minMax"/>
        </c:scaling>
        <c:delete val="0"/>
        <c:axPos val="b"/>
        <c:title>
          <c:tx>
            <c:rich>
              <a:bodyPr/>
              <a:lstStyle/>
              <a:p>
                <a:pPr>
                  <a:defRPr sz="1525" b="1" i="0" u="none" strike="noStrike" baseline="0">
                    <a:solidFill>
                      <a:srgbClr val="000000"/>
                    </a:solidFill>
                    <a:latin typeface="Arial"/>
                    <a:ea typeface="Arial"/>
                    <a:cs typeface="Arial"/>
                  </a:defRPr>
                </a:pPr>
                <a:r>
                  <a:rPr lang="en-US"/>
                  <a:t>Periods</a:t>
                </a:r>
              </a:p>
            </c:rich>
          </c:tx>
          <c:layout>
            <c:manualLayout>
              <c:xMode val="edge"/>
              <c:yMode val="edge"/>
              <c:x val="0.41160949868073876"/>
              <c:y val="0.8435582822085889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25"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525" b="1" i="0" u="none" strike="noStrike" baseline="0">
                    <a:solidFill>
                      <a:srgbClr val="000000"/>
                    </a:solidFill>
                    <a:latin typeface="Arial"/>
                    <a:ea typeface="Arial"/>
                    <a:cs typeface="Arial"/>
                  </a:defRPr>
                </a:pPr>
                <a:r>
                  <a:rPr lang="en-US"/>
                  <a:t>% of Total</a:t>
                </a:r>
              </a:p>
            </c:rich>
          </c:tx>
          <c:layout>
            <c:manualLayout>
              <c:xMode val="edge"/>
              <c:yMode val="edge"/>
              <c:x val="2.1108179419525065E-2"/>
              <c:y val="0.3312883435582821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525" b="0" i="0" u="none" strike="noStrike" baseline="0">
                <a:solidFill>
                  <a:srgbClr val="000000"/>
                </a:solidFill>
                <a:latin typeface="Arial"/>
                <a:ea typeface="Arial"/>
                <a:cs typeface="Arial"/>
              </a:defRPr>
            </a:pPr>
            <a:endParaRPr lang="ar-EG"/>
          </a:p>
        </c:txPr>
        <c:crossAx val="202497231"/>
        <c:crosses val="autoZero"/>
        <c:crossBetween val="midCat"/>
      </c:valAx>
      <c:spPr>
        <a:solidFill>
          <a:srgbClr val="C0C0C0"/>
        </a:solidFill>
        <a:ln w="12700">
          <a:solidFill>
            <a:srgbClr val="808080"/>
          </a:solidFill>
          <a:prstDash val="solid"/>
        </a:ln>
      </c:spPr>
    </c:plotArea>
    <c:legend>
      <c:legendPos val="r"/>
      <c:layout>
        <c:manualLayout>
          <c:xMode val="edge"/>
          <c:yMode val="edge"/>
          <c:x val="0.77704485488126651"/>
          <c:y val="0.40184049079754602"/>
          <c:w val="0.21240105540897097"/>
          <c:h val="0.17484662576687116"/>
        </c:manualLayout>
      </c:layout>
      <c:overlay val="0"/>
      <c:spPr>
        <a:solidFill>
          <a:srgbClr val="FFFFFF"/>
        </a:solidFill>
        <a:ln w="3175">
          <a:solidFill>
            <a:srgbClr val="000000"/>
          </a:solidFill>
          <a:prstDash val="solid"/>
        </a:ln>
      </c:spPr>
      <c:txPr>
        <a:bodyPr/>
        <a:lstStyle/>
        <a:p>
          <a:pPr>
            <a:defRPr sz="140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525"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50" b="1" i="0" u="none" strike="noStrike" baseline="0">
                <a:solidFill>
                  <a:srgbClr val="000000"/>
                </a:solidFill>
                <a:latin typeface="Arial"/>
                <a:ea typeface="Arial"/>
                <a:cs typeface="Arial"/>
              </a:defRPr>
            </a:pPr>
            <a:r>
              <a:rPr lang="en-US"/>
              <a:t>Major Cost Breakdown</a:t>
            </a:r>
          </a:p>
        </c:rich>
      </c:tx>
      <c:layout>
        <c:manualLayout>
          <c:xMode val="edge"/>
          <c:yMode val="edge"/>
          <c:x val="0.31613797450858561"/>
          <c:y val="3.3536635290579882E-2"/>
        </c:manualLayout>
      </c:layout>
      <c:overlay val="0"/>
      <c:spPr>
        <a:noFill/>
        <a:ln w="25400">
          <a:noFill/>
        </a:ln>
      </c:spPr>
    </c:title>
    <c:autoTitleDeleted val="0"/>
    <c:plotArea>
      <c:layout>
        <c:manualLayout>
          <c:layoutTarget val="inner"/>
          <c:xMode val="edge"/>
          <c:yMode val="edge"/>
          <c:x val="0.24470931081208511"/>
          <c:y val="0.27439065237747173"/>
          <c:w val="0.40211692155066958"/>
          <c:h val="0.4115859785662076"/>
        </c:manualLayout>
      </c:layout>
      <c:areaChart>
        <c:grouping val="stacked"/>
        <c:varyColors val="0"/>
        <c:ser>
          <c:idx val="0"/>
          <c:order val="0"/>
          <c:tx>
            <c:strRef>
              <c:f>'10 - Vertical Analysis'!$D$213</c:f>
              <c:strCache>
                <c:ptCount val="1"/>
                <c:pt idx="0">
                  <c:v>Cost of Goods Sold</c:v>
                </c:pt>
              </c:strCache>
            </c:strRef>
          </c:tx>
          <c:spPr>
            <a:solidFill>
              <a:srgbClr val="9999FF"/>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Analysis'!$F$213:$J$213</c:f>
              <c:numCache>
                <c:formatCode>0.00%</c:formatCode>
                <c:ptCount val="5"/>
                <c:pt idx="0">
                  <c:v>0.90358989452154337</c:v>
                </c:pt>
                <c:pt idx="1">
                  <c:v>0.78607710895758742</c:v>
                </c:pt>
                <c:pt idx="2">
                  <c:v>0.77315571778268855</c:v>
                </c:pt>
                <c:pt idx="3">
                  <c:v>0.77429153543170981</c:v>
                </c:pt>
                <c:pt idx="4">
                  <c:v>0.75266885813938456</c:v>
                </c:pt>
              </c:numCache>
            </c:numRef>
          </c:val>
          <c:extLst>
            <c:ext xmlns:c16="http://schemas.microsoft.com/office/drawing/2014/chart" uri="{C3380CC4-5D6E-409C-BE32-E72D297353CC}">
              <c16:uniqueId val="{00000000-D0CC-46FE-809F-A7DF145307D1}"/>
            </c:ext>
          </c:extLst>
        </c:ser>
        <c:ser>
          <c:idx val="1"/>
          <c:order val="1"/>
          <c:tx>
            <c:strRef>
              <c:f>'10 - Vertical Analysis'!$D$214</c:f>
              <c:strCache>
                <c:ptCount val="1"/>
                <c:pt idx="0">
                  <c:v>Operating Expenses</c:v>
                </c:pt>
              </c:strCache>
            </c:strRef>
          </c:tx>
          <c:spPr>
            <a:solidFill>
              <a:srgbClr val="993366"/>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Analysis'!$F$214:$J$214</c:f>
              <c:numCache>
                <c:formatCode>0.00%</c:formatCode>
                <c:ptCount val="5"/>
                <c:pt idx="0">
                  <c:v>4.6139699123403322E-2</c:v>
                </c:pt>
                <c:pt idx="1">
                  <c:v>7.903972166431808E-2</c:v>
                </c:pt>
                <c:pt idx="2">
                  <c:v>0.10628333724009181</c:v>
                </c:pt>
                <c:pt idx="3">
                  <c:v>9.3305087165422726E-2</c:v>
                </c:pt>
                <c:pt idx="4">
                  <c:v>9.232609516791962E-2</c:v>
                </c:pt>
              </c:numCache>
            </c:numRef>
          </c:val>
          <c:extLst>
            <c:ext xmlns:c16="http://schemas.microsoft.com/office/drawing/2014/chart" uri="{C3380CC4-5D6E-409C-BE32-E72D297353CC}">
              <c16:uniqueId val="{00000001-D0CC-46FE-809F-A7DF145307D1}"/>
            </c:ext>
          </c:extLst>
        </c:ser>
        <c:ser>
          <c:idx val="2"/>
          <c:order val="2"/>
          <c:tx>
            <c:strRef>
              <c:f>'10 - Vertical Analysis'!$D$215</c:f>
              <c:strCache>
                <c:ptCount val="1"/>
                <c:pt idx="0">
                  <c:v>Non Operating Expenses</c:v>
                </c:pt>
              </c:strCache>
            </c:strRef>
          </c:tx>
          <c:spPr>
            <a:solidFill>
              <a:srgbClr val="FFFFCC"/>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Analysis'!$F$215:$J$215</c:f>
              <c:numCache>
                <c:formatCode>0.00%</c:formatCode>
                <c:ptCount val="5"/>
                <c:pt idx="0">
                  <c:v>4.8075559429430021E-3</c:v>
                </c:pt>
                <c:pt idx="1">
                  <c:v>1.5022696192787647E-2</c:v>
                </c:pt>
                <c:pt idx="2">
                  <c:v>1.7733100312782989E-2</c:v>
                </c:pt>
                <c:pt idx="3">
                  <c:v>2.4951881660212498E-2</c:v>
                </c:pt>
                <c:pt idx="4">
                  <c:v>2.1459369501477515E-2</c:v>
                </c:pt>
              </c:numCache>
            </c:numRef>
          </c:val>
          <c:extLst>
            <c:ext xmlns:c16="http://schemas.microsoft.com/office/drawing/2014/chart" uri="{C3380CC4-5D6E-409C-BE32-E72D297353CC}">
              <c16:uniqueId val="{00000002-D0CC-46FE-809F-A7DF145307D1}"/>
            </c:ext>
          </c:extLst>
        </c:ser>
        <c:dLbls>
          <c:showLegendKey val="0"/>
          <c:showVal val="0"/>
          <c:showCatName val="0"/>
          <c:showSerName val="0"/>
          <c:showPercent val="0"/>
          <c:showBubbleSize val="0"/>
        </c:dLbls>
        <c:axId val="202507311"/>
        <c:axId val="1"/>
      </c:areaChart>
      <c:catAx>
        <c:axId val="202507311"/>
        <c:scaling>
          <c:orientation val="minMax"/>
        </c:scaling>
        <c:delete val="0"/>
        <c:axPos val="b"/>
        <c:title>
          <c:tx>
            <c:rich>
              <a:bodyPr/>
              <a:lstStyle/>
              <a:p>
                <a:pPr>
                  <a:defRPr sz="1550" b="1" i="0" u="none" strike="noStrike" baseline="0">
                    <a:solidFill>
                      <a:srgbClr val="000000"/>
                    </a:solidFill>
                    <a:latin typeface="Arial"/>
                    <a:ea typeface="Arial"/>
                    <a:cs typeface="Arial"/>
                  </a:defRPr>
                </a:pPr>
                <a:r>
                  <a:rPr lang="en-US"/>
                  <a:t>Periods</a:t>
                </a:r>
              </a:p>
            </c:rich>
          </c:tx>
          <c:layout>
            <c:manualLayout>
              <c:xMode val="edge"/>
              <c:yMode val="edge"/>
              <c:x val="0.39153489729933616"/>
              <c:y val="0.8414646672909132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5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550" b="1" i="0" u="none" strike="noStrike" baseline="0">
                    <a:solidFill>
                      <a:srgbClr val="000000"/>
                    </a:solidFill>
                    <a:latin typeface="Arial"/>
                    <a:ea typeface="Arial"/>
                    <a:cs typeface="Arial"/>
                  </a:defRPr>
                </a:pPr>
                <a:r>
                  <a:rPr lang="en-US"/>
                  <a:t>% to Total Revenues</a:t>
                </a:r>
              </a:p>
            </c:rich>
          </c:tx>
          <c:layout>
            <c:manualLayout>
              <c:xMode val="edge"/>
              <c:yMode val="edge"/>
              <c:x val="2.1164048502666819E-2"/>
              <c:y val="0.3109760726944679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550" b="0" i="0" u="none" strike="noStrike" baseline="0">
                <a:solidFill>
                  <a:srgbClr val="000000"/>
                </a:solidFill>
                <a:latin typeface="Arial"/>
                <a:ea typeface="Arial"/>
                <a:cs typeface="Arial"/>
              </a:defRPr>
            </a:pPr>
            <a:endParaRPr lang="ar-EG"/>
          </a:p>
        </c:txPr>
        <c:crossAx val="202507311"/>
        <c:crosses val="autoZero"/>
        <c:crossBetween val="midCat"/>
      </c:valAx>
      <c:spPr>
        <a:solidFill>
          <a:srgbClr val="C0C0C0"/>
        </a:solidFill>
        <a:ln w="12700">
          <a:solidFill>
            <a:srgbClr val="808080"/>
          </a:solidFill>
          <a:prstDash val="solid"/>
        </a:ln>
      </c:spPr>
    </c:plotArea>
    <c:legend>
      <c:legendPos val="r"/>
      <c:layout>
        <c:manualLayout>
          <c:xMode val="edge"/>
          <c:yMode val="edge"/>
          <c:x val="0.69709084755658834"/>
          <c:y val="0.3353663529057988"/>
          <c:w val="0.29232841994308545"/>
          <c:h val="0.50609831438511454"/>
        </c:manualLayout>
      </c:layout>
      <c:overlay val="0"/>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55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baseline="0">
                <a:solidFill>
                  <a:srgbClr val="000000"/>
                </a:solidFill>
                <a:latin typeface="Arial"/>
                <a:ea typeface="Arial"/>
                <a:cs typeface="Arial"/>
              </a:defRPr>
            </a:pPr>
            <a:r>
              <a:rPr lang="en-US"/>
              <a:t>Operating Cash Flow Trend</a:t>
            </a:r>
          </a:p>
        </c:rich>
      </c:tx>
      <c:layout>
        <c:manualLayout>
          <c:xMode val="edge"/>
          <c:yMode val="edge"/>
          <c:x val="0.29580605835883428"/>
          <c:y val="3.2581533378204734E-2"/>
        </c:manualLayout>
      </c:layout>
      <c:overlay val="0"/>
      <c:spPr>
        <a:noFill/>
        <a:ln w="25400">
          <a:noFill/>
        </a:ln>
      </c:spPr>
    </c:title>
    <c:autoTitleDeleted val="0"/>
    <c:plotArea>
      <c:layout>
        <c:manualLayout>
          <c:layoutTarget val="inner"/>
          <c:xMode val="edge"/>
          <c:yMode val="edge"/>
          <c:x val="0.29911732020613468"/>
          <c:y val="0.24561463623569724"/>
          <c:w val="0.30684359784983556"/>
          <c:h val="0.52130453405127575"/>
        </c:manualLayout>
      </c:layout>
      <c:areaChart>
        <c:grouping val="stacked"/>
        <c:varyColors val="0"/>
        <c:ser>
          <c:idx val="0"/>
          <c:order val="0"/>
          <c:tx>
            <c:strRef>
              <c:f>'5 - Cash Flow'!$B$2</c:f>
              <c:strCache>
                <c:ptCount val="1"/>
                <c:pt idx="0">
                  <c:v>Net Income</c:v>
                </c:pt>
              </c:strCache>
            </c:strRef>
          </c:tx>
          <c:spPr>
            <a:solidFill>
              <a:srgbClr val="9999FF"/>
            </a:solidFill>
            <a:ln w="12700">
              <a:solidFill>
                <a:srgbClr val="000000"/>
              </a:solidFill>
              <a:prstDash val="solid"/>
            </a:ln>
          </c:spPr>
          <c:cat>
            <c:numRef>
              <c:f>'5 - Cash Flow'!$D$1:$H$1</c:f>
              <c:numCache>
                <c:formatCode>General</c:formatCode>
                <c:ptCount val="5"/>
                <c:pt idx="0">
                  <c:v>2005</c:v>
                </c:pt>
                <c:pt idx="1">
                  <c:v>2006</c:v>
                </c:pt>
                <c:pt idx="2">
                  <c:v>2007</c:v>
                </c:pt>
                <c:pt idx="3">
                  <c:v>2008</c:v>
                </c:pt>
                <c:pt idx="4">
                  <c:v>2009</c:v>
                </c:pt>
              </c:numCache>
            </c:numRef>
          </c:cat>
          <c:val>
            <c:numRef>
              <c:f>'5 - Cash Flow'!$D$2:$H$2</c:f>
              <c:numCache>
                <c:formatCode>#,##0_);\(#,##0\)</c:formatCode>
                <c:ptCount val="5"/>
                <c:pt idx="0">
                  <c:v>18996905</c:v>
                </c:pt>
                <c:pt idx="1">
                  <c:v>38197887</c:v>
                </c:pt>
                <c:pt idx="2">
                  <c:v>36608309</c:v>
                </c:pt>
                <c:pt idx="3">
                  <c:v>59988006</c:v>
                </c:pt>
                <c:pt idx="4">
                  <c:v>104197110</c:v>
                </c:pt>
              </c:numCache>
            </c:numRef>
          </c:val>
          <c:extLst>
            <c:ext xmlns:c16="http://schemas.microsoft.com/office/drawing/2014/chart" uri="{C3380CC4-5D6E-409C-BE32-E72D297353CC}">
              <c16:uniqueId val="{00000000-D294-4B5C-9C6F-B2A2494B0D30}"/>
            </c:ext>
          </c:extLst>
        </c:ser>
        <c:ser>
          <c:idx val="1"/>
          <c:order val="1"/>
          <c:tx>
            <c:strRef>
              <c:f>'5 - Cash Flow'!$B$3</c:f>
              <c:strCache>
                <c:ptCount val="1"/>
                <c:pt idx="0">
                  <c:v>Depreciation and Amortization</c:v>
                </c:pt>
              </c:strCache>
            </c:strRef>
          </c:tx>
          <c:spPr>
            <a:solidFill>
              <a:srgbClr val="993366"/>
            </a:solidFill>
            <a:ln w="12700">
              <a:solidFill>
                <a:srgbClr val="000000"/>
              </a:solidFill>
              <a:prstDash val="solid"/>
            </a:ln>
          </c:spPr>
          <c:cat>
            <c:numRef>
              <c:f>'5 - Cash Flow'!$D$1:$H$1</c:f>
              <c:numCache>
                <c:formatCode>General</c:formatCode>
                <c:ptCount val="5"/>
                <c:pt idx="0">
                  <c:v>2005</c:v>
                </c:pt>
                <c:pt idx="1">
                  <c:v>2006</c:v>
                </c:pt>
                <c:pt idx="2">
                  <c:v>2007</c:v>
                </c:pt>
                <c:pt idx="3">
                  <c:v>2008</c:v>
                </c:pt>
                <c:pt idx="4">
                  <c:v>2009</c:v>
                </c:pt>
              </c:numCache>
            </c:numRef>
          </c:cat>
          <c:val>
            <c:numRef>
              <c:f>'5 - Cash Flow'!$D$3:$H$3</c:f>
              <c:numCache>
                <c:formatCode>#,##0_);\(#,##0\)</c:formatCode>
                <c:ptCount val="5"/>
                <c:pt idx="0">
                  <c:v>12952550</c:v>
                </c:pt>
                <c:pt idx="1">
                  <c:v>16359095</c:v>
                </c:pt>
                <c:pt idx="2">
                  <c:v>28054697</c:v>
                </c:pt>
                <c:pt idx="3">
                  <c:v>40780410</c:v>
                </c:pt>
                <c:pt idx="4">
                  <c:v>54568423</c:v>
                </c:pt>
              </c:numCache>
            </c:numRef>
          </c:val>
          <c:extLst>
            <c:ext xmlns:c16="http://schemas.microsoft.com/office/drawing/2014/chart" uri="{C3380CC4-5D6E-409C-BE32-E72D297353CC}">
              <c16:uniqueId val="{00000001-D294-4B5C-9C6F-B2A2494B0D30}"/>
            </c:ext>
          </c:extLst>
        </c:ser>
        <c:ser>
          <c:idx val="2"/>
          <c:order val="2"/>
          <c:tx>
            <c:strRef>
              <c:f>'5 - Cash Flow'!$B$4</c:f>
              <c:strCache>
                <c:ptCount val="1"/>
                <c:pt idx="0">
                  <c:v>(Increase) Decrease Defer Taxes</c:v>
                </c:pt>
              </c:strCache>
            </c:strRef>
          </c:tx>
          <c:spPr>
            <a:solidFill>
              <a:srgbClr val="FFFFCC"/>
            </a:solidFill>
            <a:ln w="12700">
              <a:solidFill>
                <a:srgbClr val="000000"/>
              </a:solidFill>
              <a:prstDash val="solid"/>
            </a:ln>
          </c:spPr>
          <c:cat>
            <c:numRef>
              <c:f>'5 - Cash Flow'!$D$1:$H$1</c:f>
              <c:numCache>
                <c:formatCode>General</c:formatCode>
                <c:ptCount val="5"/>
                <c:pt idx="0">
                  <c:v>2005</c:v>
                </c:pt>
                <c:pt idx="1">
                  <c:v>2006</c:v>
                </c:pt>
                <c:pt idx="2">
                  <c:v>2007</c:v>
                </c:pt>
                <c:pt idx="3">
                  <c:v>2008</c:v>
                </c:pt>
                <c:pt idx="4">
                  <c:v>2009</c:v>
                </c:pt>
              </c:numCache>
            </c:numRef>
          </c:cat>
          <c:val>
            <c:numRef>
              <c:f>'5 - Cash Flow'!$D$4:$H$4</c:f>
              <c:numCache>
                <c:formatCode>#,##0_);\(#,##0\)</c:formatCode>
                <c:ptCount val="5"/>
                <c:pt idx="0">
                  <c:v>0</c:v>
                </c:pt>
                <c:pt idx="1">
                  <c:v>979433</c:v>
                </c:pt>
                <c:pt idx="2">
                  <c:v>151689</c:v>
                </c:pt>
                <c:pt idx="3">
                  <c:v>948214</c:v>
                </c:pt>
                <c:pt idx="4">
                  <c:v>2139476</c:v>
                </c:pt>
              </c:numCache>
            </c:numRef>
          </c:val>
          <c:extLst>
            <c:ext xmlns:c16="http://schemas.microsoft.com/office/drawing/2014/chart" uri="{C3380CC4-5D6E-409C-BE32-E72D297353CC}">
              <c16:uniqueId val="{00000002-D294-4B5C-9C6F-B2A2494B0D30}"/>
            </c:ext>
          </c:extLst>
        </c:ser>
        <c:ser>
          <c:idx val="3"/>
          <c:order val="3"/>
          <c:tx>
            <c:strRef>
              <c:f>'5 - Cash Flow'!$B$5</c:f>
              <c:strCache>
                <c:ptCount val="1"/>
                <c:pt idx="0">
                  <c:v>(Gain) Loss on Sale of Assets</c:v>
                </c:pt>
              </c:strCache>
            </c:strRef>
          </c:tx>
          <c:spPr>
            <a:solidFill>
              <a:srgbClr val="CCFFFF"/>
            </a:solidFill>
            <a:ln w="12700">
              <a:solidFill>
                <a:srgbClr val="000000"/>
              </a:solidFill>
              <a:prstDash val="solid"/>
            </a:ln>
          </c:spPr>
          <c:cat>
            <c:numRef>
              <c:f>'5 - Cash Flow'!$D$1:$H$1</c:f>
              <c:numCache>
                <c:formatCode>General</c:formatCode>
                <c:ptCount val="5"/>
                <c:pt idx="0">
                  <c:v>2005</c:v>
                </c:pt>
                <c:pt idx="1">
                  <c:v>2006</c:v>
                </c:pt>
                <c:pt idx="2">
                  <c:v>2007</c:v>
                </c:pt>
                <c:pt idx="3">
                  <c:v>2008</c:v>
                </c:pt>
                <c:pt idx="4">
                  <c:v>2009</c:v>
                </c:pt>
              </c:numCache>
            </c:numRef>
          </c:cat>
          <c:val>
            <c:numRef>
              <c:f>'5 - Cash Flow'!$D$5:$H$5</c:f>
              <c:numCache>
                <c:formatCode>#,##0_);\(#,##0\)</c:formatCode>
                <c:ptCount val="5"/>
                <c:pt idx="0">
                  <c:v>0</c:v>
                </c:pt>
                <c:pt idx="1">
                  <c:v>0</c:v>
                </c:pt>
                <c:pt idx="2">
                  <c:v>-205827</c:v>
                </c:pt>
                <c:pt idx="3">
                  <c:v>-1322753</c:v>
                </c:pt>
                <c:pt idx="4">
                  <c:v>-858094</c:v>
                </c:pt>
              </c:numCache>
            </c:numRef>
          </c:val>
          <c:extLst>
            <c:ext xmlns:c16="http://schemas.microsoft.com/office/drawing/2014/chart" uri="{C3380CC4-5D6E-409C-BE32-E72D297353CC}">
              <c16:uniqueId val="{00000003-D294-4B5C-9C6F-B2A2494B0D30}"/>
            </c:ext>
          </c:extLst>
        </c:ser>
        <c:ser>
          <c:idx val="4"/>
          <c:order val="4"/>
          <c:tx>
            <c:strRef>
              <c:f>'5 - Cash Flow'!$B$6</c:f>
              <c:strCache>
                <c:ptCount val="1"/>
                <c:pt idx="0">
                  <c:v>(Increase) Decrease Current Assets</c:v>
                </c:pt>
              </c:strCache>
            </c:strRef>
          </c:tx>
          <c:spPr>
            <a:solidFill>
              <a:srgbClr val="660066"/>
            </a:solidFill>
            <a:ln w="12700">
              <a:solidFill>
                <a:srgbClr val="000000"/>
              </a:solidFill>
              <a:prstDash val="solid"/>
            </a:ln>
          </c:spPr>
          <c:cat>
            <c:numRef>
              <c:f>'5 - Cash Flow'!$D$1:$H$1</c:f>
              <c:numCache>
                <c:formatCode>General</c:formatCode>
                <c:ptCount val="5"/>
                <c:pt idx="0">
                  <c:v>2005</c:v>
                </c:pt>
                <c:pt idx="1">
                  <c:v>2006</c:v>
                </c:pt>
                <c:pt idx="2">
                  <c:v>2007</c:v>
                </c:pt>
                <c:pt idx="3">
                  <c:v>2008</c:v>
                </c:pt>
                <c:pt idx="4">
                  <c:v>2009</c:v>
                </c:pt>
              </c:numCache>
            </c:numRef>
          </c:cat>
          <c:val>
            <c:numRef>
              <c:f>'5 - Cash Flow'!$D$6:$H$6</c:f>
              <c:numCache>
                <c:formatCode>#,##0_);\(#,##0\)</c:formatCode>
                <c:ptCount val="5"/>
                <c:pt idx="0">
                  <c:v>20889068</c:v>
                </c:pt>
                <c:pt idx="1">
                  <c:v>-15307866</c:v>
                </c:pt>
                <c:pt idx="2">
                  <c:v>-52536383</c:v>
                </c:pt>
                <c:pt idx="3">
                  <c:v>-148007174</c:v>
                </c:pt>
                <c:pt idx="4">
                  <c:v>-8337107</c:v>
                </c:pt>
              </c:numCache>
            </c:numRef>
          </c:val>
          <c:extLst>
            <c:ext xmlns:c16="http://schemas.microsoft.com/office/drawing/2014/chart" uri="{C3380CC4-5D6E-409C-BE32-E72D297353CC}">
              <c16:uniqueId val="{00000004-D294-4B5C-9C6F-B2A2494B0D30}"/>
            </c:ext>
          </c:extLst>
        </c:ser>
        <c:ser>
          <c:idx val="5"/>
          <c:order val="5"/>
          <c:tx>
            <c:strRef>
              <c:f>'5 - Cash Flow'!$B$7</c:f>
              <c:strCache>
                <c:ptCount val="1"/>
                <c:pt idx="0">
                  <c:v>Increase (Decrease) Current Liab</c:v>
                </c:pt>
              </c:strCache>
            </c:strRef>
          </c:tx>
          <c:spPr>
            <a:solidFill>
              <a:srgbClr val="FF8080"/>
            </a:solidFill>
            <a:ln w="12700">
              <a:solidFill>
                <a:srgbClr val="000000"/>
              </a:solidFill>
              <a:prstDash val="solid"/>
            </a:ln>
          </c:spPr>
          <c:cat>
            <c:numRef>
              <c:f>'5 - Cash Flow'!$D$1:$H$1</c:f>
              <c:numCache>
                <c:formatCode>General</c:formatCode>
                <c:ptCount val="5"/>
                <c:pt idx="0">
                  <c:v>2005</c:v>
                </c:pt>
                <c:pt idx="1">
                  <c:v>2006</c:v>
                </c:pt>
                <c:pt idx="2">
                  <c:v>2007</c:v>
                </c:pt>
                <c:pt idx="3">
                  <c:v>2008</c:v>
                </c:pt>
                <c:pt idx="4">
                  <c:v>2009</c:v>
                </c:pt>
              </c:numCache>
            </c:numRef>
          </c:cat>
          <c:val>
            <c:numRef>
              <c:f>'5 - Cash Flow'!$D$7:$H$7</c:f>
              <c:numCache>
                <c:formatCode>#,##0_);\(#,##0\)</c:formatCode>
                <c:ptCount val="5"/>
                <c:pt idx="0">
                  <c:v>-2140468</c:v>
                </c:pt>
                <c:pt idx="1">
                  <c:v>50014819</c:v>
                </c:pt>
                <c:pt idx="2">
                  <c:v>-11753612</c:v>
                </c:pt>
                <c:pt idx="3">
                  <c:v>120828859</c:v>
                </c:pt>
                <c:pt idx="4">
                  <c:v>-52216318</c:v>
                </c:pt>
              </c:numCache>
            </c:numRef>
          </c:val>
          <c:extLst>
            <c:ext xmlns:c16="http://schemas.microsoft.com/office/drawing/2014/chart" uri="{C3380CC4-5D6E-409C-BE32-E72D297353CC}">
              <c16:uniqueId val="{00000005-D294-4B5C-9C6F-B2A2494B0D30}"/>
            </c:ext>
          </c:extLst>
        </c:ser>
        <c:dLbls>
          <c:showLegendKey val="0"/>
          <c:showVal val="0"/>
          <c:showCatName val="0"/>
          <c:showSerName val="0"/>
          <c:showPercent val="0"/>
          <c:showBubbleSize val="0"/>
        </c:dLbls>
        <c:axId val="202509711"/>
        <c:axId val="1"/>
      </c:areaChart>
      <c:catAx>
        <c:axId val="202509711"/>
        <c:scaling>
          <c:orientation val="minMax"/>
        </c:scaling>
        <c:delete val="0"/>
        <c:axPos val="b"/>
        <c:title>
          <c:tx>
            <c:rich>
              <a:bodyPr/>
              <a:lstStyle/>
              <a:p>
                <a:pPr>
                  <a:defRPr sz="1875" b="1" i="0" u="none" strike="noStrike" baseline="0">
                    <a:solidFill>
                      <a:srgbClr val="000000"/>
                    </a:solidFill>
                    <a:latin typeface="Arial"/>
                    <a:ea typeface="Arial"/>
                    <a:cs typeface="Arial"/>
                  </a:defRPr>
                </a:pPr>
                <a:r>
                  <a:rPr lang="en-US"/>
                  <a:t>Periods</a:t>
                </a:r>
              </a:p>
            </c:rich>
          </c:tx>
          <c:layout>
            <c:manualLayout>
              <c:xMode val="edge"/>
              <c:yMode val="edge"/>
              <c:x val="0.39735142167604603"/>
              <c:y val="0.8170446062534418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875"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625" b="1" i="0" u="none" strike="noStrike" baseline="0">
                    <a:solidFill>
                      <a:srgbClr val="000000"/>
                    </a:solidFill>
                    <a:latin typeface="Arial"/>
                    <a:ea typeface="Arial"/>
                    <a:cs typeface="Arial"/>
                  </a:defRPr>
                </a:pPr>
                <a:r>
                  <a:rPr lang="en-US"/>
                  <a:t>Operating Cash Flow</a:t>
                </a:r>
              </a:p>
            </c:rich>
          </c:tx>
          <c:layout>
            <c:manualLayout>
              <c:xMode val="edge"/>
              <c:yMode val="edge"/>
              <c:x val="4.304640401490499E-2"/>
              <c:y val="0.2305770054457566"/>
            </c:manualLayout>
          </c:layout>
          <c:overlay val="0"/>
          <c:spPr>
            <a:noFill/>
            <a:ln w="25400">
              <a:noFill/>
            </a:ln>
          </c:spPr>
        </c:title>
        <c:numFmt formatCode="&quot;$&quot;#,##0_);\(&quot;$&quot;#,##0\)" sourceLinked="0"/>
        <c:majorTickMark val="out"/>
        <c:minorTickMark val="none"/>
        <c:tickLblPos val="nextTo"/>
        <c:spPr>
          <a:ln w="3175">
            <a:solidFill>
              <a:srgbClr val="000000"/>
            </a:solidFill>
            <a:prstDash val="solid"/>
          </a:ln>
        </c:spPr>
        <c:txPr>
          <a:bodyPr rot="0" vert="horz"/>
          <a:lstStyle/>
          <a:p>
            <a:pPr>
              <a:defRPr sz="1875" b="0" i="0" u="none" strike="noStrike" baseline="0">
                <a:solidFill>
                  <a:srgbClr val="000000"/>
                </a:solidFill>
                <a:latin typeface="Arial"/>
                <a:ea typeface="Arial"/>
                <a:cs typeface="Arial"/>
              </a:defRPr>
            </a:pPr>
            <a:endParaRPr lang="ar-EG"/>
          </a:p>
        </c:txPr>
        <c:crossAx val="202509711"/>
        <c:crosses val="autoZero"/>
        <c:crossBetween val="midCat"/>
      </c:valAx>
      <c:spPr>
        <a:solidFill>
          <a:srgbClr val="C0C0C0"/>
        </a:solidFill>
        <a:ln w="12700">
          <a:solidFill>
            <a:srgbClr val="808080"/>
          </a:solidFill>
          <a:prstDash val="solid"/>
        </a:ln>
      </c:spPr>
    </c:plotArea>
    <c:legend>
      <c:legendPos val="r"/>
      <c:legendEntry>
        <c:idx val="0"/>
        <c:txPr>
          <a:bodyPr/>
          <a:lstStyle/>
          <a:p>
            <a:pPr>
              <a:defRPr sz="1100" b="0" i="0" u="none" strike="noStrike" baseline="0">
                <a:solidFill>
                  <a:srgbClr val="000000"/>
                </a:solidFill>
                <a:latin typeface="Arial"/>
                <a:ea typeface="Arial"/>
                <a:cs typeface="Arial"/>
              </a:defRPr>
            </a:pPr>
            <a:endParaRPr lang="ar-EG"/>
          </a:p>
        </c:txPr>
      </c:legendEntry>
      <c:legendEntry>
        <c:idx val="1"/>
        <c:txPr>
          <a:bodyPr/>
          <a:lstStyle/>
          <a:p>
            <a:pPr>
              <a:defRPr sz="1100" b="0" i="0" u="none" strike="noStrike" baseline="0">
                <a:solidFill>
                  <a:srgbClr val="000000"/>
                </a:solidFill>
                <a:latin typeface="Arial"/>
                <a:ea typeface="Arial"/>
                <a:cs typeface="Arial"/>
              </a:defRPr>
            </a:pPr>
            <a:endParaRPr lang="ar-EG"/>
          </a:p>
        </c:txPr>
      </c:legendEntry>
      <c:legendEntry>
        <c:idx val="2"/>
        <c:txPr>
          <a:bodyPr/>
          <a:lstStyle/>
          <a:p>
            <a:pPr>
              <a:defRPr sz="1100" b="0" i="0" u="none" strike="noStrike" baseline="0">
                <a:solidFill>
                  <a:srgbClr val="000000"/>
                </a:solidFill>
                <a:latin typeface="Arial"/>
                <a:ea typeface="Arial"/>
                <a:cs typeface="Arial"/>
              </a:defRPr>
            </a:pPr>
            <a:endParaRPr lang="ar-EG"/>
          </a:p>
        </c:txPr>
      </c:legendEntry>
      <c:legendEntry>
        <c:idx val="3"/>
        <c:txPr>
          <a:bodyPr/>
          <a:lstStyle/>
          <a:p>
            <a:pPr>
              <a:defRPr sz="1100" b="0" i="0" u="none" strike="noStrike" baseline="0">
                <a:solidFill>
                  <a:srgbClr val="000000"/>
                </a:solidFill>
                <a:latin typeface="Arial"/>
                <a:ea typeface="Arial"/>
                <a:cs typeface="Arial"/>
              </a:defRPr>
            </a:pPr>
            <a:endParaRPr lang="ar-EG"/>
          </a:p>
        </c:txPr>
      </c:legendEntry>
      <c:legendEntry>
        <c:idx val="4"/>
        <c:txPr>
          <a:bodyPr/>
          <a:lstStyle/>
          <a:p>
            <a:pPr>
              <a:defRPr sz="1100" b="0" i="0" u="none" strike="noStrike" baseline="0">
                <a:solidFill>
                  <a:srgbClr val="000000"/>
                </a:solidFill>
                <a:latin typeface="Arial"/>
                <a:ea typeface="Arial"/>
                <a:cs typeface="Arial"/>
              </a:defRPr>
            </a:pPr>
            <a:endParaRPr lang="ar-EG"/>
          </a:p>
        </c:txPr>
      </c:legendEntry>
      <c:legendEntry>
        <c:idx val="5"/>
        <c:txPr>
          <a:bodyPr/>
          <a:lstStyle/>
          <a:p>
            <a:pPr>
              <a:defRPr sz="1100" b="0" i="0" u="none" strike="noStrike" baseline="0">
                <a:solidFill>
                  <a:srgbClr val="000000"/>
                </a:solidFill>
                <a:latin typeface="Arial"/>
                <a:ea typeface="Arial"/>
                <a:cs typeface="Arial"/>
              </a:defRPr>
            </a:pPr>
            <a:endParaRPr lang="ar-EG"/>
          </a:p>
        </c:txPr>
      </c:legendEntry>
      <c:layout>
        <c:manualLayout>
          <c:xMode val="edge"/>
          <c:yMode val="edge"/>
          <c:x val="0.68874246423847985"/>
          <c:y val="0.36842195435354586"/>
          <c:w val="0.30353233600253521"/>
          <c:h val="0.36340941075689898"/>
        </c:manualLayout>
      </c:layout>
      <c:overlay val="0"/>
      <c:spPr>
        <a:solidFill>
          <a:srgbClr val="FFFFFF"/>
        </a:solidFill>
        <a:ln w="3175">
          <a:solidFill>
            <a:srgbClr val="000000"/>
          </a:solidFill>
          <a:prstDash val="solid"/>
        </a:ln>
      </c:spPr>
      <c:txPr>
        <a:bodyPr/>
        <a:lstStyle/>
        <a:p>
          <a:pPr>
            <a:defRPr sz="1495"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875"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Breakdown of Current Assets</a:t>
            </a:r>
          </a:p>
        </c:rich>
      </c:tx>
      <c:layout>
        <c:manualLayout>
          <c:xMode val="edge"/>
          <c:yMode val="edge"/>
          <c:x val="0.33013205282112845"/>
          <c:y val="4.5317287394506751E-2"/>
        </c:manualLayout>
      </c:layout>
      <c:overlay val="0"/>
      <c:spPr>
        <a:noFill/>
        <a:ln w="25400">
          <a:noFill/>
        </a:ln>
      </c:spPr>
    </c:title>
    <c:autoTitleDeleted val="0"/>
    <c:plotArea>
      <c:layout>
        <c:manualLayout>
          <c:layoutTarget val="inner"/>
          <c:xMode val="edge"/>
          <c:yMode val="edge"/>
          <c:x val="0.17767106842737096"/>
          <c:y val="0.25075565691627072"/>
          <c:w val="0.50060024009603843"/>
          <c:h val="0.4320248064942977"/>
        </c:manualLayout>
      </c:layout>
      <c:areaChart>
        <c:grouping val="stacked"/>
        <c:varyColors val="0"/>
        <c:ser>
          <c:idx val="0"/>
          <c:order val="0"/>
          <c:tx>
            <c:strRef>
              <c:f>'10 - Vertical Analysis'!$D$13</c:f>
              <c:strCache>
                <c:ptCount val="1"/>
                <c:pt idx="0">
                  <c:v>Cash and Cash Equivalents</c:v>
                </c:pt>
              </c:strCache>
            </c:strRef>
          </c:tx>
          <c:spPr>
            <a:solidFill>
              <a:srgbClr val="9999FF"/>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Analysis'!$F$13:$J$13</c:f>
              <c:numCache>
                <c:formatCode>0.00%</c:formatCode>
                <c:ptCount val="5"/>
                <c:pt idx="0">
                  <c:v>2.7269930020935047E-2</c:v>
                </c:pt>
                <c:pt idx="1">
                  <c:v>7.6578575662896997E-2</c:v>
                </c:pt>
                <c:pt idx="2">
                  <c:v>3.5788927052075356E-2</c:v>
                </c:pt>
                <c:pt idx="3">
                  <c:v>7.3816161064659935E-2</c:v>
                </c:pt>
                <c:pt idx="4">
                  <c:v>3.0074877982737273E-2</c:v>
                </c:pt>
              </c:numCache>
            </c:numRef>
          </c:val>
          <c:extLst>
            <c:ext xmlns:c16="http://schemas.microsoft.com/office/drawing/2014/chart" uri="{C3380CC4-5D6E-409C-BE32-E72D297353CC}">
              <c16:uniqueId val="{00000000-AF72-4D7F-B095-3EBFBDCD6B2A}"/>
            </c:ext>
          </c:extLst>
        </c:ser>
        <c:ser>
          <c:idx val="1"/>
          <c:order val="1"/>
          <c:tx>
            <c:strRef>
              <c:f>'10 - Vertical Analysis'!$D$14</c:f>
              <c:strCache>
                <c:ptCount val="1"/>
                <c:pt idx="0">
                  <c:v>Short Term Marketable Securities</c:v>
                </c:pt>
              </c:strCache>
            </c:strRef>
          </c:tx>
          <c:spPr>
            <a:solidFill>
              <a:srgbClr val="993366"/>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Analysis'!$F$14:$J$14</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1-AF72-4D7F-B095-3EBFBDCD6B2A}"/>
            </c:ext>
          </c:extLst>
        </c:ser>
        <c:ser>
          <c:idx val="2"/>
          <c:order val="2"/>
          <c:tx>
            <c:strRef>
              <c:f>'10 - Vertical Analysis'!$D$15</c:f>
              <c:strCache>
                <c:ptCount val="1"/>
                <c:pt idx="0">
                  <c:v>Accounts Receivable</c:v>
                </c:pt>
              </c:strCache>
            </c:strRef>
          </c:tx>
          <c:spPr>
            <a:solidFill>
              <a:srgbClr val="FFFFCC"/>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Analysis'!$F$15:$J$15</c:f>
              <c:numCache>
                <c:formatCode>0.00%</c:formatCode>
                <c:ptCount val="5"/>
                <c:pt idx="0">
                  <c:v>0.36828862169665533</c:v>
                </c:pt>
                <c:pt idx="1">
                  <c:v>0.15928323078136836</c:v>
                </c:pt>
                <c:pt idx="2">
                  <c:v>0.23417620141126547</c:v>
                </c:pt>
                <c:pt idx="3">
                  <c:v>0.23103550027477396</c:v>
                </c:pt>
                <c:pt idx="4">
                  <c:v>0.26797006227811176</c:v>
                </c:pt>
              </c:numCache>
            </c:numRef>
          </c:val>
          <c:extLst>
            <c:ext xmlns:c16="http://schemas.microsoft.com/office/drawing/2014/chart" uri="{C3380CC4-5D6E-409C-BE32-E72D297353CC}">
              <c16:uniqueId val="{00000002-AF72-4D7F-B095-3EBFBDCD6B2A}"/>
            </c:ext>
          </c:extLst>
        </c:ser>
        <c:ser>
          <c:idx val="3"/>
          <c:order val="3"/>
          <c:tx>
            <c:strRef>
              <c:f>'10 - Vertical Analysis'!$D$16</c:f>
              <c:strCache>
                <c:ptCount val="1"/>
                <c:pt idx="0">
                  <c:v>Inventory </c:v>
                </c:pt>
              </c:strCache>
            </c:strRef>
          </c:tx>
          <c:spPr>
            <a:solidFill>
              <a:srgbClr val="CCFFFF"/>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Analysis'!$F$16:$J$16</c:f>
              <c:numCache>
                <c:formatCode>0.00%</c:formatCode>
                <c:ptCount val="5"/>
                <c:pt idx="0">
                  <c:v>2.8711476115350573E-2</c:v>
                </c:pt>
                <c:pt idx="1">
                  <c:v>2.160870919328987E-2</c:v>
                </c:pt>
                <c:pt idx="2">
                  <c:v>3.3682759988574923E-2</c:v>
                </c:pt>
                <c:pt idx="3">
                  <c:v>5.1854447073787287E-2</c:v>
                </c:pt>
                <c:pt idx="4">
                  <c:v>0.12676205295274484</c:v>
                </c:pt>
              </c:numCache>
            </c:numRef>
          </c:val>
          <c:extLst>
            <c:ext xmlns:c16="http://schemas.microsoft.com/office/drawing/2014/chart" uri="{C3380CC4-5D6E-409C-BE32-E72D297353CC}">
              <c16:uniqueId val="{00000003-AF72-4D7F-B095-3EBFBDCD6B2A}"/>
            </c:ext>
          </c:extLst>
        </c:ser>
        <c:ser>
          <c:idx val="4"/>
          <c:order val="4"/>
          <c:tx>
            <c:strRef>
              <c:f>'10 - Vertical Analysis'!$D$17</c:f>
              <c:strCache>
                <c:ptCount val="1"/>
                <c:pt idx="0">
                  <c:v>Other Current Assets</c:v>
                </c:pt>
              </c:strCache>
            </c:strRef>
          </c:tx>
          <c:spPr>
            <a:solidFill>
              <a:srgbClr val="660066"/>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Analysis'!$F$17:$J$17</c:f>
              <c:numCache>
                <c:formatCode>0.00%</c:formatCode>
                <c:ptCount val="5"/>
                <c:pt idx="0">
                  <c:v>0.1269047827781839</c:v>
                </c:pt>
                <c:pt idx="1">
                  <c:v>0.1090759747945937</c:v>
                </c:pt>
                <c:pt idx="2">
                  <c:v>0.11027918916902081</c:v>
                </c:pt>
                <c:pt idx="3">
                  <c:v>0.10975181552181396</c:v>
                </c:pt>
                <c:pt idx="4">
                  <c:v>9.5030026815658281E-2</c:v>
                </c:pt>
              </c:numCache>
            </c:numRef>
          </c:val>
          <c:extLst>
            <c:ext xmlns:c16="http://schemas.microsoft.com/office/drawing/2014/chart" uri="{C3380CC4-5D6E-409C-BE32-E72D297353CC}">
              <c16:uniqueId val="{00000004-AF72-4D7F-B095-3EBFBDCD6B2A}"/>
            </c:ext>
          </c:extLst>
        </c:ser>
        <c:dLbls>
          <c:showLegendKey val="0"/>
          <c:showVal val="0"/>
          <c:showCatName val="0"/>
          <c:showSerName val="0"/>
          <c:showPercent val="0"/>
          <c:showBubbleSize val="0"/>
        </c:dLbls>
        <c:axId val="202490511"/>
        <c:axId val="1"/>
      </c:areaChart>
      <c:catAx>
        <c:axId val="202490511"/>
        <c:scaling>
          <c:orientation val="minMax"/>
        </c:scaling>
        <c:delete val="0"/>
        <c:axPos val="b"/>
        <c:title>
          <c:tx>
            <c:rich>
              <a:bodyPr/>
              <a:lstStyle/>
              <a:p>
                <a:pPr>
                  <a:defRPr sz="1650" b="1" i="0" u="none" strike="noStrike" baseline="0">
                    <a:solidFill>
                      <a:srgbClr val="000000"/>
                    </a:solidFill>
                    <a:latin typeface="Arial"/>
                    <a:ea typeface="Arial"/>
                    <a:cs typeface="Arial"/>
                  </a:defRPr>
                </a:pPr>
                <a:r>
                  <a:rPr lang="en-US"/>
                  <a:t>Periods</a:t>
                </a:r>
              </a:p>
            </c:rich>
          </c:tx>
          <c:layout>
            <c:manualLayout>
              <c:xMode val="edge"/>
              <c:yMode val="edge"/>
              <c:x val="0.37695078031212487"/>
              <c:y val="0.8398803930448585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65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650" b="1" i="0" u="none" strike="noStrike" baseline="0">
                    <a:solidFill>
                      <a:srgbClr val="000000"/>
                    </a:solidFill>
                    <a:latin typeface="Arial"/>
                    <a:ea typeface="Arial"/>
                    <a:cs typeface="Arial"/>
                  </a:defRPr>
                </a:pPr>
                <a:r>
                  <a:rPr lang="en-US"/>
                  <a:t>% of Total Assets</a:t>
                </a:r>
              </a:p>
            </c:rich>
          </c:tx>
          <c:layout>
            <c:manualLayout>
              <c:xMode val="edge"/>
              <c:yMode val="edge"/>
              <c:x val="1.920768307322929E-2"/>
              <c:y val="0.1873114545639612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50" b="0" i="0" u="none" strike="noStrike" baseline="0">
                <a:solidFill>
                  <a:srgbClr val="000000"/>
                </a:solidFill>
                <a:latin typeface="Arial"/>
                <a:ea typeface="Arial"/>
                <a:cs typeface="Arial"/>
              </a:defRPr>
            </a:pPr>
            <a:endParaRPr lang="ar-EG"/>
          </a:p>
        </c:txPr>
        <c:crossAx val="202490511"/>
        <c:crosses val="autoZero"/>
        <c:crossBetween val="midCat"/>
      </c:valAx>
      <c:spPr>
        <a:solidFill>
          <a:srgbClr val="C0C0C0"/>
        </a:solidFill>
        <a:ln w="12700">
          <a:solidFill>
            <a:srgbClr val="808080"/>
          </a:solidFill>
          <a:prstDash val="solid"/>
        </a:ln>
      </c:spPr>
    </c:plotArea>
    <c:legend>
      <c:legendPos val="r"/>
      <c:layout>
        <c:manualLayout>
          <c:xMode val="edge"/>
          <c:yMode val="edge"/>
          <c:x val="0.68067226890756305"/>
          <c:y val="0.39274982408572517"/>
          <c:w val="0.31092436974789917"/>
          <c:h val="0.36555945164902115"/>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65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200" b="1" i="0" u="none" strike="noStrike" baseline="0">
                <a:solidFill>
                  <a:srgbClr val="000000"/>
                </a:solidFill>
                <a:latin typeface="Arial"/>
                <a:ea typeface="Arial"/>
                <a:cs typeface="Arial"/>
              </a:defRPr>
            </a:pPr>
            <a:r>
              <a:rPr lang="en-US"/>
              <a:t>Breakdown of Current Liabilities</a:t>
            </a:r>
          </a:p>
        </c:rich>
      </c:tx>
      <c:layout>
        <c:manualLayout>
          <c:xMode val="edge"/>
          <c:yMode val="edge"/>
          <c:x val="0.22677938568410363"/>
          <c:y val="3.2786972728218726E-2"/>
        </c:manualLayout>
      </c:layout>
      <c:overlay val="0"/>
      <c:spPr>
        <a:noFill/>
        <a:ln w="25400">
          <a:noFill/>
        </a:ln>
      </c:spPr>
    </c:title>
    <c:autoTitleDeleted val="0"/>
    <c:plotArea>
      <c:layout>
        <c:manualLayout>
          <c:layoutTarget val="inner"/>
          <c:xMode val="edge"/>
          <c:yMode val="edge"/>
          <c:x val="0.22677938568410363"/>
          <c:y val="0.28142151591721076"/>
          <c:w val="0.50180970449248463"/>
          <c:h val="0.37158569091981225"/>
        </c:manualLayout>
      </c:layout>
      <c:areaChart>
        <c:grouping val="stacked"/>
        <c:varyColors val="0"/>
        <c:ser>
          <c:idx val="0"/>
          <c:order val="0"/>
          <c:tx>
            <c:strRef>
              <c:f>'10 - Vertical Analysis'!$D$28</c:f>
              <c:strCache>
                <c:ptCount val="1"/>
                <c:pt idx="0">
                  <c:v>Accounts Payable</c:v>
                </c:pt>
              </c:strCache>
            </c:strRef>
          </c:tx>
          <c:spPr>
            <a:solidFill>
              <a:srgbClr val="9999FF"/>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Analysis'!$F$28:$J$28</c:f>
              <c:numCache>
                <c:formatCode>0.00%</c:formatCode>
                <c:ptCount val="5"/>
                <c:pt idx="0">
                  <c:v>0.36165076369722382</c:v>
                </c:pt>
                <c:pt idx="1">
                  <c:v>0.36663625057120969</c:v>
                </c:pt>
                <c:pt idx="2">
                  <c:v>7.547229404351781E-2</c:v>
                </c:pt>
                <c:pt idx="3">
                  <c:v>6.4995728314131473E-2</c:v>
                </c:pt>
                <c:pt idx="4">
                  <c:v>5.189893241908649E-2</c:v>
                </c:pt>
              </c:numCache>
            </c:numRef>
          </c:val>
          <c:extLst>
            <c:ext xmlns:c16="http://schemas.microsoft.com/office/drawing/2014/chart" uri="{C3380CC4-5D6E-409C-BE32-E72D297353CC}">
              <c16:uniqueId val="{00000000-C4C9-4CE7-999B-D9D353CEB5F7}"/>
            </c:ext>
          </c:extLst>
        </c:ser>
        <c:ser>
          <c:idx val="1"/>
          <c:order val="1"/>
          <c:tx>
            <c:strRef>
              <c:f>'10 - Vertical Analysis'!$D$29</c:f>
              <c:strCache>
                <c:ptCount val="1"/>
                <c:pt idx="0">
                  <c:v>Short Term Borrowings</c:v>
                </c:pt>
              </c:strCache>
            </c:strRef>
          </c:tx>
          <c:spPr>
            <a:solidFill>
              <a:srgbClr val="993366"/>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Analysis'!$F$29:$J$29</c:f>
              <c:numCache>
                <c:formatCode>0.00%</c:formatCode>
                <c:ptCount val="5"/>
                <c:pt idx="0">
                  <c:v>0.14625599104146603</c:v>
                </c:pt>
                <c:pt idx="1">
                  <c:v>9.1799753090213751E-2</c:v>
                </c:pt>
                <c:pt idx="2">
                  <c:v>0.38301093639446049</c:v>
                </c:pt>
                <c:pt idx="3">
                  <c:v>0.36561234407601062</c:v>
                </c:pt>
                <c:pt idx="4">
                  <c:v>0.12767285001021067</c:v>
                </c:pt>
              </c:numCache>
            </c:numRef>
          </c:val>
          <c:extLst>
            <c:ext xmlns:c16="http://schemas.microsoft.com/office/drawing/2014/chart" uri="{C3380CC4-5D6E-409C-BE32-E72D297353CC}">
              <c16:uniqueId val="{00000001-C4C9-4CE7-999B-D9D353CEB5F7}"/>
            </c:ext>
          </c:extLst>
        </c:ser>
        <c:ser>
          <c:idx val="2"/>
          <c:order val="2"/>
          <c:tx>
            <c:strRef>
              <c:f>'10 - Vertical Analysis'!$D$30</c:f>
              <c:strCache>
                <c:ptCount val="1"/>
                <c:pt idx="0">
                  <c:v>Short Term Portion of LT Debt</c:v>
                </c:pt>
              </c:strCache>
            </c:strRef>
          </c:tx>
          <c:spPr>
            <a:solidFill>
              <a:srgbClr val="FFFFCC"/>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Analysis'!$F$30:$J$30</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2-C4C9-4CE7-999B-D9D353CEB5F7}"/>
            </c:ext>
          </c:extLst>
        </c:ser>
        <c:ser>
          <c:idx val="3"/>
          <c:order val="3"/>
          <c:tx>
            <c:strRef>
              <c:f>'10 - Vertical Analysis'!$D$31</c:f>
              <c:strCache>
                <c:ptCount val="1"/>
                <c:pt idx="0">
                  <c:v>Other Current Liabilities</c:v>
                </c:pt>
              </c:strCache>
            </c:strRef>
          </c:tx>
          <c:spPr>
            <a:solidFill>
              <a:srgbClr val="CCFFFF"/>
            </a:solidFill>
            <a:ln w="12700">
              <a:solidFill>
                <a:srgbClr val="000000"/>
              </a:solidFill>
              <a:prstDash val="solid"/>
            </a:ln>
          </c:spPr>
          <c:cat>
            <c:numRef>
              <c:f>'10 - Vertical Analysis'!$F$11:$J$11</c:f>
              <c:numCache>
                <c:formatCode>General</c:formatCode>
                <c:ptCount val="5"/>
                <c:pt idx="0">
                  <c:v>2005</c:v>
                </c:pt>
                <c:pt idx="1">
                  <c:v>2006</c:v>
                </c:pt>
                <c:pt idx="2">
                  <c:v>2007</c:v>
                </c:pt>
                <c:pt idx="3">
                  <c:v>2008</c:v>
                </c:pt>
                <c:pt idx="4">
                  <c:v>2009</c:v>
                </c:pt>
              </c:numCache>
            </c:numRef>
          </c:cat>
          <c:val>
            <c:numRef>
              <c:f>'10 - Vertical Analysis'!$F$31:$J$31</c:f>
              <c:numCache>
                <c:formatCode>0.00%</c:formatCode>
                <c:ptCount val="5"/>
                <c:pt idx="0">
                  <c:v>3.8843569001994045E-2</c:v>
                </c:pt>
                <c:pt idx="1">
                  <c:v>5.6741594614727379E-2</c:v>
                </c:pt>
                <c:pt idx="2">
                  <c:v>0.12421007893823616</c:v>
                </c:pt>
                <c:pt idx="3">
                  <c:v>0.17962149854697157</c:v>
                </c:pt>
                <c:pt idx="4">
                  <c:v>0.24577456540674791</c:v>
                </c:pt>
              </c:numCache>
            </c:numRef>
          </c:val>
          <c:extLst>
            <c:ext xmlns:c16="http://schemas.microsoft.com/office/drawing/2014/chart" uri="{C3380CC4-5D6E-409C-BE32-E72D297353CC}">
              <c16:uniqueId val="{00000003-C4C9-4CE7-999B-D9D353CEB5F7}"/>
            </c:ext>
          </c:extLst>
        </c:ser>
        <c:dLbls>
          <c:showLegendKey val="0"/>
          <c:showVal val="0"/>
          <c:showCatName val="0"/>
          <c:showSerName val="0"/>
          <c:showPercent val="0"/>
          <c:showBubbleSize val="0"/>
        </c:dLbls>
        <c:axId val="202510191"/>
        <c:axId val="1"/>
      </c:areaChart>
      <c:catAx>
        <c:axId val="202510191"/>
        <c:scaling>
          <c:orientation val="minMax"/>
        </c:scaling>
        <c:delete val="0"/>
        <c:axPos val="b"/>
        <c:title>
          <c:tx>
            <c:rich>
              <a:bodyPr/>
              <a:lstStyle/>
              <a:p>
                <a:pPr>
                  <a:defRPr sz="1850" b="1" i="0" u="none" strike="noStrike" baseline="0">
                    <a:solidFill>
                      <a:srgbClr val="000000"/>
                    </a:solidFill>
                    <a:latin typeface="Arial"/>
                    <a:ea typeface="Arial"/>
                    <a:cs typeface="Arial"/>
                  </a:defRPr>
                </a:pPr>
                <a:r>
                  <a:rPr lang="en-US"/>
                  <a:t>Periods</a:t>
                </a:r>
              </a:p>
            </c:rich>
          </c:tx>
          <c:layout>
            <c:manualLayout>
              <c:xMode val="edge"/>
              <c:yMode val="edge"/>
              <c:x val="0.41737057152499923"/>
              <c:y val="0.8087453272960619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85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850" b="1" i="0" u="none" strike="noStrike" baseline="0">
                    <a:solidFill>
                      <a:srgbClr val="000000"/>
                    </a:solidFill>
                    <a:latin typeface="Arial"/>
                    <a:ea typeface="Arial"/>
                    <a:cs typeface="Arial"/>
                  </a:defRPr>
                </a:pPr>
                <a:r>
                  <a:rPr lang="en-US"/>
                  <a:t>% of Total</a:t>
                </a:r>
              </a:p>
            </c:rich>
          </c:tx>
          <c:layout>
            <c:manualLayout>
              <c:xMode val="edge"/>
              <c:yMode val="edge"/>
              <c:x val="4.2219566483742699E-2"/>
              <c:y val="0.30054725000867166"/>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850" b="0" i="0" u="none" strike="noStrike" baseline="0">
                <a:solidFill>
                  <a:srgbClr val="000000"/>
                </a:solidFill>
                <a:latin typeface="Arial"/>
                <a:ea typeface="Arial"/>
                <a:cs typeface="Arial"/>
              </a:defRPr>
            </a:pPr>
            <a:endParaRPr lang="ar-EG"/>
          </a:p>
        </c:txPr>
        <c:crossAx val="202510191"/>
        <c:crosses val="autoZero"/>
        <c:crossBetween val="midCat"/>
      </c:valAx>
      <c:spPr>
        <a:solidFill>
          <a:srgbClr val="C0C0C0"/>
        </a:solidFill>
        <a:ln w="12700">
          <a:solidFill>
            <a:srgbClr val="808080"/>
          </a:solidFill>
          <a:prstDash val="solid"/>
        </a:ln>
      </c:spPr>
    </c:plotArea>
    <c:legend>
      <c:legendPos val="r"/>
      <c:layout>
        <c:manualLayout>
          <c:xMode val="edge"/>
          <c:yMode val="edge"/>
          <c:x val="0.78166511661329341"/>
          <c:y val="0.36338894773775759"/>
          <c:w val="0.21109783241871349"/>
          <c:h val="0.5081980772873903"/>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zero"/>
    <c:showDLblsOverMax val="0"/>
  </c:chart>
  <c:spPr>
    <a:solidFill>
      <a:srgbClr val="FFFFFF"/>
    </a:solidFill>
    <a:ln w="3175">
      <a:solidFill>
        <a:srgbClr val="000000"/>
      </a:solidFill>
      <a:prstDash val="solid"/>
    </a:ln>
  </c:spPr>
  <c:txPr>
    <a:bodyPr/>
    <a:lstStyle/>
    <a:p>
      <a:pPr>
        <a:defRPr sz="185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064596069800216"/>
          <c:y val="4.0816326530612242E-2"/>
        </c:manualLayout>
      </c:layout>
      <c:overlay val="0"/>
      <c:spPr>
        <a:noFill/>
        <a:ln w="25400">
          <a:noFill/>
        </a:ln>
      </c:spPr>
      <c:txPr>
        <a:bodyPr/>
        <a:lstStyle/>
        <a:p>
          <a:pPr>
            <a:defRPr sz="1200" b="0" i="0" u="none" strike="noStrike" baseline="0">
              <a:solidFill>
                <a:srgbClr val="000000"/>
              </a:solidFill>
              <a:latin typeface="Arial"/>
              <a:ea typeface="Arial"/>
              <a:cs typeface="Arial"/>
            </a:defRPr>
          </a:pPr>
          <a:endParaRPr lang="ar-EG"/>
        </a:p>
      </c:txPr>
    </c:title>
    <c:autoTitleDeleted val="0"/>
    <c:plotArea>
      <c:layout>
        <c:manualLayout>
          <c:layoutTarget val="inner"/>
          <c:xMode val="edge"/>
          <c:yMode val="edge"/>
          <c:x val="0.35053837058629578"/>
          <c:y val="0.25714285714285712"/>
          <c:w val="0.27741993745786597"/>
          <c:h val="0.41632653061224489"/>
        </c:manualLayout>
      </c:layout>
      <c:scatterChart>
        <c:scatterStyle val="lineMarker"/>
        <c:varyColors val="0"/>
        <c:ser>
          <c:idx val="0"/>
          <c:order val="0"/>
          <c:tx>
            <c:v>Total Revenues</c:v>
          </c:tx>
          <c:spPr>
            <a:ln w="19050">
              <a:noFill/>
            </a:ln>
          </c:spPr>
          <c:marker>
            <c:symbol val="diamond"/>
            <c:size val="5"/>
            <c:spPr>
              <a:solidFill>
                <a:srgbClr val="000080"/>
              </a:solidFill>
              <a:ln>
                <a:solidFill>
                  <a:srgbClr val="000080"/>
                </a:solidFill>
                <a:prstDash val="solid"/>
              </a:ln>
            </c:spPr>
          </c:marker>
          <c:xVal>
            <c:numRef>
              <c:f>'4 - Income Statement'!$D$1:$H$1</c:f>
              <c:numCache>
                <c:formatCode>General</c:formatCode>
                <c:ptCount val="5"/>
                <c:pt idx="0">
                  <c:v>2005</c:v>
                </c:pt>
                <c:pt idx="1">
                  <c:v>2006</c:v>
                </c:pt>
                <c:pt idx="2">
                  <c:v>2007</c:v>
                </c:pt>
                <c:pt idx="3">
                  <c:v>2008</c:v>
                </c:pt>
                <c:pt idx="4">
                  <c:v>2009</c:v>
                </c:pt>
              </c:numCache>
            </c:numRef>
          </c:xVal>
          <c:yVal>
            <c:numRef>
              <c:f>'4 - Income Statement'!$D$4:$H$4</c:f>
              <c:numCache>
                <c:formatCode>#,##0</c:formatCode>
                <c:ptCount val="5"/>
                <c:pt idx="0">
                  <c:v>417855564</c:v>
                </c:pt>
                <c:pt idx="1">
                  <c:v>318686269</c:v>
                </c:pt>
                <c:pt idx="2">
                  <c:v>356015524</c:v>
                </c:pt>
                <c:pt idx="3">
                  <c:v>558279860</c:v>
                </c:pt>
                <c:pt idx="4">
                  <c:v>780235738</c:v>
                </c:pt>
              </c:numCache>
            </c:numRef>
          </c:yVal>
          <c:smooth val="0"/>
          <c:extLst>
            <c:ext xmlns:c16="http://schemas.microsoft.com/office/drawing/2014/chart" uri="{C3380CC4-5D6E-409C-BE32-E72D297353CC}">
              <c16:uniqueId val="{00000000-48F5-4E06-9A19-5A378227031A}"/>
            </c:ext>
          </c:extLst>
        </c:ser>
        <c:dLbls>
          <c:showLegendKey val="0"/>
          <c:showVal val="0"/>
          <c:showCatName val="0"/>
          <c:showSerName val="0"/>
          <c:showPercent val="0"/>
          <c:showBubbleSize val="0"/>
        </c:dLbls>
        <c:axId val="1457537023"/>
        <c:axId val="1"/>
      </c:scatterChart>
      <c:valAx>
        <c:axId val="1457537023"/>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41935571941305322"/>
              <c:y val="0.8204081632653060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
        <c:crosses val="autoZero"/>
        <c:crossBetween val="midCat"/>
      </c:val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Total Revenues</a:t>
                </a:r>
              </a:p>
            </c:rich>
          </c:tx>
          <c:layout>
            <c:manualLayout>
              <c:xMode val="edge"/>
              <c:yMode val="edge"/>
              <c:x val="3.4408674413378727E-2"/>
              <c:y val="0.21224489795918366"/>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1457537023"/>
        <c:crosses val="autoZero"/>
        <c:crossBetween val="midCat"/>
      </c:valAx>
      <c:spPr>
        <a:solidFill>
          <a:srgbClr val="FFFFFF"/>
        </a:solidFill>
        <a:ln w="12700">
          <a:solidFill>
            <a:srgbClr val="FFFFFF"/>
          </a:solidFill>
          <a:prstDash val="solid"/>
        </a:ln>
      </c:spPr>
    </c:plotArea>
    <c:legend>
      <c:legendPos val="r"/>
      <c:layout>
        <c:manualLayout>
          <c:xMode val="edge"/>
          <c:yMode val="edge"/>
          <c:x val="0.69677565687091914"/>
          <c:y val="0.41632653061224489"/>
          <c:w val="0.28602210606121065"/>
          <c:h val="0.10204081632653061"/>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775" b="1" i="0" u="none" strike="noStrike" baseline="0">
                <a:solidFill>
                  <a:srgbClr val="000000"/>
                </a:solidFill>
                <a:latin typeface="Arial"/>
                <a:ea typeface="Arial"/>
                <a:cs typeface="Arial"/>
              </a:defRPr>
            </a:pPr>
            <a:r>
              <a:rPr lang="en-US"/>
              <a:t>Exponential Comparison</a:t>
            </a:r>
          </a:p>
        </c:rich>
      </c:tx>
      <c:layout>
        <c:manualLayout>
          <c:xMode val="edge"/>
          <c:yMode val="edge"/>
          <c:x val="0.23688990175207475"/>
          <c:y val="3.519061583577713E-2"/>
        </c:manualLayout>
      </c:layout>
      <c:overlay val="0"/>
      <c:spPr>
        <a:noFill/>
        <a:ln w="25400">
          <a:noFill/>
        </a:ln>
      </c:spPr>
    </c:title>
    <c:autoTitleDeleted val="0"/>
    <c:plotArea>
      <c:layout>
        <c:manualLayout>
          <c:layoutTarget val="inner"/>
          <c:xMode val="edge"/>
          <c:yMode val="edge"/>
          <c:x val="0.35804733241916642"/>
          <c:y val="0.2932551319648094"/>
          <c:w val="0.28571453799105201"/>
          <c:h val="0.35483870967741937"/>
        </c:manualLayout>
      </c:layout>
      <c:lineChart>
        <c:grouping val="standard"/>
        <c:varyColors val="0"/>
        <c:ser>
          <c:idx val="0"/>
          <c:order val="0"/>
          <c:tx>
            <c:strRef>
              <c:f>'13 - Pro Forma (Exp)'!$C$16</c:f>
              <c:strCache>
                <c:ptCount val="1"/>
                <c:pt idx="0">
                  <c:v>Total Revenues - Historical </c:v>
                </c:pt>
              </c:strCache>
            </c:strRef>
          </c:tx>
          <c:spPr>
            <a:ln w="12700">
              <a:solidFill>
                <a:srgbClr val="000080"/>
              </a:solidFill>
              <a:prstDash val="solid"/>
            </a:ln>
          </c:spPr>
          <c:marker>
            <c:symbol val="none"/>
          </c:marker>
          <c:cat>
            <c:numRef>
              <c:f>'13 - Pro Forma (Exp)'!$D$70:$H$70</c:f>
              <c:numCache>
                <c:formatCode>General</c:formatCode>
                <c:ptCount val="5"/>
                <c:pt idx="0">
                  <c:v>2010</c:v>
                </c:pt>
                <c:pt idx="1">
                  <c:v>2011</c:v>
                </c:pt>
                <c:pt idx="2">
                  <c:v>2012</c:v>
                </c:pt>
                <c:pt idx="3">
                  <c:v>2013</c:v>
                </c:pt>
                <c:pt idx="4">
                  <c:v>2014</c:v>
                </c:pt>
              </c:numCache>
            </c:numRef>
          </c:cat>
          <c:val>
            <c:numRef>
              <c:f>'13 - Pro Forma (Exp)'!$D$16:$H$16</c:f>
              <c:numCache>
                <c:formatCode>#,##0_);\(#,##0\)</c:formatCode>
                <c:ptCount val="5"/>
                <c:pt idx="0">
                  <c:v>417855564</c:v>
                </c:pt>
                <c:pt idx="1">
                  <c:v>318686269</c:v>
                </c:pt>
                <c:pt idx="2">
                  <c:v>356015524</c:v>
                </c:pt>
                <c:pt idx="3">
                  <c:v>558279860</c:v>
                </c:pt>
                <c:pt idx="4">
                  <c:v>780235738</c:v>
                </c:pt>
              </c:numCache>
            </c:numRef>
          </c:val>
          <c:smooth val="0"/>
          <c:extLst>
            <c:ext xmlns:c16="http://schemas.microsoft.com/office/drawing/2014/chart" uri="{C3380CC4-5D6E-409C-BE32-E72D297353CC}">
              <c16:uniqueId val="{00000000-5F58-4B0C-BEC4-067C342210A5}"/>
            </c:ext>
          </c:extLst>
        </c:ser>
        <c:ser>
          <c:idx val="1"/>
          <c:order val="1"/>
          <c:tx>
            <c:strRef>
              <c:f>'13 - Pro Forma (Exp)'!$C$17</c:f>
              <c:strCache>
                <c:ptCount val="1"/>
                <c:pt idx="0">
                  <c:v>Total Revenues - Exponential</c:v>
                </c:pt>
              </c:strCache>
            </c:strRef>
          </c:tx>
          <c:spPr>
            <a:ln w="12700">
              <a:solidFill>
                <a:srgbClr val="FF00FF"/>
              </a:solidFill>
              <a:prstDash val="solid"/>
            </a:ln>
          </c:spPr>
          <c:marker>
            <c:symbol val="none"/>
          </c:marker>
          <c:cat>
            <c:numRef>
              <c:f>'13 - Pro Forma (Exp)'!$D$70:$H$70</c:f>
              <c:numCache>
                <c:formatCode>General</c:formatCode>
                <c:ptCount val="5"/>
                <c:pt idx="0">
                  <c:v>2010</c:v>
                </c:pt>
                <c:pt idx="1">
                  <c:v>2011</c:v>
                </c:pt>
                <c:pt idx="2">
                  <c:v>2012</c:v>
                </c:pt>
                <c:pt idx="3">
                  <c:v>2013</c:v>
                </c:pt>
                <c:pt idx="4">
                  <c:v>2014</c:v>
                </c:pt>
              </c:numCache>
            </c:numRef>
          </c:cat>
          <c:val>
            <c:numRef>
              <c:f>'13 - Pro Forma (Exp)'!$D$17:$H$17</c:f>
              <c:numCache>
                <c:formatCode>#,##0_);\(#,##0\)</c:formatCode>
                <c:ptCount val="5"/>
                <c:pt idx="0">
                  <c:v>417855564</c:v>
                </c:pt>
                <c:pt idx="1">
                  <c:v>417855564</c:v>
                </c:pt>
                <c:pt idx="2">
                  <c:v>318686269</c:v>
                </c:pt>
                <c:pt idx="3">
                  <c:v>356015524</c:v>
                </c:pt>
                <c:pt idx="4">
                  <c:v>558279860</c:v>
                </c:pt>
              </c:numCache>
            </c:numRef>
          </c:val>
          <c:smooth val="0"/>
          <c:extLst>
            <c:ext xmlns:c16="http://schemas.microsoft.com/office/drawing/2014/chart" uri="{C3380CC4-5D6E-409C-BE32-E72D297353CC}">
              <c16:uniqueId val="{00000001-5F58-4B0C-BEC4-067C342210A5}"/>
            </c:ext>
          </c:extLst>
        </c:ser>
        <c:ser>
          <c:idx val="2"/>
          <c:order val="2"/>
          <c:tx>
            <c:strRef>
              <c:f>'13 - Pro Forma (Exp)'!$C$18</c:f>
              <c:strCache>
                <c:ptCount val="1"/>
                <c:pt idx="0">
                  <c:v>Total Revenues - Wt Moving Avg</c:v>
                </c:pt>
              </c:strCache>
            </c:strRef>
          </c:tx>
          <c:spPr>
            <a:ln w="12700">
              <a:solidFill>
                <a:srgbClr val="FFFF00"/>
              </a:solidFill>
              <a:prstDash val="solid"/>
            </a:ln>
          </c:spPr>
          <c:marker>
            <c:symbol val="none"/>
          </c:marker>
          <c:cat>
            <c:numRef>
              <c:f>'13 - Pro Forma (Exp)'!$D$70:$H$70</c:f>
              <c:numCache>
                <c:formatCode>General</c:formatCode>
                <c:ptCount val="5"/>
                <c:pt idx="0">
                  <c:v>2010</c:v>
                </c:pt>
                <c:pt idx="1">
                  <c:v>2011</c:v>
                </c:pt>
                <c:pt idx="2">
                  <c:v>2012</c:v>
                </c:pt>
                <c:pt idx="3">
                  <c:v>2013</c:v>
                </c:pt>
                <c:pt idx="4">
                  <c:v>2014</c:v>
                </c:pt>
              </c:numCache>
            </c:numRef>
          </c:cat>
          <c:val>
            <c:numRef>
              <c:f>'13 - Pro Forma (Exp)'!$I$18:$M$18</c:f>
              <c:numCache>
                <c:formatCode>#,##0_);\(#,##0\)</c:formatCode>
                <c:ptCount val="5"/>
                <c:pt idx="0">
                  <c:v>677647808.42499995</c:v>
                </c:pt>
                <c:pt idx="1">
                  <c:v>702844602.18287492</c:v>
                </c:pt>
                <c:pt idx="2">
                  <c:v>695465838.31543553</c:v>
                </c:pt>
                <c:pt idx="3" formatCode="#,##0">
                  <c:v>698481248.99990106</c:v>
                </c:pt>
                <c:pt idx="4" formatCode="#,##0">
                  <c:v>697324781.59837067</c:v>
                </c:pt>
              </c:numCache>
            </c:numRef>
          </c:val>
          <c:smooth val="0"/>
          <c:extLst>
            <c:ext xmlns:c16="http://schemas.microsoft.com/office/drawing/2014/chart" uri="{C3380CC4-5D6E-409C-BE32-E72D297353CC}">
              <c16:uniqueId val="{00000002-5F58-4B0C-BEC4-067C342210A5}"/>
            </c:ext>
          </c:extLst>
        </c:ser>
        <c:dLbls>
          <c:showLegendKey val="0"/>
          <c:showVal val="0"/>
          <c:showCatName val="0"/>
          <c:showSerName val="0"/>
          <c:showPercent val="0"/>
          <c:showBubbleSize val="0"/>
        </c:dLbls>
        <c:smooth val="0"/>
        <c:axId val="202491471"/>
        <c:axId val="1"/>
      </c:lineChart>
      <c:catAx>
        <c:axId val="202491471"/>
        <c:scaling>
          <c:orientation val="minMax"/>
        </c:scaling>
        <c:delete val="0"/>
        <c:axPos val="b"/>
        <c:title>
          <c:tx>
            <c:rich>
              <a:bodyPr/>
              <a:lstStyle/>
              <a:p>
                <a:pPr>
                  <a:defRPr sz="1475" b="1" i="0" u="none" strike="noStrike" baseline="0">
                    <a:solidFill>
                      <a:srgbClr val="000000"/>
                    </a:solidFill>
                    <a:latin typeface="Arial"/>
                    <a:ea typeface="Arial"/>
                    <a:cs typeface="Arial"/>
                  </a:defRPr>
                </a:pPr>
                <a:r>
                  <a:rPr lang="en-US"/>
                  <a:t>Periods</a:t>
                </a:r>
              </a:p>
            </c:rich>
          </c:tx>
          <c:layout>
            <c:manualLayout>
              <c:xMode val="edge"/>
              <c:yMode val="edge"/>
              <c:x val="0.43038012684728083"/>
              <c:y val="0.8504398826979472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1475" b="0" i="0" u="none" strike="noStrike" baseline="0">
                <a:solidFill>
                  <a:srgbClr val="000000"/>
                </a:solidFill>
                <a:latin typeface="Arial"/>
                <a:ea typeface="Arial"/>
                <a:cs typeface="Arial"/>
              </a:defRPr>
            </a:pPr>
            <a:endParaRPr lang="ar-EG"/>
          </a:p>
        </c:txPr>
        <c:crossAx val="1"/>
        <c:crosses val="autoZero"/>
        <c:auto val="1"/>
        <c:lblAlgn val="ctr"/>
        <c:lblOffset val="100"/>
        <c:tickLblSkip val="2"/>
        <c:tickMarkSkip val="1"/>
        <c:noMultiLvlLbl val="0"/>
      </c:catAx>
      <c:valAx>
        <c:axId val="1"/>
        <c:scaling>
          <c:orientation val="minMax"/>
        </c:scaling>
        <c:delete val="0"/>
        <c:axPos val="l"/>
        <c:title>
          <c:tx>
            <c:rich>
              <a:bodyPr/>
              <a:lstStyle/>
              <a:p>
                <a:pPr>
                  <a:defRPr sz="1475" b="1" i="0" u="none" strike="noStrike" baseline="0">
                    <a:solidFill>
                      <a:srgbClr val="000000"/>
                    </a:solidFill>
                    <a:latin typeface="Arial"/>
                    <a:ea typeface="Arial"/>
                    <a:cs typeface="Arial"/>
                  </a:defRPr>
                </a:pPr>
                <a:r>
                  <a:rPr lang="en-US"/>
                  <a:t>Total Revenues</a:t>
                </a:r>
              </a:p>
            </c:rich>
          </c:tx>
          <c:layout>
            <c:manualLayout>
              <c:xMode val="edge"/>
              <c:yMode val="edge"/>
              <c:x val="2.8933117771245773E-2"/>
              <c:y val="0.24633431085043989"/>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475" b="0" i="0" u="none" strike="noStrike" baseline="0">
                <a:solidFill>
                  <a:srgbClr val="000000"/>
                </a:solidFill>
                <a:latin typeface="Arial"/>
                <a:ea typeface="Arial"/>
                <a:cs typeface="Arial"/>
              </a:defRPr>
            </a:pPr>
            <a:endParaRPr lang="ar-EG"/>
          </a:p>
        </c:txPr>
        <c:crossAx val="202491471"/>
        <c:crosses val="autoZero"/>
        <c:crossBetween val="between"/>
      </c:valAx>
      <c:spPr>
        <a:solidFill>
          <a:srgbClr val="FFFFFF"/>
        </a:solidFill>
        <a:ln w="12700">
          <a:solidFill>
            <a:srgbClr val="FFFFFF"/>
          </a:solidFill>
          <a:prstDash val="solid"/>
        </a:ln>
      </c:spPr>
    </c:plotArea>
    <c:legend>
      <c:legendPos val="r"/>
      <c:layout>
        <c:manualLayout>
          <c:xMode val="edge"/>
          <c:yMode val="edge"/>
          <c:x val="0.66365338887794989"/>
          <c:y val="0.25513196480938416"/>
          <c:w val="0.32188093520510919"/>
          <c:h val="0.6539589442815249"/>
        </c:manualLayout>
      </c:layout>
      <c:overlay val="0"/>
      <c:spPr>
        <a:solidFill>
          <a:srgbClr val="FFFFFF"/>
        </a:solidFill>
        <a:ln w="3175">
          <a:solidFill>
            <a:srgbClr val="000000"/>
          </a:solidFill>
          <a:prstDash val="solid"/>
        </a:ln>
      </c:spPr>
      <c:txPr>
        <a:bodyPr/>
        <a:lstStyle/>
        <a:p>
          <a:pPr>
            <a:defRPr sz="1355"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475"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Forecast Comparisons</a:t>
            </a:r>
          </a:p>
        </c:rich>
      </c:tx>
      <c:layout>
        <c:manualLayout>
          <c:xMode val="edge"/>
          <c:yMode val="edge"/>
          <c:x val="0.26494049674397796"/>
          <c:y val="3.2786972728218726E-2"/>
        </c:manualLayout>
      </c:layout>
      <c:overlay val="0"/>
      <c:spPr>
        <a:noFill/>
        <a:ln w="25400">
          <a:noFill/>
        </a:ln>
      </c:spPr>
    </c:title>
    <c:autoTitleDeleted val="0"/>
    <c:plotArea>
      <c:layout>
        <c:manualLayout>
          <c:layoutTarget val="inner"/>
          <c:xMode val="edge"/>
          <c:yMode val="edge"/>
          <c:x val="0.32470151104713085"/>
          <c:y val="0.2158475704607733"/>
          <c:w val="0.31274930818650026"/>
          <c:h val="0.51093032501474189"/>
        </c:manualLayout>
      </c:layout>
      <c:lineChart>
        <c:grouping val="standard"/>
        <c:varyColors val="0"/>
        <c:ser>
          <c:idx val="0"/>
          <c:order val="0"/>
          <c:tx>
            <c:strRef>
              <c:f>'15 -Budget Analysis'!$C$15</c:f>
              <c:strCache>
                <c:ptCount val="1"/>
                <c:pt idx="0">
                  <c:v>Simple Projection Model</c:v>
                </c:pt>
              </c:strCache>
            </c:strRef>
          </c:tx>
          <c:spPr>
            <a:ln w="12700">
              <a:solidFill>
                <a:srgbClr val="000080"/>
              </a:solidFill>
              <a:prstDash val="solid"/>
            </a:ln>
          </c:spPr>
          <c:marker>
            <c:symbol val="none"/>
          </c:marker>
          <c:cat>
            <c:numRef>
              <c:f>'15 -Budget Analysis'!$D$12:$H$12</c:f>
              <c:numCache>
                <c:formatCode>General</c:formatCode>
                <c:ptCount val="5"/>
                <c:pt idx="0">
                  <c:v>2010</c:v>
                </c:pt>
                <c:pt idx="1">
                  <c:v>2011</c:v>
                </c:pt>
                <c:pt idx="2">
                  <c:v>2012</c:v>
                </c:pt>
                <c:pt idx="3">
                  <c:v>2013</c:v>
                </c:pt>
                <c:pt idx="4">
                  <c:v>2014</c:v>
                </c:pt>
              </c:numCache>
            </c:numRef>
          </c:cat>
          <c:val>
            <c:numRef>
              <c:f>'15 -Budget Analysis'!$D$15:$H$15</c:f>
              <c:numCache>
                <c:formatCode>#,##0</c:formatCode>
                <c:ptCount val="5"/>
                <c:pt idx="0">
                  <c:v>873864026.56000006</c:v>
                </c:pt>
                <c:pt idx="1">
                  <c:v>978727709.74720013</c:v>
                </c:pt>
                <c:pt idx="2">
                  <c:v>1096175034.9168642</c:v>
                </c:pt>
                <c:pt idx="3">
                  <c:v>1227716039.1068881</c:v>
                </c:pt>
                <c:pt idx="4">
                  <c:v>1375041963.7997148</c:v>
                </c:pt>
              </c:numCache>
            </c:numRef>
          </c:val>
          <c:smooth val="0"/>
          <c:extLst>
            <c:ext xmlns:c16="http://schemas.microsoft.com/office/drawing/2014/chart" uri="{C3380CC4-5D6E-409C-BE32-E72D297353CC}">
              <c16:uniqueId val="{00000000-B11D-4EA5-97BF-1E85C4F5A736}"/>
            </c:ext>
          </c:extLst>
        </c:ser>
        <c:ser>
          <c:idx val="1"/>
          <c:order val="1"/>
          <c:tx>
            <c:strRef>
              <c:f>'15 -Budget Analysis'!$C$16</c:f>
              <c:strCache>
                <c:ptCount val="1"/>
                <c:pt idx="0">
                  <c:v>Linear Trend Model</c:v>
                </c:pt>
              </c:strCache>
            </c:strRef>
          </c:tx>
          <c:spPr>
            <a:ln w="12700">
              <a:solidFill>
                <a:srgbClr val="FF00FF"/>
              </a:solidFill>
              <a:prstDash val="solid"/>
            </a:ln>
          </c:spPr>
          <c:marker>
            <c:symbol val="none"/>
          </c:marker>
          <c:cat>
            <c:numRef>
              <c:f>'15 -Budget Analysis'!$D$12:$H$12</c:f>
              <c:numCache>
                <c:formatCode>General</c:formatCode>
                <c:ptCount val="5"/>
                <c:pt idx="0">
                  <c:v>2010</c:v>
                </c:pt>
                <c:pt idx="1">
                  <c:v>2011</c:v>
                </c:pt>
                <c:pt idx="2">
                  <c:v>2012</c:v>
                </c:pt>
                <c:pt idx="3">
                  <c:v>2013</c:v>
                </c:pt>
                <c:pt idx="4">
                  <c:v>2014</c:v>
                </c:pt>
              </c:numCache>
            </c:numRef>
          </c:cat>
          <c:val>
            <c:numRef>
              <c:f>'15 -Budget Analysis'!$D$16:$H$16</c:f>
              <c:numCache>
                <c:formatCode>#,##0_);\(#,##0\)</c:formatCode>
                <c:ptCount val="5"/>
                <c:pt idx="0">
                  <c:v>775520772.69998169</c:v>
                </c:pt>
                <c:pt idx="1">
                  <c:v>871956166.6000061</c:v>
                </c:pt>
                <c:pt idx="2">
                  <c:v>968391560.5</c:v>
                </c:pt>
                <c:pt idx="3">
                  <c:v>1064826954.3999939</c:v>
                </c:pt>
                <c:pt idx="4">
                  <c:v>1161262348.2999878</c:v>
                </c:pt>
              </c:numCache>
            </c:numRef>
          </c:val>
          <c:smooth val="0"/>
          <c:extLst>
            <c:ext xmlns:c16="http://schemas.microsoft.com/office/drawing/2014/chart" uri="{C3380CC4-5D6E-409C-BE32-E72D297353CC}">
              <c16:uniqueId val="{00000001-B11D-4EA5-97BF-1E85C4F5A736}"/>
            </c:ext>
          </c:extLst>
        </c:ser>
        <c:ser>
          <c:idx val="2"/>
          <c:order val="2"/>
          <c:tx>
            <c:strRef>
              <c:f>'15 -Budget Analysis'!$C$17</c:f>
              <c:strCache>
                <c:ptCount val="1"/>
                <c:pt idx="0">
                  <c:v>Wt Moving Avg Model</c:v>
                </c:pt>
              </c:strCache>
            </c:strRef>
          </c:tx>
          <c:spPr>
            <a:ln w="12700">
              <a:solidFill>
                <a:srgbClr val="FFFF00"/>
              </a:solidFill>
              <a:prstDash val="solid"/>
            </a:ln>
          </c:spPr>
          <c:marker>
            <c:symbol val="none"/>
          </c:marker>
          <c:cat>
            <c:numRef>
              <c:f>'15 -Budget Analysis'!$D$12:$H$12</c:f>
              <c:numCache>
                <c:formatCode>General</c:formatCode>
                <c:ptCount val="5"/>
                <c:pt idx="0">
                  <c:v>2010</c:v>
                </c:pt>
                <c:pt idx="1">
                  <c:v>2011</c:v>
                </c:pt>
                <c:pt idx="2">
                  <c:v>2012</c:v>
                </c:pt>
                <c:pt idx="3">
                  <c:v>2013</c:v>
                </c:pt>
                <c:pt idx="4">
                  <c:v>2014</c:v>
                </c:pt>
              </c:numCache>
            </c:numRef>
          </c:cat>
          <c:val>
            <c:numRef>
              <c:f>'15 -Budget Analysis'!$D$17:$H$17</c:f>
              <c:numCache>
                <c:formatCode>#,##0_);\(#,##0\)</c:formatCode>
                <c:ptCount val="5"/>
                <c:pt idx="0">
                  <c:v>677647808.42499995</c:v>
                </c:pt>
                <c:pt idx="1">
                  <c:v>702844602.18287492</c:v>
                </c:pt>
                <c:pt idx="2">
                  <c:v>695465838.31543553</c:v>
                </c:pt>
                <c:pt idx="3">
                  <c:v>698481248.99990106</c:v>
                </c:pt>
                <c:pt idx="4">
                  <c:v>697324781.59837067</c:v>
                </c:pt>
              </c:numCache>
            </c:numRef>
          </c:val>
          <c:smooth val="0"/>
          <c:extLst>
            <c:ext xmlns:c16="http://schemas.microsoft.com/office/drawing/2014/chart" uri="{C3380CC4-5D6E-409C-BE32-E72D297353CC}">
              <c16:uniqueId val="{00000002-B11D-4EA5-97BF-1E85C4F5A736}"/>
            </c:ext>
          </c:extLst>
        </c:ser>
        <c:ser>
          <c:idx val="3"/>
          <c:order val="3"/>
          <c:tx>
            <c:strRef>
              <c:f>'15 -Budget Analysis'!$C$18</c:f>
              <c:strCache>
                <c:ptCount val="1"/>
                <c:pt idx="0">
                  <c:v>Declining Growth Model</c:v>
                </c:pt>
              </c:strCache>
            </c:strRef>
          </c:tx>
          <c:spPr>
            <a:ln w="12700">
              <a:solidFill>
                <a:srgbClr val="00FFFF"/>
              </a:solidFill>
              <a:prstDash val="solid"/>
            </a:ln>
          </c:spPr>
          <c:marker>
            <c:symbol val="none"/>
          </c:marker>
          <c:cat>
            <c:numRef>
              <c:f>'15 -Budget Analysis'!$D$12:$H$12</c:f>
              <c:numCache>
                <c:formatCode>General</c:formatCode>
                <c:ptCount val="5"/>
                <c:pt idx="0">
                  <c:v>2010</c:v>
                </c:pt>
                <c:pt idx="1">
                  <c:v>2011</c:v>
                </c:pt>
                <c:pt idx="2">
                  <c:v>2012</c:v>
                </c:pt>
                <c:pt idx="3">
                  <c:v>2013</c:v>
                </c:pt>
                <c:pt idx="4">
                  <c:v>2014</c:v>
                </c:pt>
              </c:numCache>
            </c:numRef>
          </c:cat>
          <c:val>
            <c:numRef>
              <c:f>'15 -Budget Analysis'!$D$18:$H$18</c:f>
              <c:numCache>
                <c:formatCode>#,##0_);\(#,##0\)</c:formatCode>
                <c:ptCount val="5"/>
                <c:pt idx="0">
                  <c:v>842654597.04000008</c:v>
                </c:pt>
                <c:pt idx="1">
                  <c:v>893213872.86240017</c:v>
                </c:pt>
                <c:pt idx="2">
                  <c:v>928942427.77689624</c:v>
                </c:pt>
                <c:pt idx="3">
                  <c:v>942876564.19354963</c:v>
                </c:pt>
                <c:pt idx="4">
                  <c:v>31000</c:v>
                </c:pt>
              </c:numCache>
            </c:numRef>
          </c:val>
          <c:smooth val="0"/>
          <c:extLst>
            <c:ext xmlns:c16="http://schemas.microsoft.com/office/drawing/2014/chart" uri="{C3380CC4-5D6E-409C-BE32-E72D297353CC}">
              <c16:uniqueId val="{00000003-B11D-4EA5-97BF-1E85C4F5A736}"/>
            </c:ext>
          </c:extLst>
        </c:ser>
        <c:ser>
          <c:idx val="4"/>
          <c:order val="4"/>
          <c:tx>
            <c:strRef>
              <c:f>'15 -Budget Analysis'!$C$19</c:f>
              <c:strCache>
                <c:ptCount val="1"/>
                <c:pt idx="0">
                  <c:v>Historical Data</c:v>
                </c:pt>
              </c:strCache>
            </c:strRef>
          </c:tx>
          <c:spPr>
            <a:ln w="12700">
              <a:solidFill>
                <a:srgbClr val="800080"/>
              </a:solidFill>
              <a:prstDash val="solid"/>
            </a:ln>
          </c:spPr>
          <c:marker>
            <c:symbol val="none"/>
          </c:marker>
          <c:cat>
            <c:numRef>
              <c:f>'15 -Budget Analysis'!$D$12:$H$12</c:f>
              <c:numCache>
                <c:formatCode>General</c:formatCode>
                <c:ptCount val="5"/>
                <c:pt idx="0">
                  <c:v>2010</c:v>
                </c:pt>
                <c:pt idx="1">
                  <c:v>2011</c:v>
                </c:pt>
                <c:pt idx="2">
                  <c:v>2012</c:v>
                </c:pt>
                <c:pt idx="3">
                  <c:v>2013</c:v>
                </c:pt>
                <c:pt idx="4">
                  <c:v>2014</c:v>
                </c:pt>
              </c:numCache>
            </c:numRef>
          </c:cat>
          <c:val>
            <c:numRef>
              <c:f>'15 -Budget Analysis'!$D$19:$H$19</c:f>
              <c:numCache>
                <c:formatCode>#,##0_);\(#,##0\)</c:formatCode>
                <c:ptCount val="5"/>
                <c:pt idx="0">
                  <c:v>417855564</c:v>
                </c:pt>
                <c:pt idx="1">
                  <c:v>318686269</c:v>
                </c:pt>
                <c:pt idx="2">
                  <c:v>356015524</c:v>
                </c:pt>
                <c:pt idx="3">
                  <c:v>558279860</c:v>
                </c:pt>
                <c:pt idx="4">
                  <c:v>780235738</c:v>
                </c:pt>
              </c:numCache>
            </c:numRef>
          </c:val>
          <c:smooth val="0"/>
          <c:extLst>
            <c:ext xmlns:c16="http://schemas.microsoft.com/office/drawing/2014/chart" uri="{C3380CC4-5D6E-409C-BE32-E72D297353CC}">
              <c16:uniqueId val="{00000004-B11D-4EA5-97BF-1E85C4F5A736}"/>
            </c:ext>
          </c:extLst>
        </c:ser>
        <c:dLbls>
          <c:showLegendKey val="0"/>
          <c:showVal val="0"/>
          <c:showCatName val="0"/>
          <c:showSerName val="0"/>
          <c:showPercent val="0"/>
          <c:showBubbleSize val="0"/>
        </c:dLbls>
        <c:smooth val="0"/>
        <c:axId val="202493391"/>
        <c:axId val="1"/>
      </c:lineChart>
      <c:catAx>
        <c:axId val="202493391"/>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Periods</a:t>
                </a:r>
              </a:p>
            </c:rich>
          </c:tx>
          <c:layout>
            <c:manualLayout>
              <c:xMode val="edge"/>
              <c:yMode val="edge"/>
              <c:x val="0.41633506631196532"/>
              <c:y val="0.879783768207202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1200" b="0" i="0" u="none" strike="noStrike" baseline="0">
                <a:solidFill>
                  <a:srgbClr val="000000"/>
                </a:solidFill>
                <a:latin typeface="Arial"/>
                <a:ea typeface="Arial"/>
                <a:cs typeface="Arial"/>
              </a:defRPr>
            </a:pPr>
            <a:endParaRPr lang="ar-EG"/>
          </a:p>
        </c:txPr>
        <c:crossAx val="1"/>
        <c:crosses val="autoZero"/>
        <c:auto val="1"/>
        <c:lblAlgn val="ctr"/>
        <c:lblOffset val="100"/>
        <c:tickLblSkip val="1"/>
        <c:tickMarkSkip val="1"/>
        <c:noMultiLvlLbl val="0"/>
      </c:catAx>
      <c:valAx>
        <c:axId val="1"/>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Total Revenues</a:t>
                </a:r>
              </a:p>
            </c:rich>
          </c:tx>
          <c:layout>
            <c:manualLayout>
              <c:xMode val="edge"/>
              <c:yMode val="edge"/>
              <c:x val="3.1872540961681559E-2"/>
              <c:y val="0.30054725000867166"/>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ar-EG"/>
          </a:p>
        </c:txPr>
        <c:crossAx val="202493391"/>
        <c:crosses val="autoZero"/>
        <c:crossBetween val="between"/>
      </c:valAx>
      <c:spPr>
        <a:solidFill>
          <a:srgbClr val="FFFFFF"/>
        </a:solidFill>
        <a:ln w="12700">
          <a:solidFill>
            <a:srgbClr val="FFFFFF"/>
          </a:solidFill>
          <a:prstDash val="solid"/>
        </a:ln>
      </c:spPr>
    </c:plotArea>
    <c:legend>
      <c:legendPos val="r"/>
      <c:layout>
        <c:manualLayout>
          <c:xMode val="edge"/>
          <c:yMode val="edge"/>
          <c:x val="0.65936319114478725"/>
          <c:y val="0.27595702046250764"/>
          <c:w val="0.32470151104713085"/>
          <c:h val="0.59016550910793708"/>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100" b="1" i="0" u="none" strike="noStrike" baseline="0">
                <a:solidFill>
                  <a:srgbClr val="000000"/>
                </a:solidFill>
                <a:latin typeface="Arial"/>
                <a:ea typeface="Arial"/>
                <a:cs typeface="Arial"/>
              </a:defRPr>
            </a:pPr>
            <a:r>
              <a:rPr lang="en-US"/>
              <a:t>Non Linear Trends</a:t>
            </a:r>
          </a:p>
        </c:rich>
      </c:tx>
      <c:layout>
        <c:manualLayout>
          <c:xMode val="edge"/>
          <c:yMode val="edge"/>
          <c:x val="0.30474732006125577"/>
          <c:y val="3.017241379310345E-2"/>
        </c:manualLayout>
      </c:layout>
      <c:overlay val="0"/>
      <c:spPr>
        <a:noFill/>
        <a:ln w="25400">
          <a:noFill/>
        </a:ln>
      </c:spPr>
    </c:title>
    <c:autoTitleDeleted val="0"/>
    <c:plotArea>
      <c:layout>
        <c:manualLayout>
          <c:layoutTarget val="inner"/>
          <c:xMode val="edge"/>
          <c:yMode val="edge"/>
          <c:x val="0.33690658499234305"/>
          <c:y val="0.25215517241379309"/>
          <c:w val="0.30627871362940273"/>
          <c:h val="0.55818965517241381"/>
        </c:manualLayout>
      </c:layout>
      <c:lineChart>
        <c:grouping val="standard"/>
        <c:varyColors val="0"/>
        <c:ser>
          <c:idx val="0"/>
          <c:order val="0"/>
          <c:tx>
            <c:strRef>
              <c:f>'15 -Budget Analysis'!$C$115</c:f>
              <c:strCache>
                <c:ptCount val="1"/>
                <c:pt idx="0">
                  <c:v>Logarithmic Trendline</c:v>
                </c:pt>
              </c:strCache>
            </c:strRef>
          </c:tx>
          <c:spPr>
            <a:ln w="12700">
              <a:solidFill>
                <a:srgbClr val="000080"/>
              </a:solidFill>
              <a:prstDash val="solid"/>
            </a:ln>
          </c:spPr>
          <c:marker>
            <c:symbol val="none"/>
          </c:marker>
          <c:cat>
            <c:numRef>
              <c:f>'15 -Budget Analysis'!$D$114:$M$114</c:f>
              <c:numCache>
                <c:formatCode>General</c:formatCode>
                <c:ptCount val="10"/>
                <c:pt idx="0">
                  <c:v>1996</c:v>
                </c:pt>
                <c:pt idx="1">
                  <c:v>1997</c:v>
                </c:pt>
                <c:pt idx="2">
                  <c:v>1998</c:v>
                </c:pt>
                <c:pt idx="3">
                  <c:v>1999</c:v>
                </c:pt>
                <c:pt idx="4">
                  <c:v>2000</c:v>
                </c:pt>
                <c:pt idx="5">
                  <c:v>2001</c:v>
                </c:pt>
                <c:pt idx="6">
                  <c:v>2002</c:v>
                </c:pt>
                <c:pt idx="7">
                  <c:v>2003</c:v>
                </c:pt>
                <c:pt idx="8">
                  <c:v>2004</c:v>
                </c:pt>
                <c:pt idx="9">
                  <c:v>2005</c:v>
                </c:pt>
              </c:numCache>
            </c:numRef>
          </c:cat>
          <c:val>
            <c:numRef>
              <c:f>'15 -Budget Analysis'!$D$115:$M$115</c:f>
              <c:numCache>
                <c:formatCode>#,##0_);\(#,##0\)</c:formatCode>
                <c:ptCount val="10"/>
                <c:pt idx="0">
                  <c:v>-300135400.15630972</c:v>
                </c:pt>
                <c:pt idx="1">
                  <c:v>-165429928.66527322</c:v>
                </c:pt>
                <c:pt idx="2">
                  <c:v>-86632279.201054037</c:v>
                </c:pt>
                <c:pt idx="3">
                  <c:v>-30724457.174236715</c:v>
                </c:pt>
                <c:pt idx="4">
                  <c:v>12641018.633776605</c:v>
                </c:pt>
                <c:pt idx="5">
                  <c:v>48073192.289982438</c:v>
                </c:pt>
                <c:pt idx="6">
                  <c:v>78030668.262141883</c:v>
                </c:pt>
                <c:pt idx="7">
                  <c:v>103981014.31679982</c:v>
                </c:pt>
                <c:pt idx="8">
                  <c:v>126870841.75420165</c:v>
                </c:pt>
                <c:pt idx="9">
                  <c:v>147346490.1248132</c:v>
                </c:pt>
              </c:numCache>
            </c:numRef>
          </c:val>
          <c:smooth val="0"/>
          <c:extLst>
            <c:ext xmlns:c16="http://schemas.microsoft.com/office/drawing/2014/chart" uri="{C3380CC4-5D6E-409C-BE32-E72D297353CC}">
              <c16:uniqueId val="{00000000-9C0A-464B-83D6-5246104CA914}"/>
            </c:ext>
          </c:extLst>
        </c:ser>
        <c:ser>
          <c:idx val="1"/>
          <c:order val="1"/>
          <c:tx>
            <c:strRef>
              <c:f>'15 -Budget Analysis'!$C$116</c:f>
              <c:strCache>
                <c:ptCount val="1"/>
                <c:pt idx="0">
                  <c:v>Power Trendline</c:v>
                </c:pt>
              </c:strCache>
            </c:strRef>
          </c:tx>
          <c:spPr>
            <a:ln w="12700">
              <a:solidFill>
                <a:srgbClr val="FF00FF"/>
              </a:solidFill>
              <a:prstDash val="solid"/>
            </a:ln>
          </c:spPr>
          <c:marker>
            <c:symbol val="none"/>
          </c:marker>
          <c:cat>
            <c:numRef>
              <c:f>'15 -Budget Analysis'!$D$114:$M$114</c:f>
              <c:numCache>
                <c:formatCode>General</c:formatCode>
                <c:ptCount val="10"/>
                <c:pt idx="0">
                  <c:v>1996</c:v>
                </c:pt>
                <c:pt idx="1">
                  <c:v>1997</c:v>
                </c:pt>
                <c:pt idx="2">
                  <c:v>1998</c:v>
                </c:pt>
                <c:pt idx="3">
                  <c:v>1999</c:v>
                </c:pt>
                <c:pt idx="4">
                  <c:v>2000</c:v>
                </c:pt>
                <c:pt idx="5">
                  <c:v>2001</c:v>
                </c:pt>
                <c:pt idx="6">
                  <c:v>2002</c:v>
                </c:pt>
                <c:pt idx="7">
                  <c:v>2003</c:v>
                </c:pt>
                <c:pt idx="8">
                  <c:v>2004</c:v>
                </c:pt>
                <c:pt idx="9">
                  <c:v>2005</c:v>
                </c:pt>
              </c:numCache>
            </c:numRef>
          </c:cat>
          <c:val>
            <c:numRef>
              <c:f>'15 -Budget Analysis'!$D$116:$M$116</c:f>
              <c:numCache>
                <c:formatCode>#,##0_);\(#,##0\)</c:formatCode>
                <c:ptCount val="10"/>
                <c:pt idx="0">
                  <c:v>326286125.28962666</c:v>
                </c:pt>
                <c:pt idx="1">
                  <c:v>418546055.50662345</c:v>
                </c:pt>
                <c:pt idx="2">
                  <c:v>484176622.28677702</c:v>
                </c:pt>
                <c:pt idx="3">
                  <c:v>536893195.88644767</c:v>
                </c:pt>
                <c:pt idx="4">
                  <c:v>581704870.71172643</c:v>
                </c:pt>
                <c:pt idx="5">
                  <c:v>621081313.9748714</c:v>
                </c:pt>
                <c:pt idx="6">
                  <c:v>656446010.05360413</c:v>
                </c:pt>
                <c:pt idx="7">
                  <c:v>688703907.24444866</c:v>
                </c:pt>
                <c:pt idx="8">
                  <c:v>718470640.9472487</c:v>
                </c:pt>
                <c:pt idx="9">
                  <c:v>746186430.35853279</c:v>
                </c:pt>
              </c:numCache>
            </c:numRef>
          </c:val>
          <c:smooth val="0"/>
          <c:extLst>
            <c:ext xmlns:c16="http://schemas.microsoft.com/office/drawing/2014/chart" uri="{C3380CC4-5D6E-409C-BE32-E72D297353CC}">
              <c16:uniqueId val="{00000001-9C0A-464B-83D6-5246104CA914}"/>
            </c:ext>
          </c:extLst>
        </c:ser>
        <c:ser>
          <c:idx val="2"/>
          <c:order val="2"/>
          <c:tx>
            <c:strRef>
              <c:f>'15 -Budget Analysis'!$C$117</c:f>
              <c:strCache>
                <c:ptCount val="1"/>
                <c:pt idx="0">
                  <c:v>Exponential Trendline</c:v>
                </c:pt>
              </c:strCache>
            </c:strRef>
          </c:tx>
          <c:spPr>
            <a:ln w="12700">
              <a:solidFill>
                <a:srgbClr val="FFFF00"/>
              </a:solidFill>
              <a:prstDash val="solid"/>
            </a:ln>
          </c:spPr>
          <c:marker>
            <c:symbol val="none"/>
          </c:marker>
          <c:cat>
            <c:numRef>
              <c:f>'15 -Budget Analysis'!$D$114:$M$114</c:f>
              <c:numCache>
                <c:formatCode>General</c:formatCode>
                <c:ptCount val="10"/>
                <c:pt idx="0">
                  <c:v>1996</c:v>
                </c:pt>
                <c:pt idx="1">
                  <c:v>1997</c:v>
                </c:pt>
                <c:pt idx="2">
                  <c:v>1998</c:v>
                </c:pt>
                <c:pt idx="3">
                  <c:v>1999</c:v>
                </c:pt>
                <c:pt idx="4">
                  <c:v>2000</c:v>
                </c:pt>
                <c:pt idx="5">
                  <c:v>2001</c:v>
                </c:pt>
                <c:pt idx="6">
                  <c:v>2002</c:v>
                </c:pt>
                <c:pt idx="7">
                  <c:v>2003</c:v>
                </c:pt>
                <c:pt idx="8">
                  <c:v>2004</c:v>
                </c:pt>
                <c:pt idx="9">
                  <c:v>2005</c:v>
                </c:pt>
              </c:numCache>
            </c:numRef>
          </c:cat>
          <c:val>
            <c:numRef>
              <c:f>'15 -Budget Analysis'!$D$117:$M$117</c:f>
              <c:numCache>
                <c:formatCode>#,##0_);\(#,##0\)</c:formatCode>
                <c:ptCount val="10"/>
                <c:pt idx="0">
                  <c:v>320486450.90644771</c:v>
                </c:pt>
                <c:pt idx="1">
                  <c:v>384059457.86794233</c:v>
                </c:pt>
                <c:pt idx="2">
                  <c:v>460243067.25177139</c:v>
                </c:pt>
                <c:pt idx="3">
                  <c:v>551538769.88014054</c:v>
                </c:pt>
                <c:pt idx="4">
                  <c:v>660944262.55527222</c:v>
                </c:pt>
                <c:pt idx="5">
                  <c:v>792051877.51292169</c:v>
                </c:pt>
                <c:pt idx="6">
                  <c:v>949166536.74602687</c:v>
                </c:pt>
                <c:pt idx="7">
                  <c:v>1137447104.2318172</c:v>
                </c:pt>
                <c:pt idx="8">
                  <c:v>1363075777.3664865</c:v>
                </c:pt>
                <c:pt idx="9">
                  <c:v>1633461079.5796506</c:v>
                </c:pt>
              </c:numCache>
            </c:numRef>
          </c:val>
          <c:smooth val="0"/>
          <c:extLst>
            <c:ext xmlns:c16="http://schemas.microsoft.com/office/drawing/2014/chart" uri="{C3380CC4-5D6E-409C-BE32-E72D297353CC}">
              <c16:uniqueId val="{00000002-9C0A-464B-83D6-5246104CA914}"/>
            </c:ext>
          </c:extLst>
        </c:ser>
        <c:ser>
          <c:idx val="3"/>
          <c:order val="3"/>
          <c:tx>
            <c:strRef>
              <c:f>'15 -Budget Analysis'!$C$118</c:f>
              <c:strCache>
                <c:ptCount val="1"/>
                <c:pt idx="0">
                  <c:v>Polynomial Trendline</c:v>
                </c:pt>
              </c:strCache>
            </c:strRef>
          </c:tx>
          <c:spPr>
            <a:ln w="12700">
              <a:solidFill>
                <a:srgbClr val="00FFFF"/>
              </a:solidFill>
              <a:prstDash val="solid"/>
            </a:ln>
          </c:spPr>
          <c:marker>
            <c:symbol val="none"/>
          </c:marker>
          <c:cat>
            <c:numRef>
              <c:f>'15 -Budget Analysis'!$D$114:$M$114</c:f>
              <c:numCache>
                <c:formatCode>General</c:formatCode>
                <c:ptCount val="10"/>
                <c:pt idx="0">
                  <c:v>1996</c:v>
                </c:pt>
                <c:pt idx="1">
                  <c:v>1997</c:v>
                </c:pt>
                <c:pt idx="2">
                  <c:v>1998</c:v>
                </c:pt>
                <c:pt idx="3">
                  <c:v>1999</c:v>
                </c:pt>
                <c:pt idx="4">
                  <c:v>2000</c:v>
                </c:pt>
                <c:pt idx="5">
                  <c:v>2001</c:v>
                </c:pt>
                <c:pt idx="6">
                  <c:v>2002</c:v>
                </c:pt>
                <c:pt idx="7">
                  <c:v>2003</c:v>
                </c:pt>
                <c:pt idx="8">
                  <c:v>2004</c:v>
                </c:pt>
                <c:pt idx="9">
                  <c:v>2005</c:v>
                </c:pt>
              </c:numCache>
            </c:numRef>
          </c:cat>
          <c:val>
            <c:numRef>
              <c:f>'15 -Budget Analysis'!$D$118:$M$118</c:f>
              <c:numCache>
                <c:formatCode>#,##0_);\(#,##0\)</c:formatCode>
                <c:ptCount val="10"/>
                <c:pt idx="0">
                  <c:v>408656007.05714285</c:v>
                </c:pt>
                <c:pt idx="1">
                  <c:v>332123095.17142856</c:v>
                </c:pt>
                <c:pt idx="2">
                  <c:v>370902387.14285719</c:v>
                </c:pt>
                <c:pt idx="3">
                  <c:v>524993882.97142851</c:v>
                </c:pt>
                <c:pt idx="4">
                  <c:v>794397582.65714276</c:v>
                </c:pt>
                <c:pt idx="5">
                  <c:v>1179113486.2000003</c:v>
                </c:pt>
                <c:pt idx="6">
                  <c:v>1679141593.5999999</c:v>
                </c:pt>
                <c:pt idx="7">
                  <c:v>2294481904.8571429</c:v>
                </c:pt>
                <c:pt idx="8">
                  <c:v>3025134419.9714284</c:v>
                </c:pt>
                <c:pt idx="9">
                  <c:v>3871099138.9428573</c:v>
                </c:pt>
              </c:numCache>
            </c:numRef>
          </c:val>
          <c:smooth val="0"/>
          <c:extLst>
            <c:ext xmlns:c16="http://schemas.microsoft.com/office/drawing/2014/chart" uri="{C3380CC4-5D6E-409C-BE32-E72D297353CC}">
              <c16:uniqueId val="{00000003-9C0A-464B-83D6-5246104CA914}"/>
            </c:ext>
          </c:extLst>
        </c:ser>
        <c:ser>
          <c:idx val="4"/>
          <c:order val="4"/>
          <c:tx>
            <c:strRef>
              <c:f>'15 -Budget Analysis'!$C$119</c:f>
              <c:strCache>
                <c:ptCount val="1"/>
                <c:pt idx="0">
                  <c:v>Actual Revenues</c:v>
                </c:pt>
              </c:strCache>
            </c:strRef>
          </c:tx>
          <c:spPr>
            <a:ln w="12700">
              <a:solidFill>
                <a:srgbClr val="800080"/>
              </a:solidFill>
              <a:prstDash val="solid"/>
            </a:ln>
          </c:spPr>
          <c:marker>
            <c:symbol val="none"/>
          </c:marker>
          <c:cat>
            <c:numRef>
              <c:f>'15 -Budget Analysis'!$D$114:$M$114</c:f>
              <c:numCache>
                <c:formatCode>General</c:formatCode>
                <c:ptCount val="10"/>
                <c:pt idx="0">
                  <c:v>1996</c:v>
                </c:pt>
                <c:pt idx="1">
                  <c:v>1997</c:v>
                </c:pt>
                <c:pt idx="2">
                  <c:v>1998</c:v>
                </c:pt>
                <c:pt idx="3">
                  <c:v>1999</c:v>
                </c:pt>
                <c:pt idx="4">
                  <c:v>2000</c:v>
                </c:pt>
                <c:pt idx="5">
                  <c:v>2001</c:v>
                </c:pt>
                <c:pt idx="6">
                  <c:v>2002</c:v>
                </c:pt>
                <c:pt idx="7">
                  <c:v>2003</c:v>
                </c:pt>
                <c:pt idx="8">
                  <c:v>2004</c:v>
                </c:pt>
                <c:pt idx="9">
                  <c:v>2005</c:v>
                </c:pt>
              </c:numCache>
            </c:numRef>
          </c:cat>
          <c:val>
            <c:numRef>
              <c:f>'15 -Budget Analysis'!$D$119:$M$119</c:f>
              <c:numCache>
                <c:formatCode>#,##0</c:formatCode>
                <c:ptCount val="10"/>
                <c:pt idx="0">
                  <c:v>417855564</c:v>
                </c:pt>
                <c:pt idx="1">
                  <c:v>318686269</c:v>
                </c:pt>
                <c:pt idx="2">
                  <c:v>356015524</c:v>
                </c:pt>
                <c:pt idx="3">
                  <c:v>558279860</c:v>
                </c:pt>
                <c:pt idx="4">
                  <c:v>780235738</c:v>
                </c:pt>
              </c:numCache>
            </c:numRef>
          </c:val>
          <c:smooth val="0"/>
          <c:extLst>
            <c:ext xmlns:c16="http://schemas.microsoft.com/office/drawing/2014/chart" uri="{C3380CC4-5D6E-409C-BE32-E72D297353CC}">
              <c16:uniqueId val="{00000004-9C0A-464B-83D6-5246104CA914}"/>
            </c:ext>
          </c:extLst>
        </c:ser>
        <c:dLbls>
          <c:showLegendKey val="0"/>
          <c:showVal val="0"/>
          <c:showCatName val="0"/>
          <c:showSerName val="0"/>
          <c:showPercent val="0"/>
          <c:showBubbleSize val="0"/>
        </c:dLbls>
        <c:smooth val="0"/>
        <c:axId val="202493871"/>
        <c:axId val="1"/>
      </c:lineChart>
      <c:catAx>
        <c:axId val="202493871"/>
        <c:scaling>
          <c:orientation val="minMax"/>
        </c:scaling>
        <c:delete val="0"/>
        <c:axPos val="b"/>
        <c:title>
          <c:tx>
            <c:rich>
              <a:bodyPr/>
              <a:lstStyle/>
              <a:p>
                <a:pPr>
                  <a:defRPr sz="1750" b="1" i="0" u="none" strike="noStrike" baseline="0">
                    <a:solidFill>
                      <a:srgbClr val="000000"/>
                    </a:solidFill>
                    <a:latin typeface="Arial"/>
                    <a:ea typeface="Arial"/>
                    <a:cs typeface="Arial"/>
                  </a:defRPr>
                </a:pPr>
                <a:r>
                  <a:rPr lang="en-US"/>
                  <a:t>Periods</a:t>
                </a:r>
              </a:p>
            </c:rich>
          </c:tx>
          <c:layout>
            <c:manualLayout>
              <c:xMode val="edge"/>
              <c:yMode val="edge"/>
              <c:x val="0.41960183767228176"/>
              <c:y val="0.883620689655172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750" b="0" i="0" u="none" strike="noStrike" baseline="0">
                <a:solidFill>
                  <a:srgbClr val="000000"/>
                </a:solidFill>
                <a:latin typeface="Arial"/>
                <a:ea typeface="Arial"/>
                <a:cs typeface="Arial"/>
              </a:defRPr>
            </a:pPr>
            <a:endParaRPr lang="ar-EG"/>
          </a:p>
        </c:txPr>
        <c:crossAx val="1"/>
        <c:crosses val="autoZero"/>
        <c:auto val="1"/>
        <c:lblAlgn val="ctr"/>
        <c:lblOffset val="100"/>
        <c:tickLblSkip val="2"/>
        <c:tickMarkSkip val="1"/>
        <c:noMultiLvlLbl val="0"/>
      </c:catAx>
      <c:valAx>
        <c:axId val="1"/>
        <c:scaling>
          <c:orientation val="minMax"/>
        </c:scaling>
        <c:delete val="0"/>
        <c:axPos val="l"/>
        <c:title>
          <c:tx>
            <c:rich>
              <a:bodyPr/>
              <a:lstStyle/>
              <a:p>
                <a:pPr>
                  <a:defRPr sz="1750" b="1" i="0" u="none" strike="noStrike" baseline="0">
                    <a:solidFill>
                      <a:srgbClr val="000000"/>
                    </a:solidFill>
                    <a:latin typeface="Arial"/>
                    <a:ea typeface="Arial"/>
                    <a:cs typeface="Arial"/>
                  </a:defRPr>
                </a:pPr>
                <a:r>
                  <a:rPr lang="en-US"/>
                  <a:t>Total Revenues</a:t>
                </a:r>
              </a:p>
            </c:rich>
          </c:tx>
          <c:layout>
            <c:manualLayout>
              <c:xMode val="edge"/>
              <c:yMode val="edge"/>
              <c:x val="2.4502297090352222E-2"/>
              <c:y val="0.33405172413793105"/>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750" b="0" i="0" u="none" strike="noStrike" baseline="0">
                <a:solidFill>
                  <a:srgbClr val="000000"/>
                </a:solidFill>
                <a:latin typeface="Arial"/>
                <a:ea typeface="Arial"/>
                <a:cs typeface="Arial"/>
              </a:defRPr>
            </a:pPr>
            <a:endParaRPr lang="ar-EG"/>
          </a:p>
        </c:txPr>
        <c:crossAx val="202493871"/>
        <c:crosses val="autoZero"/>
        <c:crossBetween val="between"/>
      </c:valAx>
      <c:spPr>
        <a:solidFill>
          <a:srgbClr val="FFFFFF"/>
        </a:solidFill>
        <a:ln w="12700">
          <a:solidFill>
            <a:srgbClr val="FFFFFF"/>
          </a:solidFill>
          <a:prstDash val="solid"/>
        </a:ln>
      </c:spPr>
    </c:plotArea>
    <c:legend>
      <c:legendPos val="r"/>
      <c:layout>
        <c:manualLayout>
          <c:xMode val="edge"/>
          <c:yMode val="edge"/>
          <c:x val="0.66003062787136291"/>
          <c:y val="0.25431034482758619"/>
          <c:w val="0.32771822358346098"/>
          <c:h val="0.63793103448275867"/>
        </c:manualLayout>
      </c:layout>
      <c:overlay val="0"/>
      <c:spPr>
        <a:solidFill>
          <a:srgbClr val="FFFFFF"/>
        </a:solidFill>
        <a:ln w="3175">
          <a:solidFill>
            <a:srgbClr val="000000"/>
          </a:solidFill>
          <a:prstDash val="solid"/>
        </a:ln>
      </c:spPr>
      <c:txPr>
        <a:bodyPr/>
        <a:lstStyle/>
        <a:p>
          <a:pPr>
            <a:defRPr sz="1610" b="0" i="0" u="none" strike="noStrike" baseline="0">
              <a:solidFill>
                <a:srgbClr val="000000"/>
              </a:solidFill>
              <a:latin typeface="Arial"/>
              <a:ea typeface="Arial"/>
              <a:cs typeface="Arial"/>
            </a:defRPr>
          </a:pPr>
          <a:endParaRPr lang="ar-EG"/>
        </a:p>
      </c:txPr>
    </c:legend>
    <c:plotVisOnly val="1"/>
    <c:dispBlanksAs val="gap"/>
    <c:showDLblsOverMax val="0"/>
  </c:chart>
  <c:spPr>
    <a:solidFill>
      <a:srgbClr val="FFFFFF"/>
    </a:solidFill>
    <a:ln w="3175">
      <a:solidFill>
        <a:srgbClr val="000000"/>
      </a:solidFill>
      <a:prstDash val="solid"/>
    </a:ln>
  </c:spPr>
  <c:txPr>
    <a:bodyPr/>
    <a:lstStyle/>
    <a:p>
      <a:pPr>
        <a:defRPr sz="1750" b="0" i="0" u="none" strike="noStrike" baseline="0">
          <a:solidFill>
            <a:srgbClr val="000000"/>
          </a:solidFill>
          <a:latin typeface="Arial"/>
          <a:ea typeface="Arial"/>
          <a:cs typeface="Arial"/>
        </a:defRPr>
      </a:pPr>
      <a:endParaRPr lang="ar-EG"/>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 Id="rId9" Type="http://schemas.openxmlformats.org/officeDocument/2006/relationships/chart" Target="../charts/chart2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chart" Target="../charts/chart33.xml"/></Relationships>
</file>

<file path=xl/drawings/drawing1.xml><?xml version="1.0" encoding="utf-8"?>
<xdr:wsDr xmlns:xdr="http://schemas.openxmlformats.org/drawingml/2006/spreadsheetDrawing" xmlns:a="http://schemas.openxmlformats.org/drawingml/2006/main">
  <xdr:twoCellAnchor>
    <xdr:from>
      <xdr:col>2</xdr:col>
      <xdr:colOff>57150</xdr:colOff>
      <xdr:row>66</xdr:row>
      <xdr:rowOff>57150</xdr:rowOff>
    </xdr:from>
    <xdr:to>
      <xdr:col>7</xdr:col>
      <xdr:colOff>619125</xdr:colOff>
      <xdr:row>83</xdr:row>
      <xdr:rowOff>133350</xdr:rowOff>
    </xdr:to>
    <xdr:graphicFrame macro="">
      <xdr:nvGraphicFramePr>
        <xdr:cNvPr id="10241" name="Chart 1">
          <a:extLst>
            <a:ext uri="{FF2B5EF4-FFF2-40B4-BE49-F238E27FC236}">
              <a16:creationId xmlns:a16="http://schemas.microsoft.com/office/drawing/2014/main" id="{7DDA26C1-6395-62A7-6E02-EFB477364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85725</xdr:colOff>
      <xdr:row>85</xdr:row>
      <xdr:rowOff>57150</xdr:rowOff>
    </xdr:from>
    <xdr:to>
      <xdr:col>7</xdr:col>
      <xdr:colOff>638175</xdr:colOff>
      <xdr:row>102</xdr:row>
      <xdr:rowOff>104775</xdr:rowOff>
    </xdr:to>
    <xdr:graphicFrame macro="">
      <xdr:nvGraphicFramePr>
        <xdr:cNvPr id="10243" name="Chart 3">
          <a:extLst>
            <a:ext uri="{FF2B5EF4-FFF2-40B4-BE49-F238E27FC236}">
              <a16:creationId xmlns:a16="http://schemas.microsoft.com/office/drawing/2014/main" id="{5F4B65A3-9804-08ED-DB16-F76A5EA7AE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76200</xdr:colOff>
      <xdr:row>104</xdr:row>
      <xdr:rowOff>47625</xdr:rowOff>
    </xdr:from>
    <xdr:to>
      <xdr:col>7</xdr:col>
      <xdr:colOff>590550</xdr:colOff>
      <xdr:row>121</xdr:row>
      <xdr:rowOff>85725</xdr:rowOff>
    </xdr:to>
    <xdr:graphicFrame macro="">
      <xdr:nvGraphicFramePr>
        <xdr:cNvPr id="10244" name="Chart 4">
          <a:extLst>
            <a:ext uri="{FF2B5EF4-FFF2-40B4-BE49-F238E27FC236}">
              <a16:creationId xmlns:a16="http://schemas.microsoft.com/office/drawing/2014/main" id="{03EFD3E6-D13F-B9C7-D04A-9C82788F2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76200</xdr:colOff>
      <xdr:row>123</xdr:row>
      <xdr:rowOff>57150</xdr:rowOff>
    </xdr:from>
    <xdr:to>
      <xdr:col>7</xdr:col>
      <xdr:colOff>628650</xdr:colOff>
      <xdr:row>140</xdr:row>
      <xdr:rowOff>114300</xdr:rowOff>
    </xdr:to>
    <xdr:graphicFrame macro="">
      <xdr:nvGraphicFramePr>
        <xdr:cNvPr id="10245" name="Chart 5">
          <a:extLst>
            <a:ext uri="{FF2B5EF4-FFF2-40B4-BE49-F238E27FC236}">
              <a16:creationId xmlns:a16="http://schemas.microsoft.com/office/drawing/2014/main" id="{BBE7BD76-E6D1-690C-C2FA-270482EB49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85725</xdr:colOff>
      <xdr:row>142</xdr:row>
      <xdr:rowOff>47625</xdr:rowOff>
    </xdr:from>
    <xdr:to>
      <xdr:col>7</xdr:col>
      <xdr:colOff>619125</xdr:colOff>
      <xdr:row>159</xdr:row>
      <xdr:rowOff>104775</xdr:rowOff>
    </xdr:to>
    <xdr:graphicFrame macro="">
      <xdr:nvGraphicFramePr>
        <xdr:cNvPr id="10246" name="Chart 6">
          <a:extLst>
            <a:ext uri="{FF2B5EF4-FFF2-40B4-BE49-F238E27FC236}">
              <a16:creationId xmlns:a16="http://schemas.microsoft.com/office/drawing/2014/main" id="{3BA9A2EE-7FAA-3175-E5FD-9626A1DB13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85725</xdr:colOff>
      <xdr:row>161</xdr:row>
      <xdr:rowOff>47625</xdr:rowOff>
    </xdr:from>
    <xdr:to>
      <xdr:col>7</xdr:col>
      <xdr:colOff>600075</xdr:colOff>
      <xdr:row>178</xdr:row>
      <xdr:rowOff>95250</xdr:rowOff>
    </xdr:to>
    <xdr:graphicFrame macro="">
      <xdr:nvGraphicFramePr>
        <xdr:cNvPr id="10247" name="Chart 7">
          <a:extLst>
            <a:ext uri="{FF2B5EF4-FFF2-40B4-BE49-F238E27FC236}">
              <a16:creationId xmlns:a16="http://schemas.microsoft.com/office/drawing/2014/main" id="{CD60F7FB-CE30-A9EB-EA22-2F18705C6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85725</xdr:colOff>
      <xdr:row>180</xdr:row>
      <xdr:rowOff>57150</xdr:rowOff>
    </xdr:from>
    <xdr:to>
      <xdr:col>7</xdr:col>
      <xdr:colOff>600075</xdr:colOff>
      <xdr:row>197</xdr:row>
      <xdr:rowOff>123825</xdr:rowOff>
    </xdr:to>
    <xdr:graphicFrame macro="">
      <xdr:nvGraphicFramePr>
        <xdr:cNvPr id="10248" name="Chart 8">
          <a:extLst>
            <a:ext uri="{FF2B5EF4-FFF2-40B4-BE49-F238E27FC236}">
              <a16:creationId xmlns:a16="http://schemas.microsoft.com/office/drawing/2014/main" id="{2953E9A7-423D-C8DD-F15F-135F7B5564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104775</xdr:colOff>
      <xdr:row>199</xdr:row>
      <xdr:rowOff>38100</xdr:rowOff>
    </xdr:from>
    <xdr:to>
      <xdr:col>7</xdr:col>
      <xdr:colOff>600075</xdr:colOff>
      <xdr:row>216</xdr:row>
      <xdr:rowOff>95250</xdr:rowOff>
    </xdr:to>
    <xdr:graphicFrame macro="">
      <xdr:nvGraphicFramePr>
        <xdr:cNvPr id="10249" name="Chart 9">
          <a:extLst>
            <a:ext uri="{FF2B5EF4-FFF2-40B4-BE49-F238E27FC236}">
              <a16:creationId xmlns:a16="http://schemas.microsoft.com/office/drawing/2014/main" id="{13E8F569-1BFE-23A4-8157-F24E0B1307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104775</xdr:colOff>
      <xdr:row>218</xdr:row>
      <xdr:rowOff>57150</xdr:rowOff>
    </xdr:from>
    <xdr:to>
      <xdr:col>7</xdr:col>
      <xdr:colOff>609600</xdr:colOff>
      <xdr:row>235</xdr:row>
      <xdr:rowOff>104775</xdr:rowOff>
    </xdr:to>
    <xdr:graphicFrame macro="">
      <xdr:nvGraphicFramePr>
        <xdr:cNvPr id="10250" name="Chart 10">
          <a:extLst>
            <a:ext uri="{FF2B5EF4-FFF2-40B4-BE49-F238E27FC236}">
              <a16:creationId xmlns:a16="http://schemas.microsoft.com/office/drawing/2014/main" id="{1D7DD4A5-7F6E-7D7D-EF21-211E7FA76C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104775</xdr:colOff>
      <xdr:row>256</xdr:row>
      <xdr:rowOff>57150</xdr:rowOff>
    </xdr:from>
    <xdr:to>
      <xdr:col>7</xdr:col>
      <xdr:colOff>638175</xdr:colOff>
      <xdr:row>273</xdr:row>
      <xdr:rowOff>104775</xdr:rowOff>
    </xdr:to>
    <xdr:graphicFrame macro="">
      <xdr:nvGraphicFramePr>
        <xdr:cNvPr id="10251" name="Chart 11">
          <a:extLst>
            <a:ext uri="{FF2B5EF4-FFF2-40B4-BE49-F238E27FC236}">
              <a16:creationId xmlns:a16="http://schemas.microsoft.com/office/drawing/2014/main" id="{C476F790-1E57-B4F2-A1D4-344F34D818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104775</xdr:colOff>
      <xdr:row>237</xdr:row>
      <xdr:rowOff>47625</xdr:rowOff>
    </xdr:from>
    <xdr:to>
      <xdr:col>7</xdr:col>
      <xdr:colOff>647700</xdr:colOff>
      <xdr:row>254</xdr:row>
      <xdr:rowOff>95250</xdr:rowOff>
    </xdr:to>
    <xdr:graphicFrame macro="">
      <xdr:nvGraphicFramePr>
        <xdr:cNvPr id="10252" name="Chart 12">
          <a:extLst>
            <a:ext uri="{FF2B5EF4-FFF2-40B4-BE49-F238E27FC236}">
              <a16:creationId xmlns:a16="http://schemas.microsoft.com/office/drawing/2014/main" id="{0AE4A408-B082-D08E-DF7A-E6EB0E1488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104775</xdr:colOff>
      <xdr:row>275</xdr:row>
      <xdr:rowOff>47625</xdr:rowOff>
    </xdr:from>
    <xdr:to>
      <xdr:col>7</xdr:col>
      <xdr:colOff>619125</xdr:colOff>
      <xdr:row>292</xdr:row>
      <xdr:rowOff>104775</xdr:rowOff>
    </xdr:to>
    <xdr:graphicFrame macro="">
      <xdr:nvGraphicFramePr>
        <xdr:cNvPr id="10253" name="Chart 13">
          <a:extLst>
            <a:ext uri="{FF2B5EF4-FFF2-40B4-BE49-F238E27FC236}">
              <a16:creationId xmlns:a16="http://schemas.microsoft.com/office/drawing/2014/main" id="{A3B2C66E-6B4C-6814-1417-04454D3908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104775</xdr:colOff>
      <xdr:row>294</xdr:row>
      <xdr:rowOff>57150</xdr:rowOff>
    </xdr:from>
    <xdr:to>
      <xdr:col>7</xdr:col>
      <xdr:colOff>628650</xdr:colOff>
      <xdr:row>311</xdr:row>
      <xdr:rowOff>95250</xdr:rowOff>
    </xdr:to>
    <xdr:graphicFrame macro="">
      <xdr:nvGraphicFramePr>
        <xdr:cNvPr id="10254" name="Chart 14">
          <a:extLst>
            <a:ext uri="{FF2B5EF4-FFF2-40B4-BE49-F238E27FC236}">
              <a16:creationId xmlns:a16="http://schemas.microsoft.com/office/drawing/2014/main" id="{B7134ACF-0D47-99B8-DEFF-6BDD73BA5C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76200</xdr:colOff>
      <xdr:row>313</xdr:row>
      <xdr:rowOff>38100</xdr:rowOff>
    </xdr:from>
    <xdr:to>
      <xdr:col>7</xdr:col>
      <xdr:colOff>638175</xdr:colOff>
      <xdr:row>331</xdr:row>
      <xdr:rowOff>114300</xdr:rowOff>
    </xdr:to>
    <xdr:graphicFrame macro="">
      <xdr:nvGraphicFramePr>
        <xdr:cNvPr id="10274" name="Chart 34">
          <a:extLst>
            <a:ext uri="{FF2B5EF4-FFF2-40B4-BE49-F238E27FC236}">
              <a16:creationId xmlns:a16="http://schemas.microsoft.com/office/drawing/2014/main" id="{75D69C64-67E9-8695-E442-F479A22083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85725</xdr:colOff>
      <xdr:row>333</xdr:row>
      <xdr:rowOff>47625</xdr:rowOff>
    </xdr:from>
    <xdr:to>
      <xdr:col>7</xdr:col>
      <xdr:colOff>619125</xdr:colOff>
      <xdr:row>352</xdr:row>
      <xdr:rowOff>114300</xdr:rowOff>
    </xdr:to>
    <xdr:graphicFrame macro="">
      <xdr:nvGraphicFramePr>
        <xdr:cNvPr id="10275" name="Chart 35">
          <a:extLst>
            <a:ext uri="{FF2B5EF4-FFF2-40B4-BE49-F238E27FC236}">
              <a16:creationId xmlns:a16="http://schemas.microsoft.com/office/drawing/2014/main" id="{4FA6013C-2D46-E2FA-9885-83F587D288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74</xdr:row>
      <xdr:rowOff>28575</xdr:rowOff>
    </xdr:from>
    <xdr:to>
      <xdr:col>7</xdr:col>
      <xdr:colOff>628650</xdr:colOff>
      <xdr:row>86</xdr:row>
      <xdr:rowOff>142875</xdr:rowOff>
    </xdr:to>
    <xdr:graphicFrame macro="">
      <xdr:nvGraphicFramePr>
        <xdr:cNvPr id="7170" name="Chart 2">
          <a:extLst>
            <a:ext uri="{FF2B5EF4-FFF2-40B4-BE49-F238E27FC236}">
              <a16:creationId xmlns:a16="http://schemas.microsoft.com/office/drawing/2014/main" id="{BBBBFF0C-EADF-54E4-4D95-0C16325512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88</xdr:row>
      <xdr:rowOff>47625</xdr:rowOff>
    </xdr:from>
    <xdr:to>
      <xdr:col>7</xdr:col>
      <xdr:colOff>638175</xdr:colOff>
      <xdr:row>101</xdr:row>
      <xdr:rowOff>0</xdr:rowOff>
    </xdr:to>
    <xdr:graphicFrame macro="">
      <xdr:nvGraphicFramePr>
        <xdr:cNvPr id="7171" name="Chart 3">
          <a:extLst>
            <a:ext uri="{FF2B5EF4-FFF2-40B4-BE49-F238E27FC236}">
              <a16:creationId xmlns:a16="http://schemas.microsoft.com/office/drawing/2014/main" id="{2F7F8343-9AFC-032C-6C3B-4981E86647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102</xdr:row>
      <xdr:rowOff>47625</xdr:rowOff>
    </xdr:from>
    <xdr:to>
      <xdr:col>7</xdr:col>
      <xdr:colOff>628650</xdr:colOff>
      <xdr:row>115</xdr:row>
      <xdr:rowOff>0</xdr:rowOff>
    </xdr:to>
    <xdr:graphicFrame macro="">
      <xdr:nvGraphicFramePr>
        <xdr:cNvPr id="7172" name="Chart 4">
          <a:extLst>
            <a:ext uri="{FF2B5EF4-FFF2-40B4-BE49-F238E27FC236}">
              <a16:creationId xmlns:a16="http://schemas.microsoft.com/office/drawing/2014/main" id="{749AB866-9DFE-FB27-0489-F3FF8AEA65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57150</xdr:colOff>
      <xdr:row>116</xdr:row>
      <xdr:rowOff>38100</xdr:rowOff>
    </xdr:from>
    <xdr:to>
      <xdr:col>7</xdr:col>
      <xdr:colOff>619125</xdr:colOff>
      <xdr:row>128</xdr:row>
      <xdr:rowOff>152400</xdr:rowOff>
    </xdr:to>
    <xdr:graphicFrame macro="">
      <xdr:nvGraphicFramePr>
        <xdr:cNvPr id="7173" name="Chart 5">
          <a:extLst>
            <a:ext uri="{FF2B5EF4-FFF2-40B4-BE49-F238E27FC236}">
              <a16:creationId xmlns:a16="http://schemas.microsoft.com/office/drawing/2014/main" id="{B0EAD97E-470A-845E-C875-38F478379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47625</xdr:colOff>
      <xdr:row>130</xdr:row>
      <xdr:rowOff>38100</xdr:rowOff>
    </xdr:from>
    <xdr:to>
      <xdr:col>7</xdr:col>
      <xdr:colOff>609600</xdr:colOff>
      <xdr:row>142</xdr:row>
      <xdr:rowOff>152400</xdr:rowOff>
    </xdr:to>
    <xdr:graphicFrame macro="">
      <xdr:nvGraphicFramePr>
        <xdr:cNvPr id="7174" name="Chart 6">
          <a:extLst>
            <a:ext uri="{FF2B5EF4-FFF2-40B4-BE49-F238E27FC236}">
              <a16:creationId xmlns:a16="http://schemas.microsoft.com/office/drawing/2014/main" id="{6418349F-DB72-76B7-149E-D89CEEB10C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57150</xdr:colOff>
      <xdr:row>144</xdr:row>
      <xdr:rowOff>47625</xdr:rowOff>
    </xdr:from>
    <xdr:to>
      <xdr:col>7</xdr:col>
      <xdr:colOff>628650</xdr:colOff>
      <xdr:row>157</xdr:row>
      <xdr:rowOff>0</xdr:rowOff>
    </xdr:to>
    <xdr:graphicFrame macro="">
      <xdr:nvGraphicFramePr>
        <xdr:cNvPr id="7175" name="Chart 7">
          <a:extLst>
            <a:ext uri="{FF2B5EF4-FFF2-40B4-BE49-F238E27FC236}">
              <a16:creationId xmlns:a16="http://schemas.microsoft.com/office/drawing/2014/main" id="{226E6268-5FAA-C340-DB91-C184A3E4BA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47625</xdr:colOff>
      <xdr:row>158</xdr:row>
      <xdr:rowOff>47625</xdr:rowOff>
    </xdr:from>
    <xdr:to>
      <xdr:col>7</xdr:col>
      <xdr:colOff>647700</xdr:colOff>
      <xdr:row>171</xdr:row>
      <xdr:rowOff>0</xdr:rowOff>
    </xdr:to>
    <xdr:graphicFrame macro="">
      <xdr:nvGraphicFramePr>
        <xdr:cNvPr id="7177" name="Chart 9">
          <a:extLst>
            <a:ext uri="{FF2B5EF4-FFF2-40B4-BE49-F238E27FC236}">
              <a16:creationId xmlns:a16="http://schemas.microsoft.com/office/drawing/2014/main" id="{12329426-02A8-0BFE-0662-FDE2DBE96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66675</xdr:colOff>
      <xdr:row>172</xdr:row>
      <xdr:rowOff>47625</xdr:rowOff>
    </xdr:from>
    <xdr:to>
      <xdr:col>7</xdr:col>
      <xdr:colOff>638175</xdr:colOff>
      <xdr:row>185</xdr:row>
      <xdr:rowOff>0</xdr:rowOff>
    </xdr:to>
    <xdr:graphicFrame macro="">
      <xdr:nvGraphicFramePr>
        <xdr:cNvPr id="7178" name="Chart 10">
          <a:extLst>
            <a:ext uri="{FF2B5EF4-FFF2-40B4-BE49-F238E27FC236}">
              <a16:creationId xmlns:a16="http://schemas.microsoft.com/office/drawing/2014/main" id="{021F1C1A-1557-1399-0704-3AA6219C70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66675</xdr:colOff>
      <xdr:row>186</xdr:row>
      <xdr:rowOff>47625</xdr:rowOff>
    </xdr:from>
    <xdr:to>
      <xdr:col>7</xdr:col>
      <xdr:colOff>628650</xdr:colOff>
      <xdr:row>199</xdr:row>
      <xdr:rowOff>0</xdr:rowOff>
    </xdr:to>
    <xdr:graphicFrame macro="">
      <xdr:nvGraphicFramePr>
        <xdr:cNvPr id="7179" name="Chart 11">
          <a:extLst>
            <a:ext uri="{FF2B5EF4-FFF2-40B4-BE49-F238E27FC236}">
              <a16:creationId xmlns:a16="http://schemas.microsoft.com/office/drawing/2014/main" id="{F2FF5D17-C01B-48C3-F7F6-E1BE8B1AF6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57150</xdr:colOff>
      <xdr:row>100</xdr:row>
      <xdr:rowOff>47625</xdr:rowOff>
    </xdr:from>
    <xdr:to>
      <xdr:col>7</xdr:col>
      <xdr:colOff>628650</xdr:colOff>
      <xdr:row>119</xdr:row>
      <xdr:rowOff>133350</xdr:rowOff>
    </xdr:to>
    <xdr:graphicFrame macro="">
      <xdr:nvGraphicFramePr>
        <xdr:cNvPr id="8193" name="Chart 1">
          <a:extLst>
            <a:ext uri="{FF2B5EF4-FFF2-40B4-BE49-F238E27FC236}">
              <a16:creationId xmlns:a16="http://schemas.microsoft.com/office/drawing/2014/main" id="{D1E52C22-A82F-C738-83EA-96930E80C1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66675</xdr:colOff>
      <xdr:row>144</xdr:row>
      <xdr:rowOff>47625</xdr:rowOff>
    </xdr:from>
    <xdr:to>
      <xdr:col>7</xdr:col>
      <xdr:colOff>657225</xdr:colOff>
      <xdr:row>163</xdr:row>
      <xdr:rowOff>76200</xdr:rowOff>
    </xdr:to>
    <xdr:graphicFrame macro="">
      <xdr:nvGraphicFramePr>
        <xdr:cNvPr id="8194" name="Chart 2">
          <a:extLst>
            <a:ext uri="{FF2B5EF4-FFF2-40B4-BE49-F238E27FC236}">
              <a16:creationId xmlns:a16="http://schemas.microsoft.com/office/drawing/2014/main" id="{E891A6BA-292F-C0E5-CBCA-EA1C437B75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57150</xdr:colOff>
      <xdr:row>165</xdr:row>
      <xdr:rowOff>47625</xdr:rowOff>
    </xdr:from>
    <xdr:to>
      <xdr:col>7</xdr:col>
      <xdr:colOff>628650</xdr:colOff>
      <xdr:row>184</xdr:row>
      <xdr:rowOff>95250</xdr:rowOff>
    </xdr:to>
    <xdr:graphicFrame macro="">
      <xdr:nvGraphicFramePr>
        <xdr:cNvPr id="8195" name="Chart 3">
          <a:extLst>
            <a:ext uri="{FF2B5EF4-FFF2-40B4-BE49-F238E27FC236}">
              <a16:creationId xmlns:a16="http://schemas.microsoft.com/office/drawing/2014/main" id="{75A4E29B-E058-B27C-D3FE-9CCE26201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66675</xdr:colOff>
      <xdr:row>186</xdr:row>
      <xdr:rowOff>38100</xdr:rowOff>
    </xdr:from>
    <xdr:to>
      <xdr:col>9</xdr:col>
      <xdr:colOff>638175</xdr:colOff>
      <xdr:row>209</xdr:row>
      <xdr:rowOff>114300</xdr:rowOff>
    </xdr:to>
    <xdr:graphicFrame macro="">
      <xdr:nvGraphicFramePr>
        <xdr:cNvPr id="8196" name="Chart 4">
          <a:extLst>
            <a:ext uri="{FF2B5EF4-FFF2-40B4-BE49-F238E27FC236}">
              <a16:creationId xmlns:a16="http://schemas.microsoft.com/office/drawing/2014/main" id="{6B96EEA1-C2CE-A72C-B266-64E3C870A3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57150</xdr:colOff>
      <xdr:row>79</xdr:row>
      <xdr:rowOff>28575</xdr:rowOff>
    </xdr:from>
    <xdr:to>
      <xdr:col>8</xdr:col>
      <xdr:colOff>647700</xdr:colOff>
      <xdr:row>98</xdr:row>
      <xdr:rowOff>104775</xdr:rowOff>
    </xdr:to>
    <xdr:graphicFrame macro="">
      <xdr:nvGraphicFramePr>
        <xdr:cNvPr id="8223" name="Chart 31">
          <a:extLst>
            <a:ext uri="{FF2B5EF4-FFF2-40B4-BE49-F238E27FC236}">
              <a16:creationId xmlns:a16="http://schemas.microsoft.com/office/drawing/2014/main" id="{20A8A972-3C0C-16FF-2876-DF09717DE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76200</xdr:colOff>
      <xdr:row>121</xdr:row>
      <xdr:rowOff>38100</xdr:rowOff>
    </xdr:from>
    <xdr:to>
      <xdr:col>8</xdr:col>
      <xdr:colOff>628650</xdr:colOff>
      <xdr:row>142</xdr:row>
      <xdr:rowOff>123825</xdr:rowOff>
    </xdr:to>
    <xdr:graphicFrame macro="">
      <xdr:nvGraphicFramePr>
        <xdr:cNvPr id="8224" name="Chart 32">
          <a:extLst>
            <a:ext uri="{FF2B5EF4-FFF2-40B4-BE49-F238E27FC236}">
              <a16:creationId xmlns:a16="http://schemas.microsoft.com/office/drawing/2014/main" id="{8A3F886D-8ABF-0CCA-07DC-812FE53BC2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47625</xdr:colOff>
      <xdr:row>15</xdr:row>
      <xdr:rowOff>66675</xdr:rowOff>
    </xdr:from>
    <xdr:to>
      <xdr:col>5</xdr:col>
      <xdr:colOff>609600</xdr:colOff>
      <xdr:row>29</xdr:row>
      <xdr:rowOff>133350</xdr:rowOff>
    </xdr:to>
    <xdr:graphicFrame macro="">
      <xdr:nvGraphicFramePr>
        <xdr:cNvPr id="11304" name="Chart 40">
          <a:extLst>
            <a:ext uri="{FF2B5EF4-FFF2-40B4-BE49-F238E27FC236}">
              <a16:creationId xmlns:a16="http://schemas.microsoft.com/office/drawing/2014/main" id="{618A8F97-0F47-948B-FD29-6AD6072F7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76200</xdr:colOff>
      <xdr:row>45</xdr:row>
      <xdr:rowOff>47625</xdr:rowOff>
    </xdr:from>
    <xdr:to>
      <xdr:col>6</xdr:col>
      <xdr:colOff>257175</xdr:colOff>
      <xdr:row>65</xdr:row>
      <xdr:rowOff>57150</xdr:rowOff>
    </xdr:to>
    <xdr:graphicFrame macro="">
      <xdr:nvGraphicFramePr>
        <xdr:cNvPr id="12336" name="Chart 48">
          <a:extLst>
            <a:ext uri="{FF2B5EF4-FFF2-40B4-BE49-F238E27FC236}">
              <a16:creationId xmlns:a16="http://schemas.microsoft.com/office/drawing/2014/main" id="{B0D25437-7CF4-F7D8-8EBA-71798E0E7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66675</xdr:colOff>
      <xdr:row>24</xdr:row>
      <xdr:rowOff>57150</xdr:rowOff>
    </xdr:from>
    <xdr:to>
      <xdr:col>6</xdr:col>
      <xdr:colOff>638175</xdr:colOff>
      <xdr:row>45</xdr:row>
      <xdr:rowOff>142875</xdr:rowOff>
    </xdr:to>
    <xdr:graphicFrame macro="">
      <xdr:nvGraphicFramePr>
        <xdr:cNvPr id="14347" name="Chart 11">
          <a:extLst>
            <a:ext uri="{FF2B5EF4-FFF2-40B4-BE49-F238E27FC236}">
              <a16:creationId xmlns:a16="http://schemas.microsoft.com/office/drawing/2014/main" id="{98BE53C6-D0B5-72A8-DEDF-C786F175E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76200</xdr:colOff>
      <xdr:row>120</xdr:row>
      <xdr:rowOff>38100</xdr:rowOff>
    </xdr:from>
    <xdr:to>
      <xdr:col>8</xdr:col>
      <xdr:colOff>657225</xdr:colOff>
      <xdr:row>147</xdr:row>
      <xdr:rowOff>85725</xdr:rowOff>
    </xdr:to>
    <xdr:graphicFrame macro="">
      <xdr:nvGraphicFramePr>
        <xdr:cNvPr id="14374" name="Chart 38">
          <a:extLst>
            <a:ext uri="{FF2B5EF4-FFF2-40B4-BE49-F238E27FC236}">
              <a16:creationId xmlns:a16="http://schemas.microsoft.com/office/drawing/2014/main" id="{95078677-D0C3-8EA5-A380-D98AD1339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xml"/><Relationship Id="rId1" Type="http://schemas.openxmlformats.org/officeDocument/2006/relationships/printerSettings" Target="../printerSettings/printerSettings14.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5.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6.xml"/><Relationship Id="rId1" Type="http://schemas.openxmlformats.org/officeDocument/2006/relationships/printerSettings" Target="../printerSettings/printerSettings26.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97"/>
  <sheetViews>
    <sheetView zoomScaleNormal="100" workbookViewId="0">
      <selection activeCell="F3" sqref="F3"/>
    </sheetView>
  </sheetViews>
  <sheetFormatPr defaultRowHeight="12.75" x14ac:dyDescent="0.2"/>
  <cols>
    <col min="1" max="1" width="11.28515625" customWidth="1"/>
    <col min="2" max="2" width="34" customWidth="1"/>
    <col min="3" max="3" width="33.28515625" customWidth="1"/>
    <col min="4" max="4" width="33.7109375" customWidth="1"/>
    <col min="6" max="6" width="10.7109375" customWidth="1"/>
    <col min="7" max="7" width="11.28515625" customWidth="1"/>
  </cols>
  <sheetData>
    <row r="1" spans="1:9" ht="18" x14ac:dyDescent="0.25">
      <c r="A1" s="5" t="s">
        <v>534</v>
      </c>
      <c r="C1" s="124" t="s">
        <v>722</v>
      </c>
      <c r="E1" s="169"/>
      <c r="F1" s="170"/>
      <c r="G1" s="170"/>
      <c r="H1" s="170"/>
      <c r="I1" s="170"/>
    </row>
    <row r="2" spans="1:9" ht="18" x14ac:dyDescent="0.25">
      <c r="A2" s="171"/>
      <c r="B2" s="171"/>
      <c r="C2" s="171"/>
      <c r="E2" s="170"/>
      <c r="F2" s="170"/>
      <c r="G2" s="170"/>
      <c r="H2" s="170"/>
      <c r="I2" s="170"/>
    </row>
    <row r="3" spans="1:9" x14ac:dyDescent="0.2">
      <c r="A3" s="107" t="s">
        <v>777</v>
      </c>
      <c r="B3" s="107"/>
      <c r="C3" s="107" t="s">
        <v>542</v>
      </c>
      <c r="E3" s="103" t="s">
        <v>536</v>
      </c>
      <c r="F3" s="104">
        <f ca="1">NOW()</f>
        <v>45292.736864583334</v>
      </c>
      <c r="H3" s="53" t="s">
        <v>1352</v>
      </c>
      <c r="I3" s="50" t="s">
        <v>36</v>
      </c>
    </row>
    <row r="4" spans="1:9" x14ac:dyDescent="0.2">
      <c r="H4" s="50" t="s">
        <v>1344</v>
      </c>
      <c r="I4" s="50" t="s">
        <v>1345</v>
      </c>
    </row>
    <row r="5" spans="1:9" x14ac:dyDescent="0.2">
      <c r="A5" t="s">
        <v>42</v>
      </c>
      <c r="H5" s="50" t="s">
        <v>1346</v>
      </c>
      <c r="I5" s="50" t="s">
        <v>1347</v>
      </c>
    </row>
    <row r="6" spans="1:9" x14ac:dyDescent="0.2">
      <c r="A6" t="s">
        <v>778</v>
      </c>
      <c r="H6" s="50" t="s">
        <v>1348</v>
      </c>
      <c r="I6" s="50" t="s">
        <v>35</v>
      </c>
    </row>
    <row r="7" spans="1:9" x14ac:dyDescent="0.2">
      <c r="A7" t="s">
        <v>779</v>
      </c>
      <c r="H7" s="50" t="s">
        <v>1349</v>
      </c>
      <c r="I7" s="50" t="s">
        <v>1350</v>
      </c>
    </row>
    <row r="8" spans="1:9" x14ac:dyDescent="0.2">
      <c r="A8" t="s">
        <v>780</v>
      </c>
      <c r="H8" s="50" t="s">
        <v>1351</v>
      </c>
      <c r="I8" s="50" t="s">
        <v>30</v>
      </c>
    </row>
    <row r="9" spans="1:9" x14ac:dyDescent="0.2">
      <c r="A9" t="s">
        <v>1291</v>
      </c>
      <c r="H9" s="50" t="s">
        <v>32</v>
      </c>
      <c r="I9" s="50" t="s">
        <v>31</v>
      </c>
    </row>
    <row r="10" spans="1:9" x14ac:dyDescent="0.2">
      <c r="A10" t="s">
        <v>535</v>
      </c>
      <c r="H10" s="50" t="s">
        <v>33</v>
      </c>
      <c r="I10" s="50" t="s">
        <v>34</v>
      </c>
    </row>
    <row r="11" spans="1:9" x14ac:dyDescent="0.2">
      <c r="A11" s="172" t="s">
        <v>724</v>
      </c>
      <c r="B11" s="172"/>
      <c r="C11" s="172"/>
      <c r="D11" s="172"/>
      <c r="H11" s="50"/>
      <c r="I11" s="50"/>
    </row>
    <row r="12" spans="1:9" x14ac:dyDescent="0.2">
      <c r="A12" s="173" t="s">
        <v>723</v>
      </c>
      <c r="B12" s="173"/>
      <c r="C12" s="173"/>
      <c r="D12" s="173"/>
      <c r="H12" s="174" t="s">
        <v>701</v>
      </c>
      <c r="I12" s="174"/>
    </row>
    <row r="13" spans="1:9" x14ac:dyDescent="0.2">
      <c r="A13" s="173" t="s">
        <v>544</v>
      </c>
      <c r="B13" s="173"/>
      <c r="C13" s="173"/>
      <c r="D13" s="173"/>
      <c r="H13" s="50"/>
      <c r="I13" s="50"/>
    </row>
    <row r="14" spans="1:9" ht="12.75" customHeight="1" x14ac:dyDescent="0.2">
      <c r="A14" s="173" t="s">
        <v>636</v>
      </c>
      <c r="B14" s="173"/>
      <c r="C14" s="173"/>
      <c r="D14" s="173"/>
      <c r="H14" s="50"/>
      <c r="I14" s="50"/>
    </row>
    <row r="15" spans="1:9" x14ac:dyDescent="0.2">
      <c r="A15" s="107" t="s">
        <v>781</v>
      </c>
      <c r="B15" s="107"/>
      <c r="C15" s="107" t="s">
        <v>543</v>
      </c>
    </row>
    <row r="17" spans="1:7" x14ac:dyDescent="0.2">
      <c r="A17" t="s">
        <v>782</v>
      </c>
    </row>
    <row r="18" spans="1:7" x14ac:dyDescent="0.2">
      <c r="A18" t="s">
        <v>783</v>
      </c>
    </row>
    <row r="19" spans="1:7" x14ac:dyDescent="0.2">
      <c r="A19" t="s">
        <v>784</v>
      </c>
    </row>
    <row r="20" spans="1:7" x14ac:dyDescent="0.2">
      <c r="A20" t="s">
        <v>785</v>
      </c>
      <c r="G20" s="6"/>
    </row>
    <row r="21" spans="1:7" x14ac:dyDescent="0.2">
      <c r="A21" t="s">
        <v>812</v>
      </c>
    </row>
    <row r="22" spans="1:7" x14ac:dyDescent="0.2">
      <c r="A22" t="s">
        <v>813</v>
      </c>
    </row>
    <row r="23" spans="1:7" x14ac:dyDescent="0.2">
      <c r="A23" s="172" t="s">
        <v>725</v>
      </c>
      <c r="B23" s="172"/>
      <c r="C23" s="172"/>
      <c r="D23" s="172"/>
    </row>
    <row r="24" spans="1:7" x14ac:dyDescent="0.2">
      <c r="A24" s="172" t="s">
        <v>726</v>
      </c>
      <c r="B24" s="172"/>
      <c r="C24" s="172"/>
      <c r="D24" s="172"/>
    </row>
    <row r="25" spans="1:7" x14ac:dyDescent="0.2">
      <c r="A25" s="172" t="s">
        <v>727</v>
      </c>
      <c r="B25" s="172"/>
      <c r="C25" s="172"/>
      <c r="D25" s="172"/>
    </row>
    <row r="26" spans="1:7" x14ac:dyDescent="0.2">
      <c r="A26" s="172" t="s">
        <v>728</v>
      </c>
      <c r="B26" s="172"/>
      <c r="C26" s="172"/>
      <c r="D26" s="172"/>
    </row>
    <row r="27" spans="1:7" x14ac:dyDescent="0.2">
      <c r="A27" t="s">
        <v>839</v>
      </c>
    </row>
    <row r="28" spans="1:7" x14ac:dyDescent="0.2">
      <c r="A28" t="s">
        <v>1292</v>
      </c>
    </row>
    <row r="29" spans="1:7" x14ac:dyDescent="0.2">
      <c r="A29" s="166" t="s">
        <v>729</v>
      </c>
      <c r="B29" s="166"/>
      <c r="C29" s="166"/>
      <c r="D29" s="166"/>
    </row>
    <row r="30" spans="1:7" x14ac:dyDescent="0.2">
      <c r="A30" s="26"/>
      <c r="B30" s="26"/>
      <c r="C30" s="26"/>
      <c r="D30" s="26"/>
    </row>
    <row r="31" spans="1:7" x14ac:dyDescent="0.2">
      <c r="A31" t="s">
        <v>447</v>
      </c>
      <c r="G31" s="85"/>
    </row>
    <row r="32" spans="1:7" x14ac:dyDescent="0.2">
      <c r="A32" s="166" t="s">
        <v>730</v>
      </c>
      <c r="B32" s="166"/>
      <c r="C32" s="166"/>
      <c r="D32" s="166"/>
    </row>
    <row r="33" spans="1:9" x14ac:dyDescent="0.2">
      <c r="A33" s="107" t="s">
        <v>551</v>
      </c>
      <c r="B33" s="107" t="s">
        <v>552</v>
      </c>
      <c r="C33" s="107"/>
      <c r="D33" s="107"/>
    </row>
    <row r="34" spans="1:9" x14ac:dyDescent="0.2">
      <c r="A34" s="166"/>
      <c r="B34" s="166"/>
      <c r="C34" s="166"/>
      <c r="D34" s="166"/>
    </row>
    <row r="35" spans="1:9" x14ac:dyDescent="0.2">
      <c r="A35" s="166" t="s">
        <v>873</v>
      </c>
      <c r="B35" s="166"/>
      <c r="C35" s="166"/>
      <c r="D35" s="166"/>
    </row>
    <row r="36" spans="1:9" x14ac:dyDescent="0.2">
      <c r="A36" s="166" t="s">
        <v>731</v>
      </c>
      <c r="B36" s="166"/>
      <c r="C36" s="166"/>
      <c r="D36" s="166"/>
    </row>
    <row r="37" spans="1:9" x14ac:dyDescent="0.2">
      <c r="A37" s="166" t="s">
        <v>891</v>
      </c>
      <c r="B37" s="166"/>
      <c r="C37" s="166"/>
      <c r="D37" s="166"/>
    </row>
    <row r="38" spans="1:9" x14ac:dyDescent="0.2">
      <c r="A38" s="166" t="s">
        <v>732</v>
      </c>
      <c r="B38" s="166"/>
      <c r="C38" s="166"/>
      <c r="D38" s="166"/>
    </row>
    <row r="39" spans="1:9" x14ac:dyDescent="0.2">
      <c r="B39" s="3" t="s">
        <v>786</v>
      </c>
      <c r="C39" s="107" t="s">
        <v>889</v>
      </c>
      <c r="D39" s="107" t="s">
        <v>733</v>
      </c>
      <c r="E39" s="167" t="s">
        <v>890</v>
      </c>
      <c r="F39" s="168"/>
      <c r="G39" s="168"/>
      <c r="H39" s="168"/>
      <c r="I39" s="168"/>
    </row>
    <row r="40" spans="1:9" x14ac:dyDescent="0.2">
      <c r="B40" s="26"/>
      <c r="C40" s="111" t="s">
        <v>548</v>
      </c>
      <c r="D40" s="112" t="s">
        <v>549</v>
      </c>
      <c r="E40" s="110" t="s">
        <v>887</v>
      </c>
      <c r="F40" s="56"/>
    </row>
    <row r="41" spans="1:9" x14ac:dyDescent="0.2">
      <c r="B41" s="26">
        <v>3</v>
      </c>
      <c r="C41" s="9" t="s">
        <v>790</v>
      </c>
      <c r="D41" s="114" t="s">
        <v>734</v>
      </c>
      <c r="E41" t="s">
        <v>888</v>
      </c>
    </row>
    <row r="42" spans="1:9" x14ac:dyDescent="0.2">
      <c r="B42" s="26">
        <v>4</v>
      </c>
      <c r="C42" s="9" t="s">
        <v>789</v>
      </c>
      <c r="D42" s="114" t="s">
        <v>735</v>
      </c>
    </row>
    <row r="43" spans="1:9" x14ac:dyDescent="0.2">
      <c r="B43" s="26">
        <v>5</v>
      </c>
      <c r="C43" s="9" t="s">
        <v>791</v>
      </c>
      <c r="D43" s="114" t="s">
        <v>736</v>
      </c>
    </row>
    <row r="44" spans="1:9" x14ac:dyDescent="0.2">
      <c r="B44" s="26"/>
      <c r="C44" s="9"/>
      <c r="D44" s="9"/>
    </row>
    <row r="45" spans="1:9" x14ac:dyDescent="0.2">
      <c r="B45" s="26"/>
      <c r="C45" s="2" t="s">
        <v>37</v>
      </c>
      <c r="D45" s="2"/>
      <c r="E45" s="2"/>
      <c r="F45" s="2"/>
      <c r="G45" s="107" t="s">
        <v>547</v>
      </c>
      <c r="H45" s="2"/>
      <c r="I45" s="2"/>
    </row>
    <row r="46" spans="1:9" x14ac:dyDescent="0.2">
      <c r="B46" s="26"/>
      <c r="C46" s="2" t="s">
        <v>38</v>
      </c>
      <c r="D46" s="2"/>
      <c r="E46" s="2"/>
      <c r="F46" s="2"/>
      <c r="G46" s="2"/>
      <c r="H46" s="2"/>
      <c r="I46" s="2"/>
    </row>
    <row r="47" spans="1:9" x14ac:dyDescent="0.2">
      <c r="B47" s="26"/>
    </row>
    <row r="48" spans="1:9" x14ac:dyDescent="0.2">
      <c r="A48" s="107" t="s">
        <v>892</v>
      </c>
      <c r="B48" s="107"/>
      <c r="C48" s="107"/>
      <c r="D48" s="107" t="s">
        <v>741</v>
      </c>
    </row>
    <row r="49" spans="1:5" x14ac:dyDescent="0.2">
      <c r="B49" s="26">
        <v>6</v>
      </c>
      <c r="C49" s="9" t="s">
        <v>893</v>
      </c>
      <c r="D49" s="114" t="s">
        <v>737</v>
      </c>
      <c r="E49" t="s">
        <v>894</v>
      </c>
    </row>
    <row r="50" spans="1:5" x14ac:dyDescent="0.2">
      <c r="B50" s="26">
        <v>7</v>
      </c>
      <c r="C50" s="9" t="s">
        <v>886</v>
      </c>
      <c r="D50" s="114" t="s">
        <v>539</v>
      </c>
      <c r="E50" t="s">
        <v>895</v>
      </c>
    </row>
    <row r="51" spans="1:5" x14ac:dyDescent="0.2">
      <c r="B51" s="26">
        <v>8</v>
      </c>
      <c r="C51" s="9" t="s">
        <v>1289</v>
      </c>
      <c r="D51" s="114" t="s">
        <v>738</v>
      </c>
      <c r="E51" t="s">
        <v>1290</v>
      </c>
    </row>
    <row r="52" spans="1:5" x14ac:dyDescent="0.2">
      <c r="B52" s="26">
        <v>9</v>
      </c>
      <c r="C52" s="9" t="s">
        <v>878</v>
      </c>
      <c r="D52" s="114" t="s">
        <v>739</v>
      </c>
      <c r="E52" t="s">
        <v>1223</v>
      </c>
    </row>
    <row r="53" spans="1:5" x14ac:dyDescent="0.2">
      <c r="B53" s="26">
        <v>10</v>
      </c>
      <c r="C53" s="9" t="s">
        <v>879</v>
      </c>
      <c r="D53" s="114" t="s">
        <v>740</v>
      </c>
      <c r="E53" t="s">
        <v>1222</v>
      </c>
    </row>
    <row r="55" spans="1:5" x14ac:dyDescent="0.2">
      <c r="A55" s="107" t="s">
        <v>3</v>
      </c>
      <c r="B55" s="107"/>
      <c r="C55" s="107"/>
      <c r="D55" s="107" t="s">
        <v>550</v>
      </c>
    </row>
    <row r="57" spans="1:5" x14ac:dyDescent="0.2">
      <c r="B57" s="26">
        <v>11</v>
      </c>
      <c r="C57" s="9" t="s">
        <v>1285</v>
      </c>
      <c r="D57" s="114" t="s">
        <v>742</v>
      </c>
      <c r="E57" t="s">
        <v>1288</v>
      </c>
    </row>
    <row r="58" spans="1:5" x14ac:dyDescent="0.2">
      <c r="B58" s="26">
        <v>12</v>
      </c>
      <c r="C58" s="9" t="s">
        <v>1286</v>
      </c>
      <c r="D58" s="114" t="s">
        <v>743</v>
      </c>
      <c r="E58" t="s">
        <v>349</v>
      </c>
    </row>
    <row r="59" spans="1:5" x14ac:dyDescent="0.2">
      <c r="B59" s="26">
        <v>13</v>
      </c>
      <c r="C59" s="9" t="s">
        <v>1</v>
      </c>
      <c r="D59" s="114" t="s">
        <v>744</v>
      </c>
      <c r="E59" t="s">
        <v>5</v>
      </c>
    </row>
    <row r="60" spans="1:5" x14ac:dyDescent="0.2">
      <c r="B60" s="26">
        <v>14</v>
      </c>
      <c r="C60" s="9" t="s">
        <v>1287</v>
      </c>
      <c r="D60" s="114" t="s">
        <v>745</v>
      </c>
      <c r="E60" t="s">
        <v>348</v>
      </c>
    </row>
    <row r="61" spans="1:5" x14ac:dyDescent="0.2">
      <c r="B61" s="26">
        <v>15</v>
      </c>
      <c r="C61" s="9" t="s">
        <v>2</v>
      </c>
      <c r="D61" s="114" t="s">
        <v>746</v>
      </c>
      <c r="E61" t="s">
        <v>7</v>
      </c>
    </row>
    <row r="62" spans="1:5" x14ac:dyDescent="0.2">
      <c r="B62" s="26">
        <v>16</v>
      </c>
      <c r="C62" s="9" t="s">
        <v>4</v>
      </c>
      <c r="D62" s="114" t="s">
        <v>747</v>
      </c>
      <c r="E62" t="s">
        <v>6</v>
      </c>
    </row>
    <row r="63" spans="1:5" x14ac:dyDescent="0.2">
      <c r="B63" s="26"/>
    </row>
    <row r="64" spans="1:5" x14ac:dyDescent="0.2">
      <c r="B64" s="39"/>
      <c r="C64" s="2"/>
      <c r="D64" s="2"/>
      <c r="E64" s="2"/>
    </row>
    <row r="65" spans="1:5" x14ac:dyDescent="0.2">
      <c r="B65" s="39"/>
      <c r="C65" s="2"/>
      <c r="D65" s="2"/>
      <c r="E65" s="2"/>
    </row>
    <row r="66" spans="1:5" x14ac:dyDescent="0.2">
      <c r="A66" s="1"/>
    </row>
    <row r="70" spans="1:5" x14ac:dyDescent="0.2">
      <c r="A70" s="2"/>
    </row>
    <row r="72" spans="1:5" x14ac:dyDescent="0.2">
      <c r="A72" s="1"/>
    </row>
    <row r="77" spans="1:5" x14ac:dyDescent="0.2">
      <c r="B77" s="55"/>
    </row>
    <row r="78" spans="1:5" x14ac:dyDescent="0.2">
      <c r="B78" s="55"/>
    </row>
    <row r="79" spans="1:5" x14ac:dyDescent="0.2">
      <c r="B79" s="55"/>
    </row>
    <row r="80" spans="1:5" x14ac:dyDescent="0.2">
      <c r="B80" s="55"/>
    </row>
    <row r="81" spans="1:7" x14ac:dyDescent="0.2">
      <c r="B81" s="55"/>
    </row>
    <row r="82" spans="1:7" x14ac:dyDescent="0.2">
      <c r="A82" s="1"/>
      <c r="B82" s="55"/>
    </row>
    <row r="83" spans="1:7" x14ac:dyDescent="0.2">
      <c r="B83" s="55"/>
    </row>
    <row r="84" spans="1:7" x14ac:dyDescent="0.2">
      <c r="B84" s="55"/>
    </row>
    <row r="85" spans="1:7" x14ac:dyDescent="0.2">
      <c r="B85" s="55"/>
    </row>
    <row r="86" spans="1:7" x14ac:dyDescent="0.2">
      <c r="B86" s="55"/>
    </row>
    <row r="87" spans="1:7" x14ac:dyDescent="0.2">
      <c r="A87" s="1"/>
      <c r="B87" s="55"/>
    </row>
    <row r="88" spans="1:7" x14ac:dyDescent="0.2">
      <c r="A88" s="10"/>
      <c r="B88" s="102"/>
      <c r="C88" s="10"/>
      <c r="D88" s="10"/>
      <c r="E88" s="10"/>
      <c r="F88" s="10"/>
    </row>
    <row r="89" spans="1:7" x14ac:dyDescent="0.2">
      <c r="A89" s="10"/>
      <c r="B89" s="102"/>
      <c r="C89" s="10"/>
      <c r="D89" s="10"/>
      <c r="E89" s="10"/>
      <c r="F89" s="10"/>
    </row>
    <row r="90" spans="1:7" x14ac:dyDescent="0.2">
      <c r="A90" s="10"/>
      <c r="B90" s="102"/>
      <c r="C90" s="10"/>
      <c r="D90" s="10"/>
      <c r="E90" s="10"/>
      <c r="F90" s="10"/>
      <c r="G90" s="9"/>
    </row>
    <row r="91" spans="1:7" x14ac:dyDescent="0.2">
      <c r="B91" s="55"/>
    </row>
    <row r="92" spans="1:7" x14ac:dyDescent="0.2">
      <c r="B92" s="55"/>
    </row>
    <row r="93" spans="1:7" x14ac:dyDescent="0.2">
      <c r="B93" s="55"/>
    </row>
    <row r="94" spans="1:7" x14ac:dyDescent="0.2">
      <c r="B94" s="55"/>
    </row>
    <row r="95" spans="1:7" x14ac:dyDescent="0.2">
      <c r="B95" s="55"/>
    </row>
    <row r="96" spans="1:7" x14ac:dyDescent="0.2">
      <c r="B96" s="55"/>
    </row>
    <row r="97" spans="2:2" x14ac:dyDescent="0.2">
      <c r="B97" s="55"/>
    </row>
  </sheetData>
  <customSheetViews>
    <customSheetView guid="{250789E3-B657-4A6D-AD7D-7EE7A7132AFA}" showRuler="0">
      <pageMargins left="0.75" right="0.75" top="1" bottom="1" header="0.5" footer="0.5"/>
      <pageSetup orientation="portrait" horizontalDpi="300" verticalDpi="300" r:id="rId1"/>
      <headerFooter alignWithMargins="0"/>
    </customSheetView>
  </customSheetViews>
  <mergeCells count="19">
    <mergeCell ref="A36:D36"/>
    <mergeCell ref="A25:D25"/>
    <mergeCell ref="A26:D26"/>
    <mergeCell ref="A29:D29"/>
    <mergeCell ref="A34:D34"/>
    <mergeCell ref="A35:D35"/>
    <mergeCell ref="E39:I39"/>
    <mergeCell ref="E1:I2"/>
    <mergeCell ref="A2:C2"/>
    <mergeCell ref="A11:D11"/>
    <mergeCell ref="A12:D12"/>
    <mergeCell ref="A13:D13"/>
    <mergeCell ref="A14:D14"/>
    <mergeCell ref="A23:D23"/>
    <mergeCell ref="A24:D24"/>
    <mergeCell ref="A32:D32"/>
    <mergeCell ref="A37:D37"/>
    <mergeCell ref="A38:D38"/>
    <mergeCell ref="H12:I12"/>
  </mergeCells>
  <phoneticPr fontId="0" type="noConversion"/>
  <hyperlinks>
    <hyperlink ref="C41" location="'3 - Balance Sheet'!A1" display="Balance Sheet" xr:uid="{00000000-0004-0000-0000-000000000000}"/>
    <hyperlink ref="C42" location="'4 - Income Statement'!A1" display="Income Statement" xr:uid="{00000000-0004-0000-0000-000001000000}"/>
    <hyperlink ref="C43" location="'5 - Cash Flow'!A1" display="Cash Flow Statement" xr:uid="{00000000-0004-0000-0000-000002000000}"/>
    <hyperlink ref="C49" location="'6 - Key Financials'!A1" display="Key Financial Data" xr:uid="{00000000-0004-0000-0000-000003000000}"/>
    <hyperlink ref="C50" location="'7 - Ratio Analysis'!A1" display="Ratio Analysis" xr:uid="{00000000-0004-0000-0000-000004000000}"/>
    <hyperlink ref="C51" location="'8 - Benchmark Analysis'!A1" display="Benchmark Analysis" xr:uid="{00000000-0004-0000-0000-000005000000}"/>
    <hyperlink ref="C52" location="'9 - Horizontal Analysis'!A1" display="Horizontal Analysis" xr:uid="{00000000-0004-0000-0000-000006000000}"/>
    <hyperlink ref="C53" location="'10 - Vertical Analysis'!A1" display="Vertical Analysis" xr:uid="{00000000-0004-0000-0000-000007000000}"/>
    <hyperlink ref="C57" location="'11 - Pro Forma (Simple)'!A1" display="Pro Forma - Simple" xr:uid="{00000000-0004-0000-0000-000008000000}"/>
    <hyperlink ref="C58" location="'12 - Pro Forma (Linear) '!A1" display="Pro Forma - Regression" xr:uid="{00000000-0004-0000-0000-000009000000}"/>
    <hyperlink ref="C60" location="'13 - Scenario Analysis'!A1" display="Scenario Analysis" xr:uid="{00000000-0004-0000-0000-00000A000000}"/>
    <hyperlink ref="C59" location="'13 - Pro Forma (Exp)'!A1" display="Pro Forma - Exponential" xr:uid="{00000000-0004-0000-0000-00000B000000}"/>
    <hyperlink ref="H4" location="'3 - Balance Sheet'!A1" display="Wksh3" xr:uid="{00000000-0004-0000-0000-00000C000000}"/>
    <hyperlink ref="I4" location="'4 - Income Statement'!A1" display="Wksh4" xr:uid="{00000000-0004-0000-0000-00000D000000}"/>
    <hyperlink ref="I5" location="'6 - Key Financials'!A1" display="Wksh6" xr:uid="{00000000-0004-0000-0000-00000E000000}"/>
    <hyperlink ref="H5" location="'5 - Cash Flow'!A1" display="Wksh5" xr:uid="{00000000-0004-0000-0000-00000F000000}"/>
    <hyperlink ref="H6" location="'7 - Ratio Analysis'!A1" display="Wksh7" xr:uid="{00000000-0004-0000-0000-000010000000}"/>
    <hyperlink ref="H7" location="'9 - Horizontal Analysis'!A1" display="Wksh9" xr:uid="{00000000-0004-0000-0000-000011000000}"/>
    <hyperlink ref="I7" location="'10 - Vertical Analysis'!A1" display="Wksh10" xr:uid="{00000000-0004-0000-0000-000012000000}"/>
    <hyperlink ref="H8" location="'11 - Pro Forma (Simple)'!A1" display="Wksh11" xr:uid="{00000000-0004-0000-0000-000013000000}"/>
    <hyperlink ref="I8" location="'12 - Pro Forma (Linear) '!A1" display="Wksh12" xr:uid="{00000000-0004-0000-0000-000014000000}"/>
    <hyperlink ref="I10" location="'16 - Final Budgets'!A1" display="Wksh16" xr:uid="{00000000-0004-0000-0000-000015000000}"/>
    <hyperlink ref="H10" location="'15 -Budget Analysis'!A1" display="Wksh15" xr:uid="{00000000-0004-0000-0000-000016000000}"/>
    <hyperlink ref="I9" location="'14 - Scenario Analysis'!A1" display="Wksh14" xr:uid="{00000000-0004-0000-0000-000017000000}"/>
    <hyperlink ref="H9" location="'13 - Pro Forma (Exp)'!A1" display="Wksh13" xr:uid="{00000000-0004-0000-0000-000018000000}"/>
    <hyperlink ref="I6" location="'8 - Benchmark Analysis'!A1" display="Wksh8" xr:uid="{00000000-0004-0000-0000-000019000000}"/>
    <hyperlink ref="I3" location="'2 - General Input'!A1" display="Wksh2" xr:uid="{00000000-0004-0000-0000-00001A000000}"/>
    <hyperlink ref="C62" location="'16 - Final Budgets'!A1" display="Final Budgets" xr:uid="{00000000-0004-0000-0000-00001B000000}"/>
    <hyperlink ref="C61" location="'15 -Budget Analysis'!A1" display="Budget Analysis" xr:uid="{00000000-0004-0000-0000-00001C000000}"/>
    <hyperlink ref="D43" location="'5 - Cash Flow'!A1" display="Cash Flow Statement" xr:uid="{00000000-0004-0000-0000-00001D000000}"/>
    <hyperlink ref="D41" location="'3 - Balance Sheet'!A1" display="Balance Sheet" xr:uid="{00000000-0004-0000-0000-00001E000000}"/>
    <hyperlink ref="D42" location="'4 - Income Statement'!A1" display="Income Statement" xr:uid="{00000000-0004-0000-0000-00001F000000}"/>
    <hyperlink ref="D49" location="'6 - Key Financials'!A1" display="Key Financial Data" xr:uid="{00000000-0004-0000-0000-000020000000}"/>
    <hyperlink ref="D50" location="'7 - Ratio Analysis'!A1" display="Ratio Analysis" xr:uid="{00000000-0004-0000-0000-000021000000}"/>
    <hyperlink ref="D51" location="'8 - Benchmark Analysis'!A1" display="Benchmark Analysis" xr:uid="{00000000-0004-0000-0000-000022000000}"/>
    <hyperlink ref="D52" location="'9 - Horizontal Analysis'!A1" display="Horizontal Analysis" xr:uid="{00000000-0004-0000-0000-000023000000}"/>
    <hyperlink ref="D53" location="'10 - Vertical Analysis'!A1" display="Vertical Analysis" xr:uid="{00000000-0004-0000-0000-000024000000}"/>
    <hyperlink ref="D57" location="'11 - Pro Forma (Simple)'!A1" display="Pro Forma - Simple" xr:uid="{00000000-0004-0000-0000-000025000000}"/>
    <hyperlink ref="D58" location="'12 - Pro Forma (Linear) '!A1" display="Pro Forma - Regression" xr:uid="{00000000-0004-0000-0000-000026000000}"/>
    <hyperlink ref="D59" location="'13 - Pro Forma (Exp)'!A1" display="Pro Forma - Exponential" xr:uid="{00000000-0004-0000-0000-000027000000}"/>
    <hyperlink ref="D60" location="'13 - Scenario Analysis'!A1" display="Scenario Analysis" xr:uid="{00000000-0004-0000-0000-000028000000}"/>
    <hyperlink ref="D61" location="'15 -Budget Analysis'!A1" display="Budget Analysis" xr:uid="{00000000-0004-0000-0000-000029000000}"/>
    <hyperlink ref="D62" location="'16 - Final Budgets'!A1" display="Final Budgets" xr:uid="{00000000-0004-0000-0000-00002A000000}"/>
  </hyperlinks>
  <pageMargins left="0.75" right="0.75" top="1" bottom="1" header="0.5" footer="0.5"/>
  <pageSetup scale="68" orientation="portrait" horizontalDpi="300" verticalDpi="300" r:id="rId2"/>
  <headerFooter alignWithMargins="0"/>
  <rowBreaks count="1" manualBreakCount="1">
    <brk id="63" max="16383" man="1"/>
  </rowBreaks>
  <colBreaks count="1" manualBreakCount="1">
    <brk id="9" max="1048575" man="1"/>
  </colBreaks>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32"/>
  <sheetViews>
    <sheetView zoomScaleNormal="100" zoomScaleSheetLayoutView="100" workbookViewId="0">
      <selection activeCell="C11" sqref="C11"/>
    </sheetView>
  </sheetViews>
  <sheetFormatPr defaultRowHeight="12.75" x14ac:dyDescent="0.2"/>
  <cols>
    <col min="1" max="1" width="6.28515625" customWidth="1"/>
    <col min="2" max="2" width="94" bestFit="1" customWidth="1"/>
    <col min="3" max="3" width="14.140625" customWidth="1"/>
    <col min="5" max="5" width="14.42578125" customWidth="1"/>
    <col min="7" max="7" width="10.5703125" customWidth="1"/>
  </cols>
  <sheetData>
    <row r="1" spans="1:9" ht="15.75" x14ac:dyDescent="0.25">
      <c r="B1" s="115" t="s">
        <v>553</v>
      </c>
      <c r="H1" s="50" t="s">
        <v>1065</v>
      </c>
      <c r="I1" s="52" t="s">
        <v>1352</v>
      </c>
    </row>
    <row r="2" spans="1:9" ht="15" x14ac:dyDescent="0.2">
      <c r="B2" s="105"/>
      <c r="H2" s="50"/>
      <c r="I2" s="52"/>
    </row>
    <row r="3" spans="1:9" x14ac:dyDescent="0.2">
      <c r="B3" t="s">
        <v>365</v>
      </c>
      <c r="H3" s="50" t="s">
        <v>1344</v>
      </c>
      <c r="I3" s="50" t="s">
        <v>1345</v>
      </c>
    </row>
    <row r="4" spans="1:9" x14ac:dyDescent="0.2">
      <c r="B4" t="s">
        <v>366</v>
      </c>
      <c r="H4" s="50" t="s">
        <v>1346</v>
      </c>
      <c r="I4" s="50" t="s">
        <v>1347</v>
      </c>
    </row>
    <row r="5" spans="1:9" x14ac:dyDescent="0.2">
      <c r="B5" s="113"/>
      <c r="H5" s="50" t="s">
        <v>1348</v>
      </c>
      <c r="I5" s="50" t="s">
        <v>35</v>
      </c>
    </row>
    <row r="6" spans="1:9" x14ac:dyDescent="0.2">
      <c r="A6" s="27" t="s">
        <v>914</v>
      </c>
      <c r="B6" t="s">
        <v>750</v>
      </c>
      <c r="C6" s="175"/>
      <c r="D6" s="176"/>
      <c r="E6" s="177"/>
      <c r="H6" s="50" t="s">
        <v>1349</v>
      </c>
      <c r="I6" s="50" t="s">
        <v>1350</v>
      </c>
    </row>
    <row r="7" spans="1:9" x14ac:dyDescent="0.2">
      <c r="A7" s="27"/>
      <c r="C7" s="28"/>
      <c r="D7" s="28"/>
      <c r="E7" s="28"/>
      <c r="H7" s="50" t="s">
        <v>1351</v>
      </c>
      <c r="I7" s="50" t="s">
        <v>30</v>
      </c>
    </row>
    <row r="8" spans="1:9" x14ac:dyDescent="0.2">
      <c r="A8" s="27" t="s">
        <v>1026</v>
      </c>
      <c r="B8" t="s">
        <v>749</v>
      </c>
      <c r="C8" s="7" t="s">
        <v>752</v>
      </c>
      <c r="D8" t="s">
        <v>804</v>
      </c>
      <c r="H8" s="50" t="s">
        <v>32</v>
      </c>
      <c r="I8" s="50" t="s">
        <v>31</v>
      </c>
    </row>
    <row r="9" spans="1:9" x14ac:dyDescent="0.2">
      <c r="A9" s="27"/>
      <c r="C9" s="178" t="s">
        <v>753</v>
      </c>
      <c r="D9" s="178"/>
      <c r="E9" s="178"/>
      <c r="F9" s="178"/>
      <c r="G9" s="178"/>
      <c r="H9" s="50" t="s">
        <v>33</v>
      </c>
      <c r="I9" s="50" t="s">
        <v>34</v>
      </c>
    </row>
    <row r="10" spans="1:9" x14ac:dyDescent="0.2">
      <c r="A10" s="27" t="s">
        <v>1027</v>
      </c>
      <c r="B10" t="s">
        <v>748</v>
      </c>
      <c r="D10" s="8">
        <v>365</v>
      </c>
    </row>
    <row r="11" spans="1:9" x14ac:dyDescent="0.2">
      <c r="A11" s="27"/>
      <c r="D11" s="10" t="s">
        <v>788</v>
      </c>
    </row>
    <row r="12" spans="1:9" x14ac:dyDescent="0.2">
      <c r="A12" s="27"/>
      <c r="B12" t="s">
        <v>751</v>
      </c>
    </row>
    <row r="13" spans="1:9" x14ac:dyDescent="0.2">
      <c r="A13" s="27"/>
    </row>
    <row r="14" spans="1:9" x14ac:dyDescent="0.2">
      <c r="A14" s="27" t="s">
        <v>1028</v>
      </c>
      <c r="B14" t="s">
        <v>754</v>
      </c>
      <c r="C14" s="7">
        <v>2009</v>
      </c>
      <c r="D14" t="s">
        <v>803</v>
      </c>
    </row>
    <row r="15" spans="1:9" x14ac:dyDescent="0.2">
      <c r="A15" s="27" t="s">
        <v>1029</v>
      </c>
      <c r="B15" t="s">
        <v>755</v>
      </c>
      <c r="C15" s="7">
        <v>2008</v>
      </c>
      <c r="D15" t="s">
        <v>803</v>
      </c>
    </row>
    <row r="16" spans="1:9" x14ac:dyDescent="0.2">
      <c r="A16" s="27" t="s">
        <v>1030</v>
      </c>
      <c r="B16" t="s">
        <v>756</v>
      </c>
      <c r="C16" s="7">
        <v>2007</v>
      </c>
      <c r="D16" t="s">
        <v>803</v>
      </c>
    </row>
    <row r="17" spans="1:5" x14ac:dyDescent="0.2">
      <c r="A17" s="27" t="s">
        <v>1031</v>
      </c>
      <c r="B17" t="s">
        <v>757</v>
      </c>
      <c r="C17" s="7">
        <v>2006</v>
      </c>
      <c r="D17" t="s">
        <v>803</v>
      </c>
    </row>
    <row r="18" spans="1:5" x14ac:dyDescent="0.2">
      <c r="A18" s="27" t="s">
        <v>1032</v>
      </c>
      <c r="B18" t="s">
        <v>758</v>
      </c>
      <c r="C18" s="7">
        <v>2005</v>
      </c>
      <c r="D18" t="s">
        <v>803</v>
      </c>
    </row>
    <row r="19" spans="1:5" x14ac:dyDescent="0.2">
      <c r="A19" s="27"/>
    </row>
    <row r="20" spans="1:5" x14ac:dyDescent="0.2">
      <c r="A20" s="27" t="s">
        <v>1033</v>
      </c>
      <c r="B20" t="s">
        <v>759</v>
      </c>
      <c r="E20" s="8">
        <v>5</v>
      </c>
    </row>
    <row r="21" spans="1:5" x14ac:dyDescent="0.2">
      <c r="A21" s="27"/>
      <c r="B21" s="109" t="s">
        <v>546</v>
      </c>
      <c r="C21" s="108"/>
    </row>
    <row r="22" spans="1:5" x14ac:dyDescent="0.2">
      <c r="A22" s="27"/>
      <c r="B22" s="108" t="s">
        <v>545</v>
      </c>
      <c r="C22" s="108"/>
    </row>
    <row r="23" spans="1:5" x14ac:dyDescent="0.2">
      <c r="A23" s="27" t="s">
        <v>1239</v>
      </c>
      <c r="B23" s="6" t="s">
        <v>819</v>
      </c>
    </row>
    <row r="24" spans="1:5" x14ac:dyDescent="0.2">
      <c r="A24" s="27"/>
    </row>
    <row r="25" spans="1:5" x14ac:dyDescent="0.2">
      <c r="A25" s="27"/>
    </row>
    <row r="26" spans="1:5" x14ac:dyDescent="0.2">
      <c r="A26" s="27"/>
    </row>
    <row r="27" spans="1:5" x14ac:dyDescent="0.2">
      <c r="A27" s="27"/>
    </row>
    <row r="28" spans="1:5" x14ac:dyDescent="0.2">
      <c r="A28" s="27"/>
    </row>
    <row r="29" spans="1:5" x14ac:dyDescent="0.2">
      <c r="A29" s="27"/>
    </row>
    <row r="30" spans="1:5" x14ac:dyDescent="0.2">
      <c r="A30" s="27"/>
    </row>
    <row r="31" spans="1:5" x14ac:dyDescent="0.2">
      <c r="A31" s="27"/>
    </row>
    <row r="32" spans="1:5" x14ac:dyDescent="0.2">
      <c r="A32" s="27"/>
    </row>
  </sheetData>
  <customSheetViews>
    <customSheetView guid="{250789E3-B657-4A6D-AD7D-7EE7A7132AFA}" showRuler="0">
      <selection activeCell="G11" sqref="G11"/>
      <pageMargins left="0.75" right="0.75" top="1" bottom="1" header="0.5" footer="0.5"/>
      <headerFooter alignWithMargins="0"/>
    </customSheetView>
  </customSheetViews>
  <mergeCells count="2">
    <mergeCell ref="C6:E6"/>
    <mergeCell ref="C9:G9"/>
  </mergeCells>
  <phoneticPr fontId="0" type="noConversion"/>
  <conditionalFormatting sqref="D11">
    <cfRule type="cellIs" dxfId="4" priority="1" stopIfTrue="1" operator="equal">
      <formula>$AC$3</formula>
    </cfRule>
  </conditionalFormatting>
  <hyperlinks>
    <hyperlink ref="H1" location="'1 - Control Menu'!A1" display="Home" xr:uid="{00000000-0004-0000-0100-000000000000}"/>
    <hyperlink ref="H3" location="'3 - Balance Sheet'!A1" display="Wksh3" xr:uid="{00000000-0004-0000-0100-000001000000}"/>
    <hyperlink ref="I3" location="'4 - Income Statement'!A1" display="Wksh4" xr:uid="{00000000-0004-0000-0100-000002000000}"/>
    <hyperlink ref="I4" location="'6 - Key Financials'!A1" display="Wksh6" xr:uid="{00000000-0004-0000-0100-000003000000}"/>
    <hyperlink ref="H4" location="'5 - Cash Flow'!A1" display="Wksh5" xr:uid="{00000000-0004-0000-0100-000004000000}"/>
    <hyperlink ref="H5" location="'7 - Ratio Analysis'!A1" display="Wksh7" xr:uid="{00000000-0004-0000-0100-000005000000}"/>
    <hyperlink ref="H6" location="'9 - Horizontal Analysis'!A1" display="Wksh9" xr:uid="{00000000-0004-0000-0100-000006000000}"/>
    <hyperlink ref="I6" location="'10 - Vertical Analysis'!A1" display="Wksh10" xr:uid="{00000000-0004-0000-0100-000007000000}"/>
    <hyperlink ref="H7" location="'11 - Pro Forma (Simple)'!A1" display="Wksh11" xr:uid="{00000000-0004-0000-0100-000008000000}"/>
    <hyperlink ref="I7" location="'12 - Pro Forma (Linear) '!A1" display="Wksh12" xr:uid="{00000000-0004-0000-0100-000009000000}"/>
    <hyperlink ref="I9" location="'16 - Final Budgets'!A1" display="Wksh16" xr:uid="{00000000-0004-0000-0100-00000A000000}"/>
    <hyperlink ref="H9" location="'15 -Budget Analysis'!A1" display="Wksh15" xr:uid="{00000000-0004-0000-0100-00000B000000}"/>
    <hyperlink ref="I8" location="'14 - Scenario Analysis'!A1" display="Wksh14" xr:uid="{00000000-0004-0000-0100-00000C000000}"/>
    <hyperlink ref="H8" location="'13 - Pro Forma (Exp)'!A1" display="Wksh13" xr:uid="{00000000-0004-0000-0100-00000D000000}"/>
    <hyperlink ref="I5" location="'8 - Benchmark Analysis'!A1" display="Wksh8" xr:uid="{00000000-0004-0000-0100-00000E000000}"/>
  </hyperlinks>
  <pageMargins left="0.75" right="0.75" top="1" bottom="1" header="0.5" footer="0.5"/>
  <pageSetup scale="94"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38"/>
  <sheetViews>
    <sheetView tabSelected="1" zoomScaleNormal="100" zoomScaleSheetLayoutView="50" workbookViewId="0">
      <selection activeCell="B2" sqref="B2"/>
    </sheetView>
  </sheetViews>
  <sheetFormatPr defaultRowHeight="12.75" x14ac:dyDescent="0.2"/>
  <cols>
    <col min="1" max="1" width="7.7109375" customWidth="1"/>
    <col min="2" max="2" width="39.85546875" customWidth="1"/>
    <col min="3" max="3" width="29.7109375" customWidth="1"/>
    <col min="4" max="8" width="14.7109375" customWidth="1"/>
  </cols>
  <sheetData>
    <row r="1" spans="1:8" x14ac:dyDescent="0.2">
      <c r="A1" s="3" t="s">
        <v>792</v>
      </c>
      <c r="B1" s="3" t="s">
        <v>554</v>
      </c>
      <c r="C1" s="3" t="s">
        <v>541</v>
      </c>
      <c r="D1" s="3">
        <f>'2 - General Input'!C18</f>
        <v>2005</v>
      </c>
      <c r="E1" s="3">
        <f>'2 - General Input'!C17</f>
        <v>2006</v>
      </c>
      <c r="F1" s="3">
        <f>'2 - General Input'!C16</f>
        <v>2007</v>
      </c>
      <c r="G1" s="3">
        <f>'2 - General Input'!C15</f>
        <v>2008</v>
      </c>
      <c r="H1" s="3">
        <f>'2 - General Input'!C14</f>
        <v>2009</v>
      </c>
    </row>
    <row r="2" spans="1:8" x14ac:dyDescent="0.2">
      <c r="A2" s="27" t="s">
        <v>1034</v>
      </c>
      <c r="B2" t="s">
        <v>814</v>
      </c>
      <c r="C2" t="s">
        <v>763</v>
      </c>
      <c r="D2" s="16">
        <v>4860589</v>
      </c>
      <c r="E2" s="16">
        <v>23722600</v>
      </c>
      <c r="F2" s="16">
        <v>14360077</v>
      </c>
      <c r="G2" s="16">
        <v>49704636</v>
      </c>
      <c r="H2" s="16">
        <v>25361545</v>
      </c>
    </row>
    <row r="3" spans="1:8" x14ac:dyDescent="0.2">
      <c r="A3" s="27" t="s">
        <v>1035</v>
      </c>
      <c r="B3" t="s">
        <v>815</v>
      </c>
      <c r="C3" t="s">
        <v>764</v>
      </c>
      <c r="D3" s="16">
        <v>0</v>
      </c>
      <c r="E3" s="16">
        <v>0</v>
      </c>
      <c r="F3" s="16">
        <v>0</v>
      </c>
      <c r="G3" s="16">
        <v>0</v>
      </c>
      <c r="H3" s="16">
        <v>0</v>
      </c>
    </row>
    <row r="4" spans="1:8" x14ac:dyDescent="0.2">
      <c r="A4" s="27" t="s">
        <v>1036</v>
      </c>
      <c r="B4" t="s">
        <v>901</v>
      </c>
      <c r="C4" t="s">
        <v>765</v>
      </c>
      <c r="D4" s="16">
        <v>65643719</v>
      </c>
      <c r="E4" s="16">
        <v>49342944</v>
      </c>
      <c r="F4" s="16">
        <v>93961696</v>
      </c>
      <c r="G4" s="16">
        <v>155569394</v>
      </c>
      <c r="H4" s="16">
        <v>225973811</v>
      </c>
    </row>
    <row r="5" spans="1:8" x14ac:dyDescent="0.2">
      <c r="A5" s="27" t="s">
        <v>1037</v>
      </c>
      <c r="B5" t="s">
        <v>840</v>
      </c>
      <c r="C5" t="s">
        <v>766</v>
      </c>
      <c r="D5" s="16">
        <v>5117530</v>
      </c>
      <c r="E5" s="16">
        <v>6693971</v>
      </c>
      <c r="F5" s="16">
        <v>13514991</v>
      </c>
      <c r="G5" s="16">
        <v>34916560</v>
      </c>
      <c r="H5" s="16">
        <v>106895912</v>
      </c>
    </row>
    <row r="6" spans="1:8" x14ac:dyDescent="0.2">
      <c r="A6" s="27" t="s">
        <v>1038</v>
      </c>
      <c r="B6" s="61" t="s">
        <v>816</v>
      </c>
      <c r="C6" s="61" t="s">
        <v>767</v>
      </c>
      <c r="D6" s="70">
        <f>2488705+500000+17463354+1320757+19000+827677</f>
        <v>22619493</v>
      </c>
      <c r="E6" s="70">
        <f>113549197-79759515</f>
        <v>33789682</v>
      </c>
      <c r="F6" s="70">
        <f>166085580-121836764</f>
        <v>44248816</v>
      </c>
      <c r="G6" s="70">
        <f>314092754-240190590</f>
        <v>73902164</v>
      </c>
      <c r="H6" s="70">
        <f>438368195-358231268</f>
        <v>80136927</v>
      </c>
    </row>
    <row r="7" spans="1:8" x14ac:dyDescent="0.2">
      <c r="A7" s="27" t="s">
        <v>1039</v>
      </c>
      <c r="B7" s="107" t="s">
        <v>817</v>
      </c>
      <c r="C7" s="107" t="s">
        <v>555</v>
      </c>
      <c r="D7" s="118">
        <f>SUM(D2:D6)</f>
        <v>98241331</v>
      </c>
      <c r="E7" s="118">
        <f>SUM(E2:E6)</f>
        <v>113549197</v>
      </c>
      <c r="F7" s="118">
        <f>SUM(F2:F6)</f>
        <v>166085580</v>
      </c>
      <c r="G7" s="118">
        <f>SUM(G2:G6)</f>
        <v>314092754</v>
      </c>
      <c r="H7" s="118">
        <f>SUM(H2:H6)</f>
        <v>438368195</v>
      </c>
    </row>
    <row r="8" spans="1:8" x14ac:dyDescent="0.2">
      <c r="A8" s="27" t="s">
        <v>1040</v>
      </c>
      <c r="B8" t="s">
        <v>820</v>
      </c>
      <c r="C8" t="s">
        <v>761</v>
      </c>
      <c r="D8" s="16">
        <f>134998951+357658</f>
        <v>135356609</v>
      </c>
      <c r="E8" s="16">
        <f>264356283+3386144</f>
        <v>267742427</v>
      </c>
      <c r="F8" s="16">
        <f>333614145+848312</f>
        <v>334462457</v>
      </c>
      <c r="G8" s="16">
        <f>483316592+5543804</f>
        <v>488860396</v>
      </c>
      <c r="H8" s="16">
        <v>587705103</v>
      </c>
    </row>
    <row r="9" spans="1:8" x14ac:dyDescent="0.2">
      <c r="A9" s="27" t="s">
        <v>1041</v>
      </c>
      <c r="B9" t="s">
        <v>821</v>
      </c>
      <c r="C9" t="s">
        <v>768</v>
      </c>
      <c r="D9" s="16">
        <v>-55358062</v>
      </c>
      <c r="E9" s="16">
        <v>-71510464</v>
      </c>
      <c r="F9" s="16">
        <v>-99304463</v>
      </c>
      <c r="G9" s="16">
        <v>-129596052</v>
      </c>
      <c r="H9" s="16">
        <v>-182793235</v>
      </c>
    </row>
    <row r="10" spans="1:8" x14ac:dyDescent="0.2">
      <c r="A10" s="27" t="s">
        <v>1042</v>
      </c>
      <c r="B10" t="s">
        <v>822</v>
      </c>
      <c r="C10" t="s">
        <v>769</v>
      </c>
      <c r="D10" s="19">
        <f>SUM(D8:D9)</f>
        <v>79998547</v>
      </c>
      <c r="E10" s="19">
        <f>SUM(E8:E9)</f>
        <v>196231963</v>
      </c>
      <c r="F10" s="19">
        <f>SUM(F8:F9)</f>
        <v>235157994</v>
      </c>
      <c r="G10" s="19">
        <f>SUM(G8:G9)</f>
        <v>359264344</v>
      </c>
      <c r="H10" s="19">
        <f>SUM(H8:H9)</f>
        <v>404911868</v>
      </c>
    </row>
    <row r="11" spans="1:8" x14ac:dyDescent="0.2">
      <c r="A11" s="27" t="s">
        <v>1043</v>
      </c>
      <c r="B11" t="s">
        <v>823</v>
      </c>
      <c r="C11" t="s">
        <v>770</v>
      </c>
      <c r="D11" s="16">
        <v>0</v>
      </c>
      <c r="E11" s="16">
        <v>0</v>
      </c>
      <c r="F11" s="16">
        <v>0</v>
      </c>
      <c r="G11" s="16">
        <v>0</v>
      </c>
      <c r="H11" s="16">
        <v>0</v>
      </c>
    </row>
    <row r="12" spans="1:8" x14ac:dyDescent="0.2">
      <c r="A12" s="27" t="s">
        <v>1044</v>
      </c>
      <c r="B12" t="s">
        <v>824</v>
      </c>
      <c r="C12" t="s">
        <v>771</v>
      </c>
      <c r="D12" s="16">
        <v>0</v>
      </c>
      <c r="E12" s="16">
        <v>0</v>
      </c>
      <c r="F12" s="16">
        <v>0</v>
      </c>
      <c r="G12" s="16">
        <v>0</v>
      </c>
      <c r="H12" s="16">
        <v>0</v>
      </c>
    </row>
    <row r="13" spans="1:8" x14ac:dyDescent="0.2">
      <c r="A13" s="27" t="s">
        <v>1045</v>
      </c>
      <c r="B13" s="61" t="s">
        <v>825</v>
      </c>
      <c r="C13" s="61" t="s">
        <v>772</v>
      </c>
      <c r="D13" s="70">
        <v>0</v>
      </c>
      <c r="E13" s="70">
        <v>0</v>
      </c>
      <c r="F13" s="70">
        <v>0</v>
      </c>
      <c r="G13" s="70">
        <v>0</v>
      </c>
      <c r="H13" s="70">
        <v>0</v>
      </c>
    </row>
    <row r="14" spans="1:8" x14ac:dyDescent="0.2">
      <c r="A14" s="165" t="s">
        <v>1385</v>
      </c>
      <c r="B14" s="107" t="s">
        <v>15</v>
      </c>
      <c r="C14" s="107" t="s">
        <v>702</v>
      </c>
      <c r="D14" s="119">
        <f>SUM(D10:D13)</f>
        <v>79998547</v>
      </c>
      <c r="E14" s="119">
        <f>SUM(E10:E13)</f>
        <v>196231963</v>
      </c>
      <c r="F14" s="119">
        <f>SUM(F10:F13)</f>
        <v>235157994</v>
      </c>
      <c r="G14" s="119">
        <f>SUM(G10:G13)</f>
        <v>359264344</v>
      </c>
      <c r="H14" s="119">
        <f>SUM(H10:H13)</f>
        <v>404911868</v>
      </c>
    </row>
    <row r="15" spans="1:8" ht="13.5" thickBot="1" x14ac:dyDescent="0.25">
      <c r="A15" s="27" t="s">
        <v>1046</v>
      </c>
      <c r="B15" s="120" t="s">
        <v>826</v>
      </c>
      <c r="C15" s="120" t="s">
        <v>556</v>
      </c>
      <c r="D15" s="121">
        <f>+D14+D7</f>
        <v>178239878</v>
      </c>
      <c r="E15" s="121">
        <f>+E14+E7</f>
        <v>309781160</v>
      </c>
      <c r="F15" s="121">
        <f>+F14+F7</f>
        <v>401243574</v>
      </c>
      <c r="G15" s="121">
        <f>+G14+G7</f>
        <v>673357098</v>
      </c>
      <c r="H15" s="121">
        <f>+H14+H7</f>
        <v>843280063</v>
      </c>
    </row>
    <row r="16" spans="1:8" ht="13.5" thickTop="1" x14ac:dyDescent="0.2">
      <c r="A16" s="27" t="s">
        <v>1047</v>
      </c>
      <c r="B16" t="s">
        <v>827</v>
      </c>
      <c r="C16" t="s">
        <v>773</v>
      </c>
      <c r="D16" s="16">
        <f>30659444+33801144</f>
        <v>64460588</v>
      </c>
      <c r="E16" s="16">
        <f>87508385+26068618</f>
        <v>113577003</v>
      </c>
      <c r="F16" s="16">
        <v>30282773</v>
      </c>
      <c r="G16" s="16">
        <v>43765335</v>
      </c>
      <c r="H16" s="16">
        <v>43765335</v>
      </c>
    </row>
    <row r="17" spans="1:8" x14ac:dyDescent="0.2">
      <c r="A17" s="27" t="s">
        <v>1048</v>
      </c>
      <c r="B17" t="s">
        <v>828</v>
      </c>
      <c r="C17" t="s">
        <v>557</v>
      </c>
      <c r="D17" s="16">
        <f>1821355+20973129+3274166</f>
        <v>26068650</v>
      </c>
      <c r="E17" s="16">
        <f>338696+21660943+6438195</f>
        <v>28437834</v>
      </c>
      <c r="F17" s="16">
        <f>19221214+98208461+36251002</f>
        <v>153680677</v>
      </c>
      <c r="G17" s="16">
        <f>172328176+73859491</f>
        <v>246187667</v>
      </c>
      <c r="H17" s="16">
        <f>59886308+47777661</f>
        <v>107663969</v>
      </c>
    </row>
    <row r="18" spans="1:8" x14ac:dyDescent="0.2">
      <c r="A18" s="27" t="s">
        <v>1049</v>
      </c>
      <c r="B18" t="s">
        <v>829</v>
      </c>
      <c r="C18" t="s">
        <v>367</v>
      </c>
      <c r="D18" s="16">
        <v>0</v>
      </c>
      <c r="E18" s="16">
        <v>0</v>
      </c>
      <c r="F18" s="16">
        <v>0</v>
      </c>
      <c r="G18" s="16">
        <v>0</v>
      </c>
      <c r="H18" s="16">
        <v>0</v>
      </c>
    </row>
    <row r="19" spans="1:8" x14ac:dyDescent="0.2">
      <c r="A19" s="27" t="s">
        <v>1050</v>
      </c>
      <c r="B19" s="61" t="s">
        <v>830</v>
      </c>
      <c r="C19" s="61" t="s">
        <v>774</v>
      </c>
      <c r="D19" s="70">
        <f>1061735+6630162-768424</f>
        <v>6923473</v>
      </c>
      <c r="E19" s="70">
        <f>14713258+979433+1330796+553990</f>
        <v>17577477</v>
      </c>
      <c r="F19" s="70">
        <f>32235467+17603029</f>
        <v>49838496</v>
      </c>
      <c r="G19" s="70">
        <f>410902413-289953002</f>
        <v>120949411</v>
      </c>
      <c r="H19" s="70">
        <f>358686095-151429304</f>
        <v>207256791</v>
      </c>
    </row>
    <row r="20" spans="1:8" ht="13.5" thickBot="1" x14ac:dyDescent="0.25">
      <c r="A20" s="27" t="s">
        <v>1051</v>
      </c>
      <c r="B20" s="120" t="s">
        <v>831</v>
      </c>
      <c r="C20" s="120" t="s">
        <v>558</v>
      </c>
      <c r="D20" s="121">
        <f>SUM(D16:D19)</f>
        <v>97452711</v>
      </c>
      <c r="E20" s="121">
        <f>SUM(E16:E19)</f>
        <v>159592314</v>
      </c>
      <c r="F20" s="121">
        <f>SUM(F16:F19)</f>
        <v>233801946</v>
      </c>
      <c r="G20" s="121">
        <f>SUM(G16:G19)</f>
        <v>410902413</v>
      </c>
      <c r="H20" s="121">
        <f>SUM(H16:H19)</f>
        <v>358686095</v>
      </c>
    </row>
    <row r="21" spans="1:8" ht="13.5" thickTop="1" x14ac:dyDescent="0.2">
      <c r="A21" s="27" t="s">
        <v>1052</v>
      </c>
      <c r="B21" t="s">
        <v>832</v>
      </c>
      <c r="C21" s="4" t="s">
        <v>775</v>
      </c>
      <c r="D21" s="16">
        <v>0</v>
      </c>
      <c r="E21" s="16">
        <v>30715380</v>
      </c>
      <c r="F21" s="16">
        <f>17740460+30000000</f>
        <v>47740460</v>
      </c>
      <c r="G21" s="16">
        <v>33975840</v>
      </c>
      <c r="H21" s="16">
        <f>108512645+46824640</f>
        <v>155337285</v>
      </c>
    </row>
    <row r="22" spans="1:8" x14ac:dyDescent="0.2">
      <c r="A22" s="27" t="s">
        <v>1053</v>
      </c>
      <c r="B22" s="61" t="s">
        <v>833</v>
      </c>
      <c r="C22" s="61" t="s">
        <v>776</v>
      </c>
      <c r="D22" s="70">
        <v>1732280</v>
      </c>
      <c r="E22" s="70">
        <v>2220692</v>
      </c>
      <c r="F22" s="70">
        <f>53580546-F21</f>
        <v>5840086</v>
      </c>
      <c r="G22" s="70">
        <f>4354104+5275653</f>
        <v>9629757</v>
      </c>
      <c r="H22" s="70">
        <f>163599556-155337285</f>
        <v>8262271</v>
      </c>
    </row>
    <row r="23" spans="1:8" ht="13.5" thickBot="1" x14ac:dyDescent="0.25">
      <c r="A23" s="165" t="s">
        <v>1386</v>
      </c>
      <c r="B23" s="120" t="s">
        <v>16</v>
      </c>
      <c r="C23" s="120" t="s">
        <v>559</v>
      </c>
      <c r="D23" s="121">
        <f>SUM(D21:D22)</f>
        <v>1732280</v>
      </c>
      <c r="E23" s="121">
        <f>SUM(E21:E22)</f>
        <v>32936072</v>
      </c>
      <c r="F23" s="121">
        <f>SUM(F21:F22)</f>
        <v>53580546</v>
      </c>
      <c r="G23" s="121">
        <f>SUM(G21:G22)</f>
        <v>43605597</v>
      </c>
      <c r="H23" s="121">
        <f>SUM(H21:H22)</f>
        <v>163599556</v>
      </c>
    </row>
    <row r="24" spans="1:8" ht="14.25" thickTop="1" thickBot="1" x14ac:dyDescent="0.25">
      <c r="A24" s="27" t="s">
        <v>1054</v>
      </c>
      <c r="B24" s="120" t="s">
        <v>834</v>
      </c>
      <c r="C24" s="120" t="s">
        <v>560</v>
      </c>
      <c r="D24" s="121">
        <f>+D23+D20</f>
        <v>99184991</v>
      </c>
      <c r="E24" s="121">
        <f>+E23+E20</f>
        <v>192528386</v>
      </c>
      <c r="F24" s="121">
        <f>+F23+F20</f>
        <v>287382492</v>
      </c>
      <c r="G24" s="121">
        <f>+G23+G20</f>
        <v>454508010</v>
      </c>
      <c r="H24" s="121">
        <f>+H23+H20</f>
        <v>522285651</v>
      </c>
    </row>
    <row r="25" spans="1:8" ht="13.5" thickTop="1" x14ac:dyDescent="0.2">
      <c r="A25" s="27" t="s">
        <v>1055</v>
      </c>
      <c r="B25" t="s">
        <v>835</v>
      </c>
      <c r="C25" t="s">
        <v>703</v>
      </c>
      <c r="D25" s="16">
        <v>0</v>
      </c>
      <c r="E25" s="16">
        <v>0</v>
      </c>
      <c r="F25" s="16">
        <v>0</v>
      </c>
      <c r="G25" s="16"/>
      <c r="H25" s="16"/>
    </row>
    <row r="26" spans="1:8" x14ac:dyDescent="0.2">
      <c r="A26" s="27" t="s">
        <v>1056</v>
      </c>
      <c r="B26" t="s">
        <v>842</v>
      </c>
      <c r="C26" t="s">
        <v>704</v>
      </c>
      <c r="D26" s="16">
        <v>15000000</v>
      </c>
      <c r="E26" s="16">
        <v>15000000</v>
      </c>
      <c r="F26" s="16">
        <v>15000000</v>
      </c>
      <c r="G26" s="16">
        <v>60000000</v>
      </c>
      <c r="H26" s="16">
        <v>60000000</v>
      </c>
    </row>
    <row r="27" spans="1:8" x14ac:dyDescent="0.2">
      <c r="A27" s="27" t="s">
        <v>1057</v>
      </c>
      <c r="B27" t="s">
        <v>841</v>
      </c>
      <c r="C27" t="s">
        <v>705</v>
      </c>
      <c r="D27" s="16">
        <v>0</v>
      </c>
      <c r="E27" s="16">
        <v>0</v>
      </c>
      <c r="F27" s="16">
        <v>0</v>
      </c>
      <c r="G27" s="16"/>
      <c r="H27" s="16"/>
    </row>
    <row r="28" spans="1:8" x14ac:dyDescent="0.2">
      <c r="A28" s="27" t="s">
        <v>1058</v>
      </c>
      <c r="B28" t="s">
        <v>836</v>
      </c>
      <c r="C28" t="s">
        <v>706</v>
      </c>
      <c r="D28" s="16">
        <f>37819880+17097215+9137792</f>
        <v>64054887</v>
      </c>
      <c r="E28" s="16">
        <f>12957581+54917095+34378098</f>
        <v>102252774</v>
      </c>
      <c r="F28" s="16">
        <f>12957581+85903501</f>
        <v>98861082</v>
      </c>
      <c r="G28" s="16">
        <f>12957581+145891507</f>
        <v>158849088</v>
      </c>
      <c r="H28" s="16">
        <f>23377292+237617120</f>
        <v>260994412</v>
      </c>
    </row>
    <row r="29" spans="1:8" x14ac:dyDescent="0.2">
      <c r="A29" s="27" t="s">
        <v>1059</v>
      </c>
      <c r="B29" t="s">
        <v>874</v>
      </c>
      <c r="C29" t="s">
        <v>707</v>
      </c>
      <c r="D29" s="16">
        <v>0</v>
      </c>
      <c r="E29" s="16">
        <v>0</v>
      </c>
      <c r="F29" s="16">
        <v>0</v>
      </c>
      <c r="G29" s="16">
        <v>0</v>
      </c>
      <c r="H29" s="16"/>
    </row>
    <row r="30" spans="1:8" x14ac:dyDescent="0.2">
      <c r="A30" s="27" t="s">
        <v>1060</v>
      </c>
      <c r="B30" s="61" t="s">
        <v>837</v>
      </c>
      <c r="C30" s="61" t="s">
        <v>708</v>
      </c>
      <c r="D30" s="70">
        <v>0</v>
      </c>
      <c r="E30" s="70">
        <v>0</v>
      </c>
      <c r="F30" s="70">
        <v>0</v>
      </c>
      <c r="G30" s="70">
        <v>0</v>
      </c>
      <c r="H30" s="70"/>
    </row>
    <row r="31" spans="1:8" ht="13.5" thickBot="1" x14ac:dyDescent="0.25">
      <c r="A31" s="27" t="s">
        <v>1061</v>
      </c>
      <c r="B31" s="120" t="s">
        <v>838</v>
      </c>
      <c r="C31" s="120" t="s">
        <v>709</v>
      </c>
      <c r="D31" s="121">
        <f>SUM(D25:D30)</f>
        <v>79054887</v>
      </c>
      <c r="E31" s="121">
        <f>SUM(E25:E30)</f>
        <v>117252774</v>
      </c>
      <c r="F31" s="121">
        <f>SUM(F25:F30)</f>
        <v>113861082</v>
      </c>
      <c r="G31" s="121">
        <f>SUM(G25:G30)</f>
        <v>218849088</v>
      </c>
      <c r="H31" s="121">
        <f>SUM(H25:H30)</f>
        <v>320994412</v>
      </c>
    </row>
    <row r="32" spans="1:8" ht="14.25" thickTop="1" thickBot="1" x14ac:dyDescent="0.25">
      <c r="A32" s="165" t="s">
        <v>1387</v>
      </c>
      <c r="B32" s="120" t="s">
        <v>561</v>
      </c>
      <c r="C32" s="120"/>
      <c r="D32" s="121">
        <f>+D31+D24</f>
        <v>178239878</v>
      </c>
      <c r="E32" s="121">
        <f>+E31+E24</f>
        <v>309781160</v>
      </c>
      <c r="F32" s="121">
        <f>+F31+F24</f>
        <v>401243574</v>
      </c>
      <c r="G32" s="121">
        <f>+G31+G24</f>
        <v>673357098</v>
      </c>
      <c r="H32" s="121">
        <f>+H31+H24</f>
        <v>843280063</v>
      </c>
    </row>
    <row r="33" spans="1:1" ht="13.5" thickTop="1" x14ac:dyDescent="0.2">
      <c r="A33" s="27"/>
    </row>
    <row r="34" spans="1:1" x14ac:dyDescent="0.2">
      <c r="A34" s="27"/>
    </row>
    <row r="35" spans="1:1" x14ac:dyDescent="0.2">
      <c r="A35" s="27"/>
    </row>
    <row r="36" spans="1:1" x14ac:dyDescent="0.2">
      <c r="A36" s="27"/>
    </row>
    <row r="37" spans="1:1" x14ac:dyDescent="0.2">
      <c r="A37" s="27"/>
    </row>
    <row r="38" spans="1:1" x14ac:dyDescent="0.2">
      <c r="A38" s="27"/>
    </row>
  </sheetData>
  <customSheetViews>
    <customSheetView guid="{250789E3-B657-4A6D-AD7D-7EE7A7132AFA}" showRuler="0" topLeftCell="C26">
      <selection activeCell="C37" sqref="C37"/>
      <pageMargins left="0.75" right="0.75" top="1" bottom="1" header="0.5" footer="0.5"/>
      <pageSetup scale="105" orientation="landscape" horizontalDpi="300" verticalDpi="300" r:id="rId1"/>
      <headerFooter alignWithMargins="0">
        <oddFooter>Prepared by Matt H. Evans &amp;D&amp;RPage &amp;P</oddFooter>
      </headerFooter>
    </customSheetView>
  </customSheetViews>
  <phoneticPr fontId="0" type="noConversion"/>
  <printOptions horizontalCentered="1"/>
  <pageMargins left="0.2" right="0.2" top="1" bottom="1" header="0.5" footer="0.5"/>
  <pageSetup scale="80" orientation="landscape" horizontalDpi="300" verticalDpi="300" r:id="rId2"/>
  <headerFooter alignWithMargins="0">
    <oddFooter>&amp;CPrepared by mohammed soliman &amp;D&amp;RPage &amp;P</oddFooter>
  </headerFooter>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40"/>
  <sheetViews>
    <sheetView zoomScaleNormal="100" workbookViewId="0">
      <selection activeCell="B6" sqref="B6"/>
    </sheetView>
  </sheetViews>
  <sheetFormatPr defaultRowHeight="12.75" x14ac:dyDescent="0.2"/>
  <cols>
    <col min="1" max="1" width="7.7109375" customWidth="1"/>
    <col min="2" max="2" width="38.42578125" customWidth="1"/>
    <col min="3" max="3" width="29.42578125" customWidth="1"/>
    <col min="4" max="8" width="14.7109375" customWidth="1"/>
    <col min="9" max="13" width="9.7109375" customWidth="1"/>
  </cols>
  <sheetData>
    <row r="1" spans="1:14" x14ac:dyDescent="0.2">
      <c r="A1" s="3" t="s">
        <v>792</v>
      </c>
      <c r="B1" s="3" t="s">
        <v>787</v>
      </c>
      <c r="C1" s="3" t="s">
        <v>541</v>
      </c>
      <c r="D1" s="3">
        <f>'2 - General Input'!C18</f>
        <v>2005</v>
      </c>
      <c r="E1" s="3">
        <f>'2 - General Input'!C17</f>
        <v>2006</v>
      </c>
      <c r="F1" s="3">
        <f>'2 - General Input'!C16</f>
        <v>2007</v>
      </c>
      <c r="G1" s="3">
        <f>'2 - General Input'!C15</f>
        <v>2008</v>
      </c>
      <c r="H1" s="3">
        <f>'2 - General Input'!C14</f>
        <v>2009</v>
      </c>
      <c r="I1" s="3" t="s">
        <v>788</v>
      </c>
      <c r="J1" s="3" t="s">
        <v>788</v>
      </c>
      <c r="K1" s="3" t="s">
        <v>788</v>
      </c>
      <c r="L1" s="3" t="s">
        <v>788</v>
      </c>
      <c r="M1" s="3" t="s">
        <v>788</v>
      </c>
    </row>
    <row r="2" spans="1:14" x14ac:dyDescent="0.2">
      <c r="A2" s="27" t="s">
        <v>1067</v>
      </c>
      <c r="B2" t="s">
        <v>793</v>
      </c>
      <c r="C2" t="s">
        <v>439</v>
      </c>
      <c r="D2" s="13">
        <v>407418089</v>
      </c>
      <c r="E2" s="13">
        <v>317752627</v>
      </c>
      <c r="F2" s="13">
        <v>354731377</v>
      </c>
      <c r="G2" s="13">
        <v>549457822</v>
      </c>
      <c r="H2" s="13">
        <v>778887133</v>
      </c>
      <c r="I2" s="18"/>
      <c r="J2" s="18"/>
      <c r="K2" s="18"/>
      <c r="L2" s="18"/>
      <c r="M2" s="18"/>
      <c r="N2" s="35"/>
    </row>
    <row r="3" spans="1:14" x14ac:dyDescent="0.2">
      <c r="A3" s="27" t="s">
        <v>1068</v>
      </c>
      <c r="B3" t="s">
        <v>794</v>
      </c>
      <c r="C3" t="s">
        <v>638</v>
      </c>
      <c r="D3" s="13">
        <f>9946486+490989</f>
        <v>10437475</v>
      </c>
      <c r="E3" s="13">
        <v>933642</v>
      </c>
      <c r="F3" s="13">
        <f>205827+1078320</f>
        <v>1284147</v>
      </c>
      <c r="G3" s="13">
        <f>1322753+7499285</f>
        <v>8822038</v>
      </c>
      <c r="H3" s="13">
        <f>858094+490511</f>
        <v>1348605</v>
      </c>
      <c r="I3" s="18"/>
      <c r="J3" s="18"/>
      <c r="K3" s="18"/>
      <c r="L3" s="18"/>
      <c r="M3" s="18"/>
      <c r="N3" s="35"/>
    </row>
    <row r="4" spans="1:14" x14ac:dyDescent="0.2">
      <c r="A4" s="27" t="s">
        <v>1069</v>
      </c>
      <c r="B4" s="4" t="s">
        <v>795</v>
      </c>
      <c r="C4" s="4" t="s">
        <v>639</v>
      </c>
      <c r="D4" s="14">
        <f>SUM(D2:D3)</f>
        <v>417855564</v>
      </c>
      <c r="E4" s="14">
        <f>SUM(E2:E3)</f>
        <v>318686269</v>
      </c>
      <c r="F4" s="14">
        <f>SUM(F2:F3)</f>
        <v>356015524</v>
      </c>
      <c r="G4" s="14">
        <f>SUM(G2:G3)</f>
        <v>558279860</v>
      </c>
      <c r="H4" s="14">
        <f>SUM(H2:H3)</f>
        <v>780235738</v>
      </c>
      <c r="I4" s="18" t="s">
        <v>788</v>
      </c>
      <c r="J4" s="18" t="s">
        <v>788</v>
      </c>
      <c r="K4" s="18" t="s">
        <v>788</v>
      </c>
      <c r="L4" s="18" t="s">
        <v>788</v>
      </c>
      <c r="M4" s="18" t="s">
        <v>788</v>
      </c>
      <c r="N4" s="35"/>
    </row>
    <row r="5" spans="1:14" x14ac:dyDescent="0.2">
      <c r="A5" s="27" t="s">
        <v>1070</v>
      </c>
      <c r="B5" t="s">
        <v>796</v>
      </c>
      <c r="C5" t="s">
        <v>440</v>
      </c>
      <c r="D5" s="16">
        <v>-377570065</v>
      </c>
      <c r="E5" s="16">
        <v>-250511981</v>
      </c>
      <c r="F5" s="16">
        <v>-275255438</v>
      </c>
      <c r="G5" s="16">
        <v>-432271370</v>
      </c>
      <c r="H5" s="16">
        <v>-587259142</v>
      </c>
      <c r="I5" s="18" t="s">
        <v>788</v>
      </c>
      <c r="J5" s="18" t="s">
        <v>788</v>
      </c>
      <c r="K5" s="18" t="s">
        <v>788</v>
      </c>
      <c r="L5" s="18" t="s">
        <v>788</v>
      </c>
      <c r="M5" s="18" t="s">
        <v>788</v>
      </c>
      <c r="N5" s="35"/>
    </row>
    <row r="6" spans="1:14" x14ac:dyDescent="0.2">
      <c r="A6" s="27" t="s">
        <v>1071</v>
      </c>
      <c r="B6" t="s">
        <v>797</v>
      </c>
      <c r="C6" t="s">
        <v>641</v>
      </c>
      <c r="D6" s="16">
        <v>0</v>
      </c>
      <c r="E6" s="16"/>
      <c r="F6" s="16"/>
      <c r="G6" s="16"/>
      <c r="H6" s="16"/>
      <c r="I6" s="18"/>
      <c r="J6" s="18"/>
      <c r="K6" s="18"/>
      <c r="L6" s="18"/>
      <c r="M6" s="18"/>
      <c r="N6" s="35"/>
    </row>
    <row r="7" spans="1:14" x14ac:dyDescent="0.2">
      <c r="A7" s="27" t="s">
        <v>1072</v>
      </c>
      <c r="B7" s="4" t="s">
        <v>798</v>
      </c>
      <c r="C7" s="4" t="s">
        <v>642</v>
      </c>
      <c r="D7" s="17">
        <f>SUM(D5:D6)</f>
        <v>-377570065</v>
      </c>
      <c r="E7" s="17">
        <f>SUM(E5:E6)</f>
        <v>-250511981</v>
      </c>
      <c r="F7" s="17">
        <f>SUM(F5:F6)</f>
        <v>-275255438</v>
      </c>
      <c r="G7" s="17">
        <f>SUM(G5:G6)</f>
        <v>-432271370</v>
      </c>
      <c r="H7" s="17">
        <f>SUM(H5:H6)</f>
        <v>-587259142</v>
      </c>
      <c r="I7" s="18"/>
      <c r="J7" s="18"/>
      <c r="K7" s="18"/>
      <c r="L7" s="18"/>
      <c r="M7" s="18"/>
      <c r="N7" s="35"/>
    </row>
    <row r="8" spans="1:14" x14ac:dyDescent="0.2">
      <c r="A8" s="27" t="s">
        <v>1073</v>
      </c>
      <c r="B8" s="61" t="s">
        <v>799</v>
      </c>
      <c r="C8" s="61" t="s">
        <v>643</v>
      </c>
      <c r="D8" s="70">
        <f>-6327180-12952550</f>
        <v>-19279730</v>
      </c>
      <c r="E8" s="70">
        <f>-8865402-16323472</f>
        <v>-25188874</v>
      </c>
      <c r="F8" s="70">
        <f>-9783821-28054697</f>
        <v>-37838518</v>
      </c>
      <c r="G8" s="70">
        <f>-11309941-40780410</f>
        <v>-52090351</v>
      </c>
      <c r="H8" s="70">
        <f>-17467696-54568423</f>
        <v>-72036119</v>
      </c>
      <c r="I8" s="18" t="s">
        <v>788</v>
      </c>
      <c r="J8" s="18" t="s">
        <v>788</v>
      </c>
      <c r="K8" s="18" t="s">
        <v>788</v>
      </c>
      <c r="L8" s="18" t="s">
        <v>788</v>
      </c>
      <c r="M8" s="18" t="s">
        <v>788</v>
      </c>
      <c r="N8" s="35"/>
    </row>
    <row r="9" spans="1:14" x14ac:dyDescent="0.2">
      <c r="A9" s="27" t="s">
        <v>1074</v>
      </c>
      <c r="B9" s="4" t="s">
        <v>800</v>
      </c>
      <c r="C9" s="4" t="s">
        <v>644</v>
      </c>
      <c r="D9" s="17">
        <f>+D4+D7+D8</f>
        <v>21005769</v>
      </c>
      <c r="E9" s="17">
        <f>+E4+E7+E8</f>
        <v>42985414</v>
      </c>
      <c r="F9" s="17">
        <f>+F4+F7+F8</f>
        <v>42921568</v>
      </c>
      <c r="G9" s="17">
        <f>+G4+G7+G8</f>
        <v>73918139</v>
      </c>
      <c r="H9" s="17">
        <f>+H4+H7+H8</f>
        <v>120940477</v>
      </c>
      <c r="I9" s="18"/>
      <c r="J9" s="18"/>
      <c r="K9" s="18"/>
      <c r="L9" s="18"/>
      <c r="M9" s="18"/>
      <c r="N9" s="35"/>
    </row>
    <row r="10" spans="1:14" x14ac:dyDescent="0.2">
      <c r="A10" s="27" t="s">
        <v>1075</v>
      </c>
      <c r="B10" t="s">
        <v>802</v>
      </c>
      <c r="C10" s="4" t="s">
        <v>117</v>
      </c>
      <c r="D10" s="16">
        <v>-2008864</v>
      </c>
      <c r="E10" s="16">
        <v>-3808094</v>
      </c>
      <c r="F10" s="16">
        <v>-6161570</v>
      </c>
      <c r="G10" s="16">
        <v>-12981919</v>
      </c>
      <c r="H10" s="16">
        <v>-14603891</v>
      </c>
      <c r="I10" s="18"/>
      <c r="J10" s="18"/>
      <c r="K10" s="18"/>
      <c r="L10" s="18"/>
      <c r="M10" s="18"/>
      <c r="N10" s="35"/>
    </row>
    <row r="11" spans="1:14" x14ac:dyDescent="0.2">
      <c r="A11" s="27" t="s">
        <v>1076</v>
      </c>
      <c r="B11" t="s">
        <v>875</v>
      </c>
      <c r="C11" t="s">
        <v>645</v>
      </c>
      <c r="D11" s="16">
        <v>0</v>
      </c>
      <c r="E11" s="16">
        <v>0</v>
      </c>
      <c r="F11" s="16">
        <v>0</v>
      </c>
      <c r="G11" s="16">
        <v>0</v>
      </c>
      <c r="H11" s="16">
        <v>0</v>
      </c>
      <c r="I11" s="18"/>
      <c r="J11" s="18"/>
      <c r="K11" s="18"/>
      <c r="L11" s="18"/>
      <c r="M11" s="18"/>
      <c r="N11" s="35"/>
    </row>
    <row r="12" spans="1:14" x14ac:dyDescent="0.2">
      <c r="A12" s="27" t="s">
        <v>1077</v>
      </c>
      <c r="B12" t="s">
        <v>876</v>
      </c>
      <c r="C12" s="4" t="s">
        <v>646</v>
      </c>
      <c r="D12" s="16">
        <v>0</v>
      </c>
      <c r="E12" s="16">
        <v>0</v>
      </c>
      <c r="F12" s="16">
        <v>0</v>
      </c>
      <c r="G12" s="16">
        <v>0</v>
      </c>
      <c r="H12" s="16">
        <v>0</v>
      </c>
      <c r="I12" s="18"/>
      <c r="J12" s="18"/>
      <c r="K12" s="18"/>
      <c r="L12" s="18"/>
      <c r="M12" s="18"/>
      <c r="N12" s="35"/>
    </row>
    <row r="13" spans="1:14" x14ac:dyDescent="0.2">
      <c r="A13" s="27" t="s">
        <v>1078</v>
      </c>
      <c r="B13" t="s">
        <v>877</v>
      </c>
      <c r="C13" t="s">
        <v>647</v>
      </c>
      <c r="D13" s="16">
        <v>0</v>
      </c>
      <c r="E13" s="16">
        <v>0</v>
      </c>
      <c r="F13" s="16">
        <v>0</v>
      </c>
      <c r="G13" s="16">
        <v>0</v>
      </c>
      <c r="H13" s="16">
        <v>0</v>
      </c>
      <c r="I13" s="18"/>
      <c r="J13" s="18"/>
      <c r="K13" s="18"/>
      <c r="L13" s="18"/>
      <c r="M13" s="18"/>
      <c r="N13" s="35"/>
    </row>
    <row r="14" spans="1:14" x14ac:dyDescent="0.2">
      <c r="A14" s="27" t="s">
        <v>1079</v>
      </c>
      <c r="B14" t="s">
        <v>805</v>
      </c>
      <c r="C14" s="4" t="s">
        <v>442</v>
      </c>
      <c r="D14" s="16">
        <v>0</v>
      </c>
      <c r="E14" s="16">
        <v>-979433</v>
      </c>
      <c r="F14" s="16">
        <v>-151689</v>
      </c>
      <c r="G14" s="16">
        <v>-948214</v>
      </c>
      <c r="H14" s="16">
        <v>-2139476</v>
      </c>
      <c r="I14" s="18"/>
      <c r="J14" s="18"/>
      <c r="K14" s="18"/>
      <c r="L14" s="18"/>
      <c r="M14" s="18"/>
      <c r="N14" s="35"/>
    </row>
    <row r="15" spans="1:14" x14ac:dyDescent="0.2">
      <c r="A15" s="27" t="s">
        <v>1080</v>
      </c>
      <c r="B15" s="61" t="s">
        <v>806</v>
      </c>
      <c r="C15" s="61" t="s">
        <v>648</v>
      </c>
      <c r="D15" s="70">
        <v>0</v>
      </c>
      <c r="E15" s="70">
        <v>0</v>
      </c>
      <c r="F15" s="70">
        <v>0</v>
      </c>
      <c r="G15" s="70">
        <v>0</v>
      </c>
      <c r="H15" s="70">
        <v>0</v>
      </c>
      <c r="I15" s="18"/>
      <c r="J15" s="18"/>
      <c r="K15" s="18"/>
      <c r="L15" s="18"/>
      <c r="M15" s="18"/>
      <c r="N15" s="35"/>
    </row>
    <row r="16" spans="1:14" x14ac:dyDescent="0.2">
      <c r="A16" s="27" t="s">
        <v>1081</v>
      </c>
      <c r="B16" s="4" t="s">
        <v>807</v>
      </c>
      <c r="C16" s="4" t="s">
        <v>710</v>
      </c>
      <c r="D16" s="17">
        <f>SUM(D9:D15)</f>
        <v>18996905</v>
      </c>
      <c r="E16" s="17">
        <f>SUM(E9:E15)</f>
        <v>38197887</v>
      </c>
      <c r="F16" s="17">
        <f>SUM(F9:F15)</f>
        <v>36608309</v>
      </c>
      <c r="G16" s="17">
        <f>SUM(G9:G15)</f>
        <v>59988006</v>
      </c>
      <c r="H16" s="17">
        <f>SUM(H9:H15)</f>
        <v>104197110</v>
      </c>
      <c r="I16" s="18"/>
      <c r="J16" s="18"/>
      <c r="K16" s="18"/>
      <c r="L16" s="18"/>
      <c r="M16" s="18"/>
      <c r="N16" s="35"/>
    </row>
    <row r="17" spans="1:14" x14ac:dyDescent="0.2">
      <c r="A17" s="27" t="s">
        <v>1082</v>
      </c>
      <c r="B17" t="s">
        <v>880</v>
      </c>
      <c r="C17" s="4" t="s">
        <v>711</v>
      </c>
      <c r="D17" s="16">
        <v>0</v>
      </c>
      <c r="E17" s="16">
        <v>0</v>
      </c>
      <c r="F17" s="16">
        <v>0</v>
      </c>
      <c r="G17" s="16">
        <v>0</v>
      </c>
      <c r="H17" s="16">
        <v>0</v>
      </c>
      <c r="I17" s="18"/>
      <c r="J17" s="18"/>
      <c r="K17" s="18"/>
      <c r="L17" s="18"/>
      <c r="M17" s="18"/>
      <c r="N17" s="35"/>
    </row>
    <row r="18" spans="1:14" x14ac:dyDescent="0.2">
      <c r="A18" s="27" t="s">
        <v>1083</v>
      </c>
      <c r="B18" t="s">
        <v>809</v>
      </c>
      <c r="C18" t="s">
        <v>443</v>
      </c>
      <c r="D18" s="16">
        <v>0</v>
      </c>
      <c r="E18" s="16">
        <v>0</v>
      </c>
      <c r="F18" s="16">
        <v>0</v>
      </c>
      <c r="G18" s="16">
        <v>0</v>
      </c>
      <c r="H18" s="16">
        <v>0</v>
      </c>
      <c r="I18" s="18"/>
      <c r="J18" s="18"/>
      <c r="K18" s="18"/>
      <c r="L18" s="18"/>
      <c r="M18" s="18"/>
      <c r="N18" s="35"/>
    </row>
    <row r="19" spans="1:14" x14ac:dyDescent="0.2">
      <c r="A19" s="27" t="s">
        <v>1084</v>
      </c>
      <c r="B19" s="61" t="s">
        <v>810</v>
      </c>
      <c r="C19" s="61" t="s">
        <v>712</v>
      </c>
      <c r="D19" s="70">
        <v>0</v>
      </c>
      <c r="E19" s="70">
        <v>0</v>
      </c>
      <c r="F19" s="70">
        <v>0</v>
      </c>
      <c r="G19" s="70">
        <v>0</v>
      </c>
      <c r="H19" s="70">
        <v>0</v>
      </c>
      <c r="I19" s="18"/>
      <c r="J19" s="18"/>
      <c r="K19" s="18"/>
      <c r="L19" s="18"/>
      <c r="M19" s="18"/>
      <c r="N19" s="35"/>
    </row>
    <row r="20" spans="1:14" ht="13.5" thickBot="1" x14ac:dyDescent="0.25">
      <c r="A20" s="27" t="s">
        <v>1085</v>
      </c>
      <c r="B20" s="71" t="s">
        <v>808</v>
      </c>
      <c r="C20" s="71" t="s">
        <v>637</v>
      </c>
      <c r="D20" s="72">
        <f>SUM(D16:D19)</f>
        <v>18996905</v>
      </c>
      <c r="E20" s="72">
        <f>SUM(E16:E19)</f>
        <v>38197887</v>
      </c>
      <c r="F20" s="72">
        <f>SUM(F16:F19)</f>
        <v>36608309</v>
      </c>
      <c r="G20" s="72">
        <f>SUM(G16:G19)</f>
        <v>59988006</v>
      </c>
      <c r="H20" s="72">
        <f>SUM(H16:H19)</f>
        <v>104197110</v>
      </c>
      <c r="I20" s="18"/>
      <c r="J20" s="18"/>
      <c r="K20" s="18"/>
      <c r="L20" s="18"/>
      <c r="M20" s="18"/>
      <c r="N20" s="35"/>
    </row>
    <row r="21" spans="1:14" ht="13.5" thickTop="1" x14ac:dyDescent="0.2">
      <c r="A21" s="27" t="s">
        <v>1086</v>
      </c>
      <c r="B21" t="s">
        <v>811</v>
      </c>
      <c r="C21" t="s">
        <v>441</v>
      </c>
      <c r="D21" s="126" t="e">
        <f>D20/'3 - Balance Sheet'!#REF!</f>
        <v>#REF!</v>
      </c>
      <c r="E21" s="126" t="e">
        <f>E20/'3 - Balance Sheet'!#REF!</f>
        <v>#REF!</v>
      </c>
      <c r="F21" s="126" t="e">
        <f>F20/'3 - Balance Sheet'!#REF!</f>
        <v>#REF!</v>
      </c>
      <c r="G21" s="126" t="e">
        <f>G20/'3 - Balance Sheet'!#REF!</f>
        <v>#REF!</v>
      </c>
      <c r="H21" s="126" t="e">
        <f>H20/'3 - Balance Sheet'!#REF!</f>
        <v>#REF!</v>
      </c>
      <c r="I21" s="18"/>
      <c r="J21" s="18"/>
      <c r="K21" s="18"/>
      <c r="L21" s="18"/>
      <c r="M21" s="18"/>
      <c r="N21" s="35"/>
    </row>
    <row r="22" spans="1:14" x14ac:dyDescent="0.2">
      <c r="A22" s="165" t="s">
        <v>1383</v>
      </c>
      <c r="B22" t="s">
        <v>1382</v>
      </c>
      <c r="C22" t="s">
        <v>444</v>
      </c>
      <c r="D22" s="126">
        <f>D20+(D10*-1)+(D14*-1)</f>
        <v>21005769</v>
      </c>
      <c r="E22" s="126">
        <f>E20+(E10*-1)+(E14*-1)</f>
        <v>42985414</v>
      </c>
      <c r="F22" s="126">
        <f>F20+(F10*-1)+(F14*-1)</f>
        <v>42921568</v>
      </c>
      <c r="G22" s="126">
        <f>G20+(G10*-1)+(G14*-1)</f>
        <v>73918139</v>
      </c>
      <c r="H22" s="126">
        <f>H20+(H10*-1)+(H14*-1)</f>
        <v>120940477</v>
      </c>
      <c r="I22" s="18"/>
      <c r="J22" s="18"/>
      <c r="K22" s="18"/>
      <c r="L22" s="18"/>
      <c r="M22" s="18"/>
      <c r="N22" s="35"/>
    </row>
    <row r="23" spans="1:14" x14ac:dyDescent="0.2">
      <c r="A23" s="27" t="s">
        <v>1087</v>
      </c>
      <c r="B23" t="s">
        <v>851</v>
      </c>
      <c r="C23" t="s">
        <v>713</v>
      </c>
      <c r="D23" s="13">
        <v>-12952550</v>
      </c>
      <c r="E23" s="13">
        <v>-16323472</v>
      </c>
      <c r="F23" s="13">
        <v>-28054697</v>
      </c>
      <c r="G23" s="13">
        <v>-40780410</v>
      </c>
      <c r="H23" s="13">
        <v>-54568423</v>
      </c>
      <c r="I23" s="18"/>
      <c r="J23" s="18"/>
      <c r="K23" s="18"/>
      <c r="L23" s="18"/>
      <c r="M23" s="18"/>
      <c r="N23" s="35"/>
    </row>
    <row r="24" spans="1:14" x14ac:dyDescent="0.2">
      <c r="A24" s="27" t="s">
        <v>1088</v>
      </c>
      <c r="B24" t="s">
        <v>850</v>
      </c>
      <c r="C24" t="s">
        <v>714</v>
      </c>
      <c r="D24" s="13">
        <v>0</v>
      </c>
      <c r="E24" s="13">
        <v>0</v>
      </c>
      <c r="F24" s="13">
        <v>0</v>
      </c>
      <c r="G24" s="13">
        <v>0</v>
      </c>
      <c r="H24" s="13">
        <v>0</v>
      </c>
      <c r="I24" s="18"/>
      <c r="J24" s="18"/>
      <c r="K24" s="18"/>
      <c r="L24" s="18"/>
      <c r="M24" s="18"/>
      <c r="N24" s="35"/>
    </row>
    <row r="25" spans="1:14" x14ac:dyDescent="0.2">
      <c r="A25" s="165" t="s">
        <v>1384</v>
      </c>
      <c r="B25" t="s">
        <v>849</v>
      </c>
      <c r="C25" t="s">
        <v>715</v>
      </c>
      <c r="D25" s="13">
        <v>0</v>
      </c>
      <c r="E25" s="13">
        <v>0</v>
      </c>
      <c r="F25" s="13">
        <v>0</v>
      </c>
      <c r="G25" s="13">
        <v>0</v>
      </c>
      <c r="H25" s="13">
        <v>0</v>
      </c>
      <c r="I25" s="18"/>
      <c r="J25" s="18"/>
      <c r="K25" s="18"/>
      <c r="L25" s="18"/>
      <c r="M25" s="18"/>
      <c r="N25" s="35"/>
    </row>
    <row r="26" spans="1:14" x14ac:dyDescent="0.2">
      <c r="A26" s="27" t="s">
        <v>1089</v>
      </c>
      <c r="B26" t="s">
        <v>167</v>
      </c>
      <c r="C26" t="s">
        <v>716</v>
      </c>
      <c r="D26" s="13">
        <v>0</v>
      </c>
      <c r="E26" s="13">
        <v>0</v>
      </c>
      <c r="F26" s="13">
        <v>0</v>
      </c>
      <c r="G26" s="13">
        <v>0</v>
      </c>
      <c r="H26" s="13">
        <v>0</v>
      </c>
      <c r="I26" s="18"/>
      <c r="J26" s="18"/>
      <c r="K26" s="18"/>
      <c r="L26" s="18"/>
      <c r="M26" s="18"/>
      <c r="N26" s="35"/>
    </row>
    <row r="27" spans="1:14" x14ac:dyDescent="0.2">
      <c r="A27" s="27" t="s">
        <v>1281</v>
      </c>
      <c r="B27" t="s">
        <v>1283</v>
      </c>
      <c r="C27" t="s">
        <v>717</v>
      </c>
      <c r="D27" s="126">
        <f>SUM(nonoperatingexpenses5)</f>
        <v>-2008864</v>
      </c>
      <c r="E27" s="126">
        <f>SUM(nonoperatingexpenses4)</f>
        <v>-4787527</v>
      </c>
      <c r="F27" s="126">
        <f>SUM(nonoperatingexpenses3)</f>
        <v>-6313259</v>
      </c>
      <c r="G27" s="126">
        <f>SUM(nonoperatingexpenses2)</f>
        <v>-13930133</v>
      </c>
      <c r="H27" s="126">
        <f>SUM(nonoperatingexpenses1)</f>
        <v>-16743367</v>
      </c>
      <c r="I27" s="18" t="s">
        <v>788</v>
      </c>
      <c r="J27" s="18" t="s">
        <v>788</v>
      </c>
      <c r="K27" s="18" t="s">
        <v>788</v>
      </c>
      <c r="L27" s="18" t="s">
        <v>788</v>
      </c>
      <c r="M27" s="18" t="s">
        <v>788</v>
      </c>
      <c r="N27" s="35"/>
    </row>
    <row r="28" spans="1:14" x14ac:dyDescent="0.2">
      <c r="A28" s="27" t="s">
        <v>1282</v>
      </c>
      <c r="B28" t="s">
        <v>1284</v>
      </c>
      <c r="C28" t="s">
        <v>718</v>
      </c>
      <c r="D28" s="126">
        <f>SUM(extra5)</f>
        <v>0</v>
      </c>
      <c r="E28" s="126">
        <f>SUM(extra4)</f>
        <v>0</v>
      </c>
      <c r="F28" s="126">
        <f>SUM(extra3)</f>
        <v>0</v>
      </c>
      <c r="G28" s="126">
        <f>SUM(extra2)</f>
        <v>0</v>
      </c>
      <c r="H28" s="126">
        <f>SUM(extra1)</f>
        <v>0</v>
      </c>
      <c r="I28" s="18" t="s">
        <v>788</v>
      </c>
      <c r="J28" s="18"/>
      <c r="K28" s="18"/>
      <c r="L28" s="18"/>
      <c r="M28" s="18"/>
      <c r="N28" s="35"/>
    </row>
    <row r="29" spans="1:14" x14ac:dyDescent="0.2">
      <c r="A29" s="27" t="s">
        <v>166</v>
      </c>
      <c r="B29" t="s">
        <v>846</v>
      </c>
      <c r="C29" t="s">
        <v>719</v>
      </c>
      <c r="D29" s="23">
        <f>MAX(D14/(D9+D10)*-1,0)</f>
        <v>0</v>
      </c>
      <c r="E29" s="23">
        <f>MAX(E14/(E9+E10)*-1,0)</f>
        <v>2.5000000000000001E-2</v>
      </c>
      <c r="F29" s="23">
        <f>MAX(F14/(F9+F10)*-1,0)</f>
        <v>4.1264692125391302E-3</v>
      </c>
      <c r="G29" s="23">
        <f>MAX(G14/(G9+G10)*-1,0)</f>
        <v>1.5560761727589929E-2</v>
      </c>
      <c r="H29" s="23">
        <f>MAX(H14/(H9+H10)*-1,0)</f>
        <v>2.011984849692278E-2</v>
      </c>
    </row>
    <row r="30" spans="1:14" x14ac:dyDescent="0.2">
      <c r="A30" s="27"/>
      <c r="D30" s="23"/>
      <c r="E30" s="23"/>
      <c r="F30" s="23"/>
      <c r="G30" s="23"/>
      <c r="H30" s="23"/>
    </row>
    <row r="31" spans="1:14" x14ac:dyDescent="0.2">
      <c r="A31" s="27"/>
      <c r="D31" s="18"/>
    </row>
    <row r="32" spans="1:14" x14ac:dyDescent="0.2">
      <c r="A32" s="27"/>
    </row>
    <row r="33" spans="1:1" x14ac:dyDescent="0.2">
      <c r="A33" s="27"/>
    </row>
    <row r="34" spans="1:1" x14ac:dyDescent="0.2">
      <c r="A34" s="27"/>
    </row>
    <row r="35" spans="1:1" x14ac:dyDescent="0.2">
      <c r="A35" s="27"/>
    </row>
    <row r="36" spans="1:1" x14ac:dyDescent="0.2">
      <c r="A36" s="27"/>
    </row>
    <row r="37" spans="1:1" x14ac:dyDescent="0.2">
      <c r="A37" s="27"/>
    </row>
    <row r="38" spans="1:1" x14ac:dyDescent="0.2">
      <c r="A38" s="27"/>
    </row>
    <row r="39" spans="1:1" x14ac:dyDescent="0.2">
      <c r="A39" s="27"/>
    </row>
    <row r="40" spans="1:1" x14ac:dyDescent="0.2">
      <c r="A40" s="27"/>
    </row>
  </sheetData>
  <customSheetViews>
    <customSheetView guid="{250789E3-B657-4A6D-AD7D-7EE7A7132AFA}" showRuler="0" topLeftCell="B1">
      <selection activeCell="B21" sqref="B21"/>
      <pageMargins left="0.75" right="0.75" top="1" bottom="1" header="0.5" footer="0.5"/>
      <pageSetup scale="105" orientation="landscape" horizontalDpi="300" verticalDpi="300" r:id="rId1"/>
      <headerFooter alignWithMargins="0">
        <oddFooter>Prepared by Matt H. Evans &amp;D&amp;RPage &amp;P</oddFooter>
      </headerFooter>
    </customSheetView>
  </customSheetViews>
  <phoneticPr fontId="0" type="noConversion"/>
  <pageMargins left="0.75" right="0.75" top="1" bottom="1" header="0.5" footer="0.5"/>
  <pageSetup scale="77" orientation="landscape" horizontalDpi="300" verticalDpi="300" r:id="rId2"/>
  <headerFooter alignWithMargins="0">
    <oddFooter>Prepared by Matt H. Evans &amp;D&amp;RPage &amp;P</oddFooter>
  </headerFooter>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29"/>
  <sheetViews>
    <sheetView zoomScaleNormal="100" workbookViewId="0">
      <selection activeCell="B8" sqref="B8"/>
    </sheetView>
  </sheetViews>
  <sheetFormatPr defaultRowHeight="12.75" x14ac:dyDescent="0.2"/>
  <cols>
    <col min="1" max="1" width="7.7109375" customWidth="1"/>
    <col min="2" max="2" width="39.7109375" customWidth="1"/>
    <col min="3" max="3" width="35.85546875" customWidth="1"/>
    <col min="4" max="8" width="14.7109375" customWidth="1"/>
  </cols>
  <sheetData>
    <row r="1" spans="1:8" x14ac:dyDescent="0.2">
      <c r="A1" s="3" t="s">
        <v>792</v>
      </c>
      <c r="B1" s="3" t="s">
        <v>787</v>
      </c>
      <c r="C1" s="3" t="s">
        <v>541</v>
      </c>
      <c r="D1" s="3">
        <f>'2 - General Input'!C18</f>
        <v>2005</v>
      </c>
      <c r="E1" s="3">
        <f>'2 - General Input'!C17</f>
        <v>2006</v>
      </c>
      <c r="F1" s="3">
        <f>'2 - General Input'!C16</f>
        <v>2007</v>
      </c>
      <c r="G1" s="3">
        <f>'2 - General Input'!C15</f>
        <v>2008</v>
      </c>
      <c r="H1" s="3">
        <f>'2 - General Input'!C14</f>
        <v>2009</v>
      </c>
    </row>
    <row r="2" spans="1:8" x14ac:dyDescent="0.2">
      <c r="A2" s="27" t="s">
        <v>1135</v>
      </c>
      <c r="B2" t="s">
        <v>808</v>
      </c>
      <c r="C2" t="s">
        <v>637</v>
      </c>
      <c r="D2" s="18">
        <f>'4 - Income Statement'!D20</f>
        <v>18996905</v>
      </c>
      <c r="E2" s="18">
        <f>'4 - Income Statement'!E20</f>
        <v>38197887</v>
      </c>
      <c r="F2" s="18">
        <f>'4 - Income Statement'!F20</f>
        <v>36608309</v>
      </c>
      <c r="G2" s="18">
        <f>'4 - Income Statement'!G20</f>
        <v>59988006</v>
      </c>
      <c r="H2" s="18">
        <f>'4 - Income Statement'!H20</f>
        <v>104197110</v>
      </c>
    </row>
    <row r="3" spans="1:8" x14ac:dyDescent="0.2">
      <c r="A3" s="27" t="s">
        <v>1136</v>
      </c>
      <c r="B3" t="s">
        <v>843</v>
      </c>
      <c r="C3" t="s">
        <v>713</v>
      </c>
      <c r="D3" s="18">
        <f>ABS('4 - Income Statement'!D23)</f>
        <v>12952550</v>
      </c>
      <c r="E3" s="18">
        <v>16359095</v>
      </c>
      <c r="F3" s="18">
        <f>ABS('4 - Income Statement'!F23)</f>
        <v>28054697</v>
      </c>
      <c r="G3" s="18">
        <f>ABS('4 - Income Statement'!G23)</f>
        <v>40780410</v>
      </c>
      <c r="H3" s="18">
        <f>ABS('4 - Income Statement'!H23)</f>
        <v>54568423</v>
      </c>
    </row>
    <row r="4" spans="1:8" x14ac:dyDescent="0.2">
      <c r="A4" s="27" t="s">
        <v>1137</v>
      </c>
      <c r="B4" t="s">
        <v>854</v>
      </c>
      <c r="C4" t="s">
        <v>442</v>
      </c>
      <c r="D4" s="16">
        <v>0</v>
      </c>
      <c r="E4" s="18">
        <v>979433</v>
      </c>
      <c r="F4" s="18">
        <v>151689</v>
      </c>
      <c r="G4" s="18">
        <v>948214</v>
      </c>
      <c r="H4" s="18">
        <v>2139476</v>
      </c>
    </row>
    <row r="5" spans="1:8" x14ac:dyDescent="0.2">
      <c r="A5" s="27" t="s">
        <v>1138</v>
      </c>
      <c r="B5" t="s">
        <v>855</v>
      </c>
      <c r="C5" t="s">
        <v>649</v>
      </c>
      <c r="D5" s="16">
        <v>0</v>
      </c>
      <c r="E5" s="16">
        <v>0</v>
      </c>
      <c r="F5" s="16">
        <v>-205827</v>
      </c>
      <c r="G5" s="16">
        <v>-1322753</v>
      </c>
      <c r="H5" s="16">
        <v>-858094</v>
      </c>
    </row>
    <row r="6" spans="1:8" x14ac:dyDescent="0.2">
      <c r="A6" s="27" t="s">
        <v>1139</v>
      </c>
      <c r="B6" t="s">
        <v>856</v>
      </c>
      <c r="C6" t="s">
        <v>650</v>
      </c>
      <c r="D6" s="16">
        <f>(-834371-500000+15870368-764985+9047917-414192+438325-387178)-1566816</f>
        <v>20889068</v>
      </c>
      <c r="E6" s="18">
        <f>('3 - Balance Sheet'!D7)-('3 - Balance Sheet'!E7)</f>
        <v>-15307866</v>
      </c>
      <c r="F6" s="18">
        <f>('3 - Balance Sheet'!E7)-('3 - Balance Sheet'!F7)</f>
        <v>-52536383</v>
      </c>
      <c r="G6" s="18">
        <f>('3 - Balance Sheet'!F7)-('3 - Balance Sheet'!G7)</f>
        <v>-148007174</v>
      </c>
      <c r="H6" s="18">
        <f>('3 - Balance Sheet'!G7)-('3 - Balance Sheet'!H7)+115938334</f>
        <v>-8337107</v>
      </c>
    </row>
    <row r="7" spans="1:8" x14ac:dyDescent="0.2">
      <c r="A7" s="27" t="s">
        <v>1140</v>
      </c>
      <c r="B7" t="s">
        <v>857</v>
      </c>
      <c r="C7" t="s">
        <v>651</v>
      </c>
      <c r="D7" s="16">
        <f>-27313671+571472+9042694+15559037</f>
        <v>-2140468</v>
      </c>
      <c r="E7" s="18">
        <f>('3 - Balance Sheet'!E20)-('3 - Balance Sheet'!D20)-12124784</f>
        <v>50014819</v>
      </c>
      <c r="F7" s="18">
        <f>('3 - Balance Sheet'!F20)-('3 - Balance Sheet'!E20)-85963244</f>
        <v>-11753612</v>
      </c>
      <c r="G7" s="18">
        <f>('3 - Balance Sheet'!G20)-('3 - Balance Sheet'!F20)-56271608</f>
        <v>120828859</v>
      </c>
      <c r="H7" s="18">
        <f>('3 - Balance Sheet'!H20)-('3 - Balance Sheet'!G20)</f>
        <v>-52216318</v>
      </c>
    </row>
    <row r="8" spans="1:8" x14ac:dyDescent="0.2">
      <c r="A8" s="27" t="s">
        <v>1141</v>
      </c>
      <c r="B8" s="4" t="s">
        <v>852</v>
      </c>
      <c r="C8" s="4" t="s">
        <v>652</v>
      </c>
      <c r="D8" s="17">
        <f>SUM(D2:D7)</f>
        <v>50698055</v>
      </c>
      <c r="E8" s="17">
        <f>SUM(E2:E7)</f>
        <v>90243368</v>
      </c>
      <c r="F8" s="17">
        <f>SUM(F2:F7)</f>
        <v>318873</v>
      </c>
      <c r="G8" s="17">
        <f>SUM(G2:G7)</f>
        <v>73215562</v>
      </c>
      <c r="H8" s="17">
        <f>SUM(H2:H7)</f>
        <v>99493490</v>
      </c>
    </row>
    <row r="9" spans="1:8" ht="12.75" customHeight="1" x14ac:dyDescent="0.2">
      <c r="A9" s="27" t="s">
        <v>1142</v>
      </c>
      <c r="B9" t="s">
        <v>853</v>
      </c>
      <c r="C9" t="s">
        <v>653</v>
      </c>
      <c r="D9" s="16">
        <v>-33112155</v>
      </c>
      <c r="E9" s="16">
        <v>-129654158</v>
      </c>
      <c r="F9" s="16">
        <v>-70655488</v>
      </c>
      <c r="G9" s="16">
        <v>-175194305</v>
      </c>
      <c r="H9" s="16">
        <v>-118818935</v>
      </c>
    </row>
    <row r="10" spans="1:8" x14ac:dyDescent="0.2">
      <c r="A10" s="27" t="s">
        <v>1143</v>
      </c>
      <c r="B10" t="s">
        <v>1381</v>
      </c>
      <c r="C10" t="s">
        <v>562</v>
      </c>
      <c r="D10" s="16"/>
      <c r="E10" s="16"/>
      <c r="F10" s="16"/>
      <c r="G10" s="16"/>
      <c r="H10" s="16"/>
    </row>
    <row r="11" spans="1:8" x14ac:dyDescent="0.2">
      <c r="A11" s="27" t="s">
        <v>1144</v>
      </c>
      <c r="B11" t="s">
        <v>858</v>
      </c>
      <c r="C11" t="s">
        <v>654</v>
      </c>
      <c r="D11" s="16"/>
      <c r="E11" s="16">
        <v>90133</v>
      </c>
      <c r="F11" s="16">
        <v>1342756</v>
      </c>
      <c r="G11" s="16">
        <v>16325789</v>
      </c>
      <c r="H11" s="16">
        <v>13917278</v>
      </c>
    </row>
    <row r="12" spans="1:8" x14ac:dyDescent="0.2">
      <c r="A12" s="27" t="s">
        <v>1145</v>
      </c>
      <c r="B12" t="s">
        <v>859</v>
      </c>
      <c r="C12" t="s">
        <v>655</v>
      </c>
      <c r="D12" s="16"/>
      <c r="E12" s="16"/>
      <c r="F12" s="16"/>
      <c r="G12" s="16"/>
      <c r="H12" s="16"/>
    </row>
    <row r="13" spans="1:8" x14ac:dyDescent="0.2">
      <c r="A13" s="27" t="s">
        <v>1146</v>
      </c>
      <c r="B13" t="s">
        <v>860</v>
      </c>
      <c r="C13" t="s">
        <v>656</v>
      </c>
      <c r="D13" s="16"/>
      <c r="E13" s="16"/>
      <c r="F13" s="16"/>
      <c r="G13" s="16"/>
      <c r="H13" s="16"/>
    </row>
    <row r="14" spans="1:8" x14ac:dyDescent="0.2">
      <c r="A14" s="27" t="s">
        <v>1147</v>
      </c>
      <c r="B14" t="s">
        <v>864</v>
      </c>
      <c r="C14" t="s">
        <v>657</v>
      </c>
      <c r="D14" s="16">
        <v>828511</v>
      </c>
      <c r="E14" s="16">
        <v>-2292928</v>
      </c>
      <c r="F14" s="16">
        <v>1582551</v>
      </c>
      <c r="G14" s="16">
        <v>-4695491</v>
      </c>
      <c r="H14" s="16">
        <v>5543804</v>
      </c>
    </row>
    <row r="15" spans="1:8" x14ac:dyDescent="0.2">
      <c r="A15" s="27" t="s">
        <v>1148</v>
      </c>
      <c r="B15" s="4" t="s">
        <v>865</v>
      </c>
      <c r="C15" s="4" t="s">
        <v>658</v>
      </c>
      <c r="D15" s="17">
        <f>SUM(D9:D14)</f>
        <v>-32283644</v>
      </c>
      <c r="E15" s="17">
        <f>SUM(E9:E14)</f>
        <v>-131856953</v>
      </c>
      <c r="F15" s="17">
        <f>SUM(F9:F14)</f>
        <v>-67730181</v>
      </c>
      <c r="G15" s="17">
        <f>SUM(G9:G14)</f>
        <v>-163564007</v>
      </c>
      <c r="H15" s="17">
        <f>SUM(H9:H14)</f>
        <v>-99357853</v>
      </c>
    </row>
    <row r="16" spans="1:8" x14ac:dyDescent="0.2">
      <c r="A16" s="27" t="s">
        <v>1149</v>
      </c>
      <c r="B16" t="s">
        <v>861</v>
      </c>
      <c r="C16" t="s">
        <v>659</v>
      </c>
      <c r="D16" s="16">
        <f>1379842-2214319-12666678</f>
        <v>-13501155</v>
      </c>
      <c r="E16" s="16">
        <f>8259518+20178284+30715380</f>
        <v>59153182</v>
      </c>
      <c r="F16" s="16">
        <f>-40000000+1484649+76208822+18505834</f>
        <v>56199305</v>
      </c>
      <c r="G16" s="16">
        <f>53843869+74119715-49221214</f>
        <v>78742370</v>
      </c>
      <c r="H16" s="16">
        <f>-13233030-3929223</f>
        <v>-17162253</v>
      </c>
    </row>
    <row r="17" spans="1:8" x14ac:dyDescent="0.2">
      <c r="A17" s="27" t="s">
        <v>1150</v>
      </c>
      <c r="B17" t="s">
        <v>862</v>
      </c>
      <c r="C17" t="s">
        <v>660</v>
      </c>
      <c r="D17" s="16"/>
      <c r="E17" s="16"/>
      <c r="F17" s="16"/>
      <c r="G17" s="16"/>
      <c r="H17" s="16"/>
    </row>
    <row r="18" spans="1:8" x14ac:dyDescent="0.2">
      <c r="A18" s="27" t="s">
        <v>1151</v>
      </c>
      <c r="B18" t="s">
        <v>866</v>
      </c>
      <c r="C18" t="s">
        <v>661</v>
      </c>
      <c r="D18" s="16"/>
      <c r="E18" s="16"/>
      <c r="F18" s="16"/>
      <c r="G18" s="16"/>
      <c r="H18" s="16"/>
    </row>
    <row r="19" spans="1:8" x14ac:dyDescent="0.2">
      <c r="A19" s="27" t="s">
        <v>1152</v>
      </c>
      <c r="B19" t="s">
        <v>867</v>
      </c>
      <c r="C19" t="s">
        <v>662</v>
      </c>
      <c r="D19" s="16"/>
      <c r="E19" s="16"/>
      <c r="F19" s="16"/>
      <c r="G19" s="16"/>
      <c r="H19" s="16"/>
    </row>
    <row r="20" spans="1:8" x14ac:dyDescent="0.2">
      <c r="A20" s="27" t="s">
        <v>1153</v>
      </c>
      <c r="B20" t="s">
        <v>882</v>
      </c>
      <c r="C20" t="s">
        <v>663</v>
      </c>
      <c r="D20" s="16"/>
      <c r="E20" s="16"/>
      <c r="F20" s="16"/>
      <c r="G20" s="16"/>
      <c r="H20" s="16"/>
    </row>
    <row r="21" spans="1:8" x14ac:dyDescent="0.2">
      <c r="A21" s="27" t="s">
        <v>1154</v>
      </c>
      <c r="B21" t="s">
        <v>863</v>
      </c>
      <c r="C21" t="s">
        <v>563</v>
      </c>
      <c r="D21" s="16"/>
      <c r="E21" s="16"/>
      <c r="F21" s="16"/>
      <c r="G21" s="16"/>
      <c r="H21" s="16"/>
    </row>
    <row r="22" spans="1:8" x14ac:dyDescent="0.2">
      <c r="A22" s="27" t="s">
        <v>1155</v>
      </c>
      <c r="B22" t="s">
        <v>868</v>
      </c>
      <c r="C22" t="s">
        <v>664</v>
      </c>
      <c r="D22" s="16">
        <f>-2039463+1899690-4210522</f>
        <v>-4350295</v>
      </c>
      <c r="E22" s="16">
        <v>1322414</v>
      </c>
      <c r="F22" s="16">
        <v>1849480</v>
      </c>
      <c r="G22" s="16">
        <f>45000000+1950634</f>
        <v>46950634</v>
      </c>
      <c r="H22" s="16">
        <v>-7316475</v>
      </c>
    </row>
    <row r="23" spans="1:8" x14ac:dyDescent="0.2">
      <c r="A23" s="27" t="s">
        <v>1156</v>
      </c>
      <c r="B23" s="4" t="s">
        <v>869</v>
      </c>
      <c r="C23" s="4" t="s">
        <v>665</v>
      </c>
      <c r="D23" s="17">
        <f>SUM(financingcash5)</f>
        <v>-17851450</v>
      </c>
      <c r="E23" s="17">
        <f>SUM(financingcash4)</f>
        <v>60475596</v>
      </c>
      <c r="F23" s="17">
        <f>SUM(financingcash3)</f>
        <v>58048785</v>
      </c>
      <c r="G23" s="17">
        <f>SUM(financingcash2)</f>
        <v>125693004</v>
      </c>
      <c r="H23" s="17">
        <f>SUM(financingcash1)</f>
        <v>-24478728</v>
      </c>
    </row>
    <row r="24" spans="1:8" x14ac:dyDescent="0.2">
      <c r="A24" s="27" t="s">
        <v>1157</v>
      </c>
      <c r="B24" s="4" t="s">
        <v>870</v>
      </c>
      <c r="C24" s="4" t="s">
        <v>666</v>
      </c>
      <c r="D24" s="17">
        <f>+D23+D15+D8</f>
        <v>562961</v>
      </c>
      <c r="E24" s="17">
        <f>+E23+E15+E8</f>
        <v>18862011</v>
      </c>
      <c r="F24" s="17">
        <f>+F23+F15+F8</f>
        <v>-9362523</v>
      </c>
      <c r="G24" s="17">
        <f>+G23+G15+G8</f>
        <v>35344559</v>
      </c>
      <c r="H24" s="17">
        <f>+H23+H15+H8</f>
        <v>-24343091</v>
      </c>
    </row>
    <row r="25" spans="1:8" x14ac:dyDescent="0.2">
      <c r="A25" s="27" t="s">
        <v>1158</v>
      </c>
      <c r="B25" s="10" t="s">
        <v>871</v>
      </c>
      <c r="C25" s="4" t="s">
        <v>667</v>
      </c>
      <c r="D25" s="16">
        <v>4297628</v>
      </c>
      <c r="E25" s="18">
        <f>'3 - Balance Sheet'!D2</f>
        <v>4860589</v>
      </c>
      <c r="F25" s="18">
        <f>'3 - Balance Sheet'!E2</f>
        <v>23722600</v>
      </c>
      <c r="G25" s="18">
        <f>'3 - Balance Sheet'!F2</f>
        <v>14360077</v>
      </c>
      <c r="H25" s="18">
        <f>'3 - Balance Sheet'!G2</f>
        <v>49704636</v>
      </c>
    </row>
    <row r="26" spans="1:8" x14ac:dyDescent="0.2">
      <c r="A26" s="27" t="s">
        <v>1159</v>
      </c>
      <c r="B26" s="10" t="s">
        <v>872</v>
      </c>
      <c r="C26" s="10" t="s">
        <v>668</v>
      </c>
      <c r="D26" s="18">
        <f>D24+D25</f>
        <v>4860589</v>
      </c>
      <c r="E26" s="18">
        <f>E24+E25</f>
        <v>23722600</v>
      </c>
      <c r="F26" s="18">
        <f>F24+F25</f>
        <v>14360077</v>
      </c>
      <c r="G26" s="18">
        <f>G24+G25</f>
        <v>49704636</v>
      </c>
      <c r="H26" s="18">
        <f>H24+H25</f>
        <v>25361545</v>
      </c>
    </row>
    <row r="27" spans="1:8" x14ac:dyDescent="0.2">
      <c r="A27" s="27" t="s">
        <v>1160</v>
      </c>
      <c r="B27" s="2" t="s">
        <v>881</v>
      </c>
      <c r="C27" s="2" t="s">
        <v>669</v>
      </c>
      <c r="D27" s="18">
        <f>'3 - Balance Sheet'!D2-D26</f>
        <v>0</v>
      </c>
      <c r="E27" s="18">
        <f>'3 - Balance Sheet'!E2-E26</f>
        <v>0</v>
      </c>
      <c r="F27" s="18">
        <f>'3 - Balance Sheet'!F2-F26</f>
        <v>0</v>
      </c>
      <c r="G27" s="18">
        <f>'3 - Balance Sheet'!G2-G26</f>
        <v>0</v>
      </c>
      <c r="H27" s="18">
        <f>'3 - Balance Sheet'!H2-H26</f>
        <v>0</v>
      </c>
    </row>
    <row r="29" spans="1:8" x14ac:dyDescent="0.2">
      <c r="D29" s="18"/>
    </row>
  </sheetData>
  <customSheetViews>
    <customSheetView guid="{250789E3-B657-4A6D-AD7D-7EE7A7132AFA}" showRuler="0" topLeftCell="A27">
      <selection activeCell="A43" sqref="A43"/>
      <pageMargins left="0.75" right="0.75" top="1" bottom="1" header="0.5" footer="0.5"/>
      <pageSetup scale="105" orientation="landscape" horizontalDpi="300" verticalDpi="300" r:id="rId1"/>
      <headerFooter alignWithMargins="0">
        <oddFooter>Prepared by Matt H. Evans &amp;D&amp;RPage &amp;P</oddFooter>
      </headerFooter>
    </customSheetView>
  </customSheetViews>
  <phoneticPr fontId="0" type="noConversion"/>
  <conditionalFormatting sqref="D27:H27">
    <cfRule type="cellIs" dxfId="3" priority="2" stopIfTrue="1" operator="notEqual">
      <formula>0</formula>
    </cfRule>
  </conditionalFormatting>
  <pageMargins left="0.75" right="0.75" top="1" bottom="1" header="0.5" footer="0.5"/>
  <pageSetup scale="75" orientation="landscape" horizontalDpi="300" verticalDpi="300" r:id="rId2"/>
  <headerFooter alignWithMargins="0">
    <oddFooter>Prepared by Matt H. Evans &amp;D&amp;RPage &amp;P</oddFooter>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25"/>
  <sheetViews>
    <sheetView topLeftCell="C1" zoomScaleNormal="100" workbookViewId="0">
      <selection activeCell="D12" sqref="D12"/>
    </sheetView>
  </sheetViews>
  <sheetFormatPr defaultRowHeight="12.75" x14ac:dyDescent="0.2"/>
  <cols>
    <col min="2" max="3" width="7.7109375" customWidth="1"/>
    <col min="4" max="4" width="39.5703125" customWidth="1"/>
    <col min="5" max="5" width="30.85546875" customWidth="1"/>
    <col min="6" max="6" width="12.7109375" customWidth="1"/>
    <col min="7" max="7" width="15" customWidth="1"/>
    <col min="8" max="8" width="12" customWidth="1"/>
    <col min="9" max="9" width="12.5703125" customWidth="1"/>
    <col min="10" max="10" width="13.5703125" customWidth="1"/>
  </cols>
  <sheetData>
    <row r="1" spans="1:10" x14ac:dyDescent="0.2">
      <c r="C1" s="3" t="s">
        <v>792</v>
      </c>
      <c r="D1" s="3" t="s">
        <v>787</v>
      </c>
      <c r="E1" s="116" t="s">
        <v>541</v>
      </c>
      <c r="F1" s="3">
        <f>'2 - General Input'!C18</f>
        <v>2005</v>
      </c>
      <c r="G1" s="3">
        <f>'2 - General Input'!C17</f>
        <v>2006</v>
      </c>
      <c r="H1" s="3">
        <f>'2 - General Input'!C16</f>
        <v>2007</v>
      </c>
      <c r="I1" s="3">
        <f>'2 - General Input'!C15</f>
        <v>2008</v>
      </c>
      <c r="J1" s="3">
        <f>'2 - General Input'!C14</f>
        <v>2009</v>
      </c>
    </row>
    <row r="2" spans="1:10" x14ac:dyDescent="0.2">
      <c r="A2" s="179"/>
      <c r="B2" s="179"/>
      <c r="C2" s="27" t="s">
        <v>1081</v>
      </c>
      <c r="D2" t="s">
        <v>847</v>
      </c>
      <c r="E2" t="s">
        <v>670</v>
      </c>
      <c r="F2" s="18">
        <f>'4 - Income Statement'!D16</f>
        <v>18996905</v>
      </c>
      <c r="G2" s="18">
        <f>'4 - Income Statement'!E16</f>
        <v>38197887</v>
      </c>
      <c r="H2" s="18">
        <f>'4 - Income Statement'!F16</f>
        <v>36608309</v>
      </c>
      <c r="I2" s="18">
        <f>'4 - Income Statement'!G16</f>
        <v>59988006</v>
      </c>
      <c r="J2" s="18">
        <f>'4 - Income Statement'!H16</f>
        <v>104197110</v>
      </c>
    </row>
    <row r="3" spans="1:10" x14ac:dyDescent="0.2">
      <c r="A3" s="179"/>
      <c r="B3" s="179"/>
      <c r="C3" s="27" t="s">
        <v>1075</v>
      </c>
      <c r="D3" t="s">
        <v>848</v>
      </c>
      <c r="E3" t="s">
        <v>671</v>
      </c>
      <c r="F3" s="18">
        <f>'4 - Income Statement'!D10*-1</f>
        <v>2008864</v>
      </c>
      <c r="G3" s="18">
        <f>'4 - Income Statement'!E10*-1</f>
        <v>3808094</v>
      </c>
      <c r="H3" s="18">
        <f>'4 - Income Statement'!F10*-1</f>
        <v>6161570</v>
      </c>
      <c r="I3" s="18">
        <f>'4 - Income Statement'!G10*-1</f>
        <v>12981919</v>
      </c>
      <c r="J3" s="18">
        <f>'4 - Income Statement'!H10*-1</f>
        <v>14603891</v>
      </c>
    </row>
    <row r="4" spans="1:10" x14ac:dyDescent="0.2">
      <c r="A4" s="179"/>
      <c r="B4" s="179"/>
      <c r="C4" s="27" t="s">
        <v>1088</v>
      </c>
      <c r="D4" t="s">
        <v>849</v>
      </c>
      <c r="E4" t="s">
        <v>672</v>
      </c>
      <c r="F4" s="18">
        <f>'4 - Income Statement'!D25*-1</f>
        <v>0</v>
      </c>
      <c r="G4" s="18">
        <f>'4 - Income Statement'!E25*-1</f>
        <v>0</v>
      </c>
      <c r="H4" s="18">
        <f>'4 - Income Statement'!F25*-1</f>
        <v>0</v>
      </c>
      <c r="I4" s="18">
        <f>'4 - Income Statement'!G25*-1</f>
        <v>0</v>
      </c>
      <c r="J4" s="18">
        <f>'4 - Income Statement'!H25*-1</f>
        <v>0</v>
      </c>
    </row>
    <row r="5" spans="1:10" x14ac:dyDescent="0.2">
      <c r="A5" s="179"/>
      <c r="B5" s="179"/>
      <c r="C5" s="27" t="s">
        <v>1079</v>
      </c>
      <c r="D5" t="s">
        <v>805</v>
      </c>
      <c r="E5" t="s">
        <v>673</v>
      </c>
      <c r="F5" s="18">
        <f>'4 - Income Statement'!D14*-1</f>
        <v>0</v>
      </c>
      <c r="G5" s="18">
        <f>'4 - Income Statement'!E14*-1</f>
        <v>979433</v>
      </c>
      <c r="H5" s="18">
        <f>'4 - Income Statement'!F14*-1</f>
        <v>151689</v>
      </c>
      <c r="I5" s="18">
        <f>'4 - Income Statement'!G14*-1</f>
        <v>948214</v>
      </c>
      <c r="J5" s="18">
        <f>'4 - Income Statement'!H14*-1</f>
        <v>2139476</v>
      </c>
    </row>
    <row r="6" spans="1:10" x14ac:dyDescent="0.2">
      <c r="A6" s="179"/>
      <c r="B6" s="179"/>
      <c r="C6" s="27" t="s">
        <v>1080</v>
      </c>
      <c r="D6" t="s">
        <v>806</v>
      </c>
      <c r="E6" t="s">
        <v>674</v>
      </c>
      <c r="F6" s="18">
        <f>'4 - Income Statement'!D15*-1</f>
        <v>0</v>
      </c>
      <c r="G6" s="18">
        <f>'4 - Income Statement'!E15*-1</f>
        <v>0</v>
      </c>
      <c r="H6" s="18">
        <f>'4 - Income Statement'!F15*-1</f>
        <v>0</v>
      </c>
      <c r="I6" s="18">
        <f>'4 - Income Statement'!G15*-1</f>
        <v>0</v>
      </c>
      <c r="J6" s="18">
        <f>'4 - Income Statement'!H15*-1</f>
        <v>0</v>
      </c>
    </row>
    <row r="7" spans="1:10" x14ac:dyDescent="0.2">
      <c r="A7" s="179"/>
      <c r="B7" s="179"/>
      <c r="C7" s="27" t="s">
        <v>1087</v>
      </c>
      <c r="D7" t="s">
        <v>843</v>
      </c>
      <c r="E7" t="s">
        <v>675</v>
      </c>
      <c r="F7" s="18">
        <f>'4 - Income Statement'!D23*-1</f>
        <v>12952550</v>
      </c>
      <c r="G7" s="18">
        <f>'4 - Income Statement'!E23*-1</f>
        <v>16323472</v>
      </c>
      <c r="H7" s="18">
        <f>'4 - Income Statement'!F23*-1</f>
        <v>28054697</v>
      </c>
      <c r="I7" s="18">
        <f>'4 - Income Statement'!G23*-1</f>
        <v>40780410</v>
      </c>
      <c r="J7" s="18">
        <f>'4 - Income Statement'!H23*-1</f>
        <v>54568423</v>
      </c>
    </row>
    <row r="8" spans="1:10" x14ac:dyDescent="0.2">
      <c r="A8" s="179"/>
      <c r="B8" s="179"/>
      <c r="C8" s="27" t="s">
        <v>1247</v>
      </c>
      <c r="D8" s="4" t="s">
        <v>883</v>
      </c>
      <c r="E8" s="4"/>
      <c r="F8" s="17">
        <f>SUM(F2:F7)</f>
        <v>33958319</v>
      </c>
      <c r="G8" s="17">
        <f>SUM(G2:G7)</f>
        <v>59308886</v>
      </c>
      <c r="H8" s="17">
        <f>SUM(H2:H7)</f>
        <v>70976265</v>
      </c>
      <c r="I8" s="17">
        <f>SUM(I2:I7)</f>
        <v>114698549</v>
      </c>
      <c r="J8" s="17">
        <f>SUM(J2:J7)</f>
        <v>175508900</v>
      </c>
    </row>
    <row r="9" spans="1:10" x14ac:dyDescent="0.2">
      <c r="A9" s="179"/>
      <c r="B9" s="179"/>
      <c r="C9" s="27" t="s">
        <v>1141</v>
      </c>
      <c r="D9" t="s">
        <v>1107</v>
      </c>
      <c r="E9" t="s">
        <v>676</v>
      </c>
      <c r="F9" s="18">
        <f>'5 - Cash Flow'!D8</f>
        <v>50698055</v>
      </c>
      <c r="G9" s="18">
        <f>'5 - Cash Flow'!E8</f>
        <v>90243368</v>
      </c>
      <c r="H9" s="18">
        <f>'5 - Cash Flow'!F8</f>
        <v>318873</v>
      </c>
      <c r="I9" s="18">
        <f>'5 - Cash Flow'!G8</f>
        <v>73215562</v>
      </c>
      <c r="J9" s="18">
        <f>'5 - Cash Flow'!H8</f>
        <v>99493490</v>
      </c>
    </row>
    <row r="10" spans="1:10" x14ac:dyDescent="0.2">
      <c r="A10" s="179"/>
      <c r="B10" s="179"/>
      <c r="C10" s="27" t="s">
        <v>1148</v>
      </c>
      <c r="D10" t="s">
        <v>1109</v>
      </c>
      <c r="E10" t="s">
        <v>677</v>
      </c>
      <c r="F10" s="18">
        <f>'5 - Cash Flow'!D15</f>
        <v>-32283644</v>
      </c>
      <c r="G10" s="18">
        <f>'5 - Cash Flow'!E15</f>
        <v>-131856953</v>
      </c>
      <c r="H10" s="18">
        <f>'5 - Cash Flow'!F15</f>
        <v>-67730181</v>
      </c>
      <c r="I10" s="18">
        <f>'5 - Cash Flow'!G15</f>
        <v>-163564007</v>
      </c>
      <c r="J10" s="18">
        <f>'5 - Cash Flow'!H15</f>
        <v>-99357853</v>
      </c>
    </row>
    <row r="11" spans="1:10" x14ac:dyDescent="0.2">
      <c r="A11" s="179"/>
      <c r="B11" s="179"/>
      <c r="C11" s="27" t="s">
        <v>1196</v>
      </c>
      <c r="D11" t="s">
        <v>55</v>
      </c>
      <c r="E11" t="s">
        <v>678</v>
      </c>
      <c r="F11" s="18" t="e">
        <f>'3 - Balance Sheet'!#REF!</f>
        <v>#REF!</v>
      </c>
      <c r="G11" s="18" t="e">
        <f>'3 - Balance Sheet'!#REF!</f>
        <v>#REF!</v>
      </c>
      <c r="H11" s="18" t="e">
        <f>'3 - Balance Sheet'!#REF!</f>
        <v>#REF!</v>
      </c>
      <c r="I11" s="18" t="e">
        <f>'3 - Balance Sheet'!#REF!</f>
        <v>#REF!</v>
      </c>
      <c r="J11" s="18" t="e">
        <f>'3 - Balance Sheet'!#REF!</f>
        <v>#REF!</v>
      </c>
    </row>
    <row r="12" spans="1:10" x14ac:dyDescent="0.2">
      <c r="A12" s="179"/>
      <c r="B12" s="179"/>
      <c r="C12" s="27" t="s">
        <v>1150</v>
      </c>
      <c r="D12" t="s">
        <v>1105</v>
      </c>
      <c r="E12" s="10" t="s">
        <v>564</v>
      </c>
      <c r="F12" s="18">
        <f>'5 - Cash Flow'!D17</f>
        <v>0</v>
      </c>
      <c r="G12" s="18">
        <f>'5 - Cash Flow'!E17</f>
        <v>0</v>
      </c>
      <c r="H12" s="18">
        <f>'5 - Cash Flow'!F17</f>
        <v>0</v>
      </c>
      <c r="I12" s="18">
        <f>'5 - Cash Flow'!G17</f>
        <v>0</v>
      </c>
      <c r="J12" s="18">
        <f>'5 - Cash Flow'!H17</f>
        <v>0</v>
      </c>
    </row>
    <row r="13" spans="1:10" x14ac:dyDescent="0.2">
      <c r="A13" s="179"/>
      <c r="B13" s="179"/>
      <c r="C13" s="27" t="s">
        <v>1248</v>
      </c>
      <c r="D13" t="s">
        <v>1106</v>
      </c>
      <c r="E13" t="s">
        <v>679</v>
      </c>
      <c r="F13" s="16">
        <v>0</v>
      </c>
      <c r="G13" s="16">
        <v>0</v>
      </c>
      <c r="H13" s="16">
        <v>0</v>
      </c>
      <c r="I13" s="16">
        <v>0</v>
      </c>
      <c r="J13" s="16">
        <v>0</v>
      </c>
    </row>
    <row r="14" spans="1:10" x14ac:dyDescent="0.2">
      <c r="A14" s="179"/>
      <c r="B14" s="179"/>
      <c r="C14" s="27" t="s">
        <v>1249</v>
      </c>
      <c r="D14" s="4" t="s">
        <v>1108</v>
      </c>
      <c r="E14" s="4" t="s">
        <v>565</v>
      </c>
      <c r="F14" s="17" t="e">
        <f>SUM(F9:F13)</f>
        <v>#REF!</v>
      </c>
      <c r="G14" s="17" t="e">
        <f>SUM(G9:G13)</f>
        <v>#REF!</v>
      </c>
      <c r="H14" s="17" t="e">
        <f>SUM(H9:H13)</f>
        <v>#REF!</v>
      </c>
      <c r="I14" s="17" t="e">
        <f>SUM(I9:I13)</f>
        <v>#REF!</v>
      </c>
      <c r="J14" s="17" t="e">
        <f>SUM(J9:J13)</f>
        <v>#REF!</v>
      </c>
    </row>
    <row r="15" spans="1:10" x14ac:dyDescent="0.2">
      <c r="A15" s="179"/>
      <c r="B15" s="179"/>
      <c r="C15" s="27" t="s">
        <v>1039</v>
      </c>
      <c r="D15" t="s">
        <v>818</v>
      </c>
      <c r="E15" t="s">
        <v>760</v>
      </c>
      <c r="F15" s="18">
        <f>'3 - Balance Sheet'!D7</f>
        <v>98241331</v>
      </c>
      <c r="G15" s="18">
        <f>'3 - Balance Sheet'!E7</f>
        <v>113549197</v>
      </c>
      <c r="H15" s="18">
        <f>'3 - Balance Sheet'!F7</f>
        <v>166085580</v>
      </c>
      <c r="I15" s="18">
        <f>'3 - Balance Sheet'!G7</f>
        <v>314092754</v>
      </c>
      <c r="J15" s="18">
        <f>'3 - Balance Sheet'!H7</f>
        <v>438368195</v>
      </c>
    </row>
    <row r="16" spans="1:10" x14ac:dyDescent="0.2">
      <c r="A16" s="179"/>
      <c r="B16" s="179"/>
      <c r="C16" s="27" t="s">
        <v>1051</v>
      </c>
      <c r="D16" t="s">
        <v>884</v>
      </c>
      <c r="E16" t="s">
        <v>762</v>
      </c>
      <c r="F16" s="18">
        <f>'3 - Balance Sheet'!D20</f>
        <v>97452711</v>
      </c>
      <c r="G16" s="18">
        <f>'3 - Balance Sheet'!E20</f>
        <v>159592314</v>
      </c>
      <c r="H16" s="18">
        <f>'3 - Balance Sheet'!F20</f>
        <v>233801946</v>
      </c>
      <c r="I16" s="18">
        <f>'3 - Balance Sheet'!G20</f>
        <v>410902413</v>
      </c>
      <c r="J16" s="18">
        <f>'3 - Balance Sheet'!H20</f>
        <v>358686095</v>
      </c>
    </row>
    <row r="17" spans="1:10" x14ac:dyDescent="0.2">
      <c r="A17" s="179"/>
      <c r="B17" s="179"/>
      <c r="C17" s="27" t="s">
        <v>1250</v>
      </c>
      <c r="D17" s="4" t="s">
        <v>844</v>
      </c>
      <c r="E17" s="4"/>
      <c r="F17" s="17">
        <f>SUM(F15-F16)</f>
        <v>788620</v>
      </c>
      <c r="G17" s="17">
        <f>SUM(G15-G16)</f>
        <v>-46043117</v>
      </c>
      <c r="H17" s="17">
        <f>SUM(H15-H16)</f>
        <v>-67716366</v>
      </c>
      <c r="I17" s="17">
        <f>SUM(I15-I16)</f>
        <v>-96809659</v>
      </c>
      <c r="J17" s="17">
        <f>SUM(J15-J16)</f>
        <v>79682100</v>
      </c>
    </row>
    <row r="18" spans="1:10" x14ac:dyDescent="0.2">
      <c r="A18" s="179"/>
      <c r="B18" s="179"/>
      <c r="C18" s="27" t="s">
        <v>1034</v>
      </c>
      <c r="D18" t="s">
        <v>814</v>
      </c>
      <c r="E18" t="s">
        <v>680</v>
      </c>
      <c r="F18" s="18">
        <f>'3 - Balance Sheet'!D2</f>
        <v>4860589</v>
      </c>
      <c r="G18" s="18">
        <f>'3 - Balance Sheet'!E2</f>
        <v>23722600</v>
      </c>
      <c r="H18" s="18">
        <f>'3 - Balance Sheet'!F2</f>
        <v>14360077</v>
      </c>
      <c r="I18" s="18">
        <f>'3 - Balance Sheet'!G2</f>
        <v>49704636</v>
      </c>
      <c r="J18" s="18">
        <f>'3 - Balance Sheet'!H2</f>
        <v>25361545</v>
      </c>
    </row>
    <row r="19" spans="1:10" x14ac:dyDescent="0.2">
      <c r="A19" s="179"/>
      <c r="B19" s="179"/>
      <c r="C19" s="27" t="s">
        <v>1035</v>
      </c>
      <c r="D19" t="s">
        <v>906</v>
      </c>
      <c r="E19" t="s">
        <v>681</v>
      </c>
      <c r="F19" s="18">
        <f>'3 - Balance Sheet'!D3</f>
        <v>0</v>
      </c>
      <c r="G19" s="18">
        <f>'3 - Balance Sheet'!E3</f>
        <v>0</v>
      </c>
      <c r="H19" s="18">
        <f>'3 - Balance Sheet'!F3</f>
        <v>0</v>
      </c>
      <c r="I19" s="18">
        <f>'3 - Balance Sheet'!G3</f>
        <v>0</v>
      </c>
      <c r="J19" s="18">
        <f>'3 - Balance Sheet'!H3</f>
        <v>0</v>
      </c>
    </row>
    <row r="20" spans="1:10" x14ac:dyDescent="0.2">
      <c r="A20" s="179"/>
      <c r="B20" s="179"/>
      <c r="C20" s="27" t="s">
        <v>1036</v>
      </c>
      <c r="D20" t="s">
        <v>901</v>
      </c>
      <c r="E20" t="s">
        <v>765</v>
      </c>
      <c r="F20" s="18">
        <f>'3 - Balance Sheet'!D4</f>
        <v>65643719</v>
      </c>
      <c r="G20" s="18">
        <f>'3 - Balance Sheet'!E4</f>
        <v>49342944</v>
      </c>
      <c r="H20" s="18">
        <f>'3 - Balance Sheet'!F4</f>
        <v>93961696</v>
      </c>
      <c r="I20" s="18">
        <f>'3 - Balance Sheet'!G4</f>
        <v>155569394</v>
      </c>
      <c r="J20" s="18">
        <f>'3 - Balance Sheet'!H4</f>
        <v>225973811</v>
      </c>
    </row>
    <row r="21" spans="1:10" x14ac:dyDescent="0.2">
      <c r="A21" s="179"/>
      <c r="B21" s="179"/>
      <c r="C21" s="27" t="s">
        <v>1251</v>
      </c>
      <c r="D21" t="s">
        <v>907</v>
      </c>
      <c r="E21" t="s">
        <v>682</v>
      </c>
      <c r="F21" s="6">
        <v>0</v>
      </c>
      <c r="G21" s="6">
        <v>0</v>
      </c>
      <c r="H21" s="6">
        <v>0</v>
      </c>
      <c r="I21" s="6">
        <v>0</v>
      </c>
      <c r="J21" s="6">
        <v>0</v>
      </c>
    </row>
    <row r="22" spans="1:10" x14ac:dyDescent="0.2">
      <c r="A22" s="179"/>
      <c r="B22" s="179"/>
      <c r="C22" s="27" t="s">
        <v>1051</v>
      </c>
      <c r="D22" t="s">
        <v>831</v>
      </c>
      <c r="E22" t="s">
        <v>567</v>
      </c>
      <c r="F22" s="18">
        <f>'3 - Balance Sheet'!D20*-1</f>
        <v>-97452711</v>
      </c>
      <c r="G22" s="18">
        <f>'3 - Balance Sheet'!E20*-1</f>
        <v>-159592314</v>
      </c>
      <c r="H22" s="18">
        <f>'3 - Balance Sheet'!F20*-1</f>
        <v>-233801946</v>
      </c>
      <c r="I22" s="18">
        <f>'3 - Balance Sheet'!G20*-1</f>
        <v>-410902413</v>
      </c>
      <c r="J22" s="18">
        <f>'3 - Balance Sheet'!H20*-1</f>
        <v>-358686095</v>
      </c>
    </row>
    <row r="23" spans="1:10" x14ac:dyDescent="0.2">
      <c r="A23" s="179"/>
      <c r="B23" s="179"/>
      <c r="C23" s="27" t="s">
        <v>1052</v>
      </c>
      <c r="D23" t="s">
        <v>908</v>
      </c>
      <c r="E23" t="s">
        <v>683</v>
      </c>
      <c r="F23" s="18">
        <f>'3 - Balance Sheet'!D21*-1</f>
        <v>0</v>
      </c>
      <c r="G23" s="18">
        <f>'3 - Balance Sheet'!E21*-1</f>
        <v>-30715380</v>
      </c>
      <c r="H23" s="18">
        <f>'3 - Balance Sheet'!F21*-1</f>
        <v>-47740460</v>
      </c>
      <c r="I23" s="18">
        <f>'3 - Balance Sheet'!G21*-1</f>
        <v>-33975840</v>
      </c>
      <c r="J23" s="18">
        <f>'3 - Balance Sheet'!H21*-1</f>
        <v>-155337285</v>
      </c>
    </row>
    <row r="24" spans="1:10" x14ac:dyDescent="0.2">
      <c r="A24" s="179"/>
      <c r="B24" s="179"/>
      <c r="C24" s="27" t="s">
        <v>1055</v>
      </c>
      <c r="D24" t="s">
        <v>835</v>
      </c>
      <c r="E24" t="s">
        <v>684</v>
      </c>
      <c r="F24" s="18">
        <f>'3 - Balance Sheet'!D25*-1</f>
        <v>0</v>
      </c>
      <c r="G24" s="18">
        <f>'3 - Balance Sheet'!E25*-1</f>
        <v>0</v>
      </c>
      <c r="H24" s="18">
        <f>'3 - Balance Sheet'!F25*-1</f>
        <v>0</v>
      </c>
      <c r="I24" s="18">
        <f>'3 - Balance Sheet'!G25*-1</f>
        <v>0</v>
      </c>
      <c r="J24" s="18">
        <f>'3 - Balance Sheet'!H25*-1</f>
        <v>0</v>
      </c>
    </row>
    <row r="25" spans="1:10" x14ac:dyDescent="0.2">
      <c r="A25" s="179"/>
      <c r="B25" s="179"/>
      <c r="C25" s="27" t="s">
        <v>1252</v>
      </c>
      <c r="D25" s="4" t="s">
        <v>845</v>
      </c>
      <c r="E25" s="1" t="s">
        <v>566</v>
      </c>
      <c r="F25" s="17">
        <f>SUM(F18:F24)</f>
        <v>-26948403</v>
      </c>
      <c r="G25" s="17">
        <f>SUM(G18:G24)</f>
        <v>-117242150</v>
      </c>
      <c r="H25" s="17">
        <f>SUM(H18:H24)</f>
        <v>-173220633</v>
      </c>
      <c r="I25" s="17">
        <f>SUM(I18:I24)</f>
        <v>-239604223</v>
      </c>
      <c r="J25" s="17">
        <f>SUM(J18:J24)</f>
        <v>-262688024</v>
      </c>
    </row>
  </sheetData>
  <customSheetViews>
    <customSheetView guid="{250789E3-B657-4A6D-AD7D-7EE7A7132AFA}" showRuler="0" topLeftCell="B61">
      <selection activeCell="C77" sqref="C77"/>
      <pageMargins left="0.75" right="0.75" top="1" bottom="1" header="0.5" footer="0.5"/>
      <pageSetup orientation="portrait" horizontalDpi="300" verticalDpi="300" r:id="rId1"/>
      <headerFooter alignWithMargins="0"/>
    </customSheetView>
  </customSheetViews>
  <mergeCells count="2">
    <mergeCell ref="B2:B25"/>
    <mergeCell ref="A2:A25"/>
  </mergeCells>
  <phoneticPr fontId="0" type="noConversion"/>
  <pageMargins left="0.75" right="0.75" top="1" bottom="1" header="0.5" footer="0.5"/>
  <pageSetup scale="58" orientation="portrait" horizontalDpi="300" verticalDpi="300" r:id="rId2"/>
  <headerFooter alignWithMargins="0"/>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92"/>
  <sheetViews>
    <sheetView topLeftCell="E50" zoomScaleNormal="100" zoomScaleSheetLayoutView="50" workbookViewId="0">
      <selection activeCell="G66" sqref="G66"/>
    </sheetView>
  </sheetViews>
  <sheetFormatPr defaultRowHeight="12.75" x14ac:dyDescent="0.2"/>
  <cols>
    <col min="2" max="3" width="7.7109375" customWidth="1"/>
    <col min="4" max="4" width="33.85546875" customWidth="1"/>
    <col min="5" max="5" width="35" customWidth="1"/>
    <col min="6" max="7" width="14.28515625" customWidth="1"/>
    <col min="8" max="8" width="14.42578125" customWidth="1"/>
    <col min="9" max="9" width="16.42578125" customWidth="1"/>
    <col min="10" max="10" width="16" customWidth="1"/>
  </cols>
  <sheetData>
    <row r="1" spans="1:10" x14ac:dyDescent="0.2">
      <c r="B1" s="49"/>
      <c r="C1" s="50" t="s">
        <v>1065</v>
      </c>
      <c r="D1" s="106" t="s">
        <v>885</v>
      </c>
      <c r="E1" s="106" t="s">
        <v>539</v>
      </c>
    </row>
    <row r="2" spans="1:10" x14ac:dyDescent="0.2">
      <c r="B2" s="51" t="s">
        <v>1090</v>
      </c>
      <c r="C2" s="51" t="s">
        <v>1063</v>
      </c>
      <c r="D2" s="106">
        <f>'2 - General Input'!C6</f>
        <v>0</v>
      </c>
      <c r="E2" s="106" t="s">
        <v>540</v>
      </c>
    </row>
    <row r="3" spans="1:10" ht="12" customHeight="1" x14ac:dyDescent="0.25">
      <c r="B3" s="51" t="s">
        <v>1091</v>
      </c>
      <c r="C3" s="51" t="s">
        <v>1064</v>
      </c>
      <c r="D3" s="5"/>
      <c r="E3" s="5"/>
    </row>
    <row r="4" spans="1:10" x14ac:dyDescent="0.2">
      <c r="B4" s="49"/>
      <c r="C4" s="50" t="s">
        <v>1066</v>
      </c>
      <c r="F4" s="3" t="str">
        <f>'2 - General Input'!C8</f>
        <v>Annual  سنوى</v>
      </c>
      <c r="G4" s="3" t="str">
        <f>'2 - General Input'!C8</f>
        <v>Annual  سنوى</v>
      </c>
      <c r="H4" s="3" t="str">
        <f>'2 - General Input'!C8</f>
        <v>Annual  سنوى</v>
      </c>
      <c r="I4" s="3" t="str">
        <f>'2 - General Input'!C8</f>
        <v>Annual  سنوى</v>
      </c>
      <c r="J4" s="3" t="str">
        <f>'2 - General Input'!C8</f>
        <v>Annual  سنوى</v>
      </c>
    </row>
    <row r="5" spans="1:10" x14ac:dyDescent="0.2">
      <c r="B5" s="26"/>
      <c r="C5" s="26"/>
      <c r="F5" s="3" t="s">
        <v>801</v>
      </c>
      <c r="G5" s="3" t="s">
        <v>801</v>
      </c>
      <c r="H5" s="3" t="s">
        <v>801</v>
      </c>
      <c r="I5" s="3" t="s">
        <v>801</v>
      </c>
      <c r="J5" s="3" t="s">
        <v>801</v>
      </c>
    </row>
    <row r="6" spans="1:10" x14ac:dyDescent="0.2">
      <c r="C6" s="3" t="s">
        <v>792</v>
      </c>
      <c r="D6" s="3" t="s">
        <v>897</v>
      </c>
      <c r="E6" s="3" t="s">
        <v>537</v>
      </c>
      <c r="F6" s="3">
        <f>'2 - General Input'!C18</f>
        <v>2005</v>
      </c>
      <c r="G6" s="3">
        <f>'2 - General Input'!C17</f>
        <v>2006</v>
      </c>
      <c r="H6" s="3">
        <f>'2 - General Input'!C16</f>
        <v>2007</v>
      </c>
      <c r="I6" s="3">
        <f>'2 - General Input'!C15</f>
        <v>2008</v>
      </c>
      <c r="J6" s="3">
        <f>'2 - General Input'!C14</f>
        <v>2009</v>
      </c>
    </row>
    <row r="7" spans="1:10" s="11" customFormat="1" ht="6" customHeight="1" x14ac:dyDescent="0.2"/>
    <row r="9" spans="1:10" x14ac:dyDescent="0.2">
      <c r="C9" s="27"/>
    </row>
    <row r="10" spans="1:10" x14ac:dyDescent="0.2">
      <c r="A10" s="179" t="s">
        <v>699</v>
      </c>
      <c r="B10" s="179" t="s">
        <v>1175</v>
      </c>
      <c r="C10" s="27" t="s">
        <v>1161</v>
      </c>
      <c r="D10" s="4" t="s">
        <v>903</v>
      </c>
      <c r="E10" s="106" t="s">
        <v>538</v>
      </c>
      <c r="F10" s="33">
        <f>SUM([0]!acid5)/('3 - Balance Sheet'!D20)</f>
        <v>0.72347200274397705</v>
      </c>
      <c r="G10" s="33">
        <f>SUM([0]!acid4)/('3 - Balance Sheet'!E20)</f>
        <v>0.45782620834735188</v>
      </c>
      <c r="H10" s="33">
        <f>SUM([0]!acid3)/('3 - Balance Sheet'!F20)</f>
        <v>0.46330569464122423</v>
      </c>
      <c r="I10" s="33">
        <f>SUM([0]!acid2)/('3 - Balance Sheet'!G20)</f>
        <v>0.49956881124472735</v>
      </c>
      <c r="J10" s="33">
        <f>SUM([0]!acid1)/('3 - Balance Sheet'!H20)</f>
        <v>0.7007111775548478</v>
      </c>
    </row>
    <row r="11" spans="1:10" x14ac:dyDescent="0.2">
      <c r="A11" s="179"/>
      <c r="B11" s="179"/>
      <c r="C11" s="27"/>
      <c r="D11" s="4"/>
      <c r="E11" s="4"/>
      <c r="F11" s="21"/>
      <c r="G11" s="21"/>
      <c r="H11" s="21"/>
      <c r="I11" s="21"/>
      <c r="J11" s="21"/>
    </row>
    <row r="12" spans="1:10" x14ac:dyDescent="0.2">
      <c r="A12" s="179"/>
      <c r="B12" s="179"/>
      <c r="C12" s="27" t="s">
        <v>1162</v>
      </c>
      <c r="D12" s="4" t="s">
        <v>912</v>
      </c>
      <c r="E12" s="4" t="s">
        <v>685</v>
      </c>
      <c r="F12" s="32">
        <f>'3 - Balance Sheet'!D7/'3 - Balance Sheet'!D20</f>
        <v>1.0080923351634621</v>
      </c>
      <c r="G12" s="32">
        <f>'3 - Balance Sheet'!E7/'3 - Balance Sheet'!E20</f>
        <v>0.71149539820570562</v>
      </c>
      <c r="H12" s="32">
        <f>'3 - Balance Sheet'!F7/'3 - Balance Sheet'!F20</f>
        <v>0.71036868102030259</v>
      </c>
      <c r="I12" s="32">
        <f>'3 - Balance Sheet'!G7/'3 - Balance Sheet'!G20</f>
        <v>0.76439744343871741</v>
      </c>
      <c r="J12" s="32">
        <f>'3 - Balance Sheet'!H7/'3 - Balance Sheet'!H20</f>
        <v>1.2221499553809021</v>
      </c>
    </row>
    <row r="13" spans="1:10" x14ac:dyDescent="0.2">
      <c r="A13" s="179"/>
      <c r="B13" s="179"/>
      <c r="C13" s="27"/>
    </row>
    <row r="14" spans="1:10" x14ac:dyDescent="0.2">
      <c r="A14" s="179"/>
      <c r="B14" s="179"/>
      <c r="C14" s="27" t="s">
        <v>1163</v>
      </c>
      <c r="D14" s="4" t="s">
        <v>911</v>
      </c>
      <c r="E14" s="4" t="s">
        <v>686</v>
      </c>
      <c r="F14" s="24">
        <f>'5 - Cash Flow'!D8/'4 - Income Statement'!D20</f>
        <v>2.6687534100949604</v>
      </c>
      <c r="G14" s="24">
        <f>'5 - Cash Flow'!E8/'4 - Income Statement'!E20</f>
        <v>2.3625225133526366</v>
      </c>
      <c r="H14" s="24">
        <f>'5 - Cash Flow'!F8/'4 - Income Statement'!F20</f>
        <v>8.7103995980803151E-3</v>
      </c>
      <c r="I14" s="24">
        <f>'5 - Cash Flow'!G8/'4 - Income Statement'!G20</f>
        <v>1.2205033452853893</v>
      </c>
      <c r="J14" s="24">
        <f>'5 - Cash Flow'!H8/'4 - Income Statement'!H20</f>
        <v>0.95485844089149885</v>
      </c>
    </row>
    <row r="15" spans="1:10" x14ac:dyDescent="0.2">
      <c r="A15" s="179"/>
      <c r="B15" s="179"/>
      <c r="C15" s="27"/>
    </row>
    <row r="16" spans="1:10" x14ac:dyDescent="0.2">
      <c r="A16" s="179"/>
      <c r="B16" s="179"/>
      <c r="C16" s="27"/>
      <c r="D16" s="106" t="s">
        <v>1117</v>
      </c>
      <c r="E16" s="106" t="s">
        <v>687</v>
      </c>
    </row>
    <row r="17" spans="1:11" x14ac:dyDescent="0.2">
      <c r="A17" s="179"/>
      <c r="B17" s="179"/>
      <c r="C17" s="27" t="s">
        <v>1164</v>
      </c>
      <c r="D17" t="s">
        <v>1118</v>
      </c>
      <c r="F17">
        <v>0</v>
      </c>
      <c r="G17">
        <v>0</v>
      </c>
      <c r="H17">
        <v>0</v>
      </c>
      <c r="I17">
        <v>0</v>
      </c>
      <c r="J17">
        <v>0</v>
      </c>
    </row>
    <row r="18" spans="1:11" x14ac:dyDescent="0.2">
      <c r="A18" s="179"/>
      <c r="B18" s="179"/>
      <c r="C18" s="27" t="s">
        <v>1034</v>
      </c>
      <c r="D18" t="s">
        <v>1122</v>
      </c>
      <c r="E18" t="s">
        <v>568</v>
      </c>
      <c r="F18" s="18">
        <f>'3 - Balance Sheet'!D2</f>
        <v>4860589</v>
      </c>
      <c r="G18" s="18">
        <f>'3 - Balance Sheet'!E2</f>
        <v>23722600</v>
      </c>
      <c r="H18" s="18">
        <f>'3 - Balance Sheet'!F2</f>
        <v>14360077</v>
      </c>
      <c r="I18" s="18">
        <f>'3 - Balance Sheet'!G2</f>
        <v>49704636</v>
      </c>
      <c r="J18" s="18">
        <f>'3 - Balance Sheet'!H2</f>
        <v>25361545</v>
      </c>
    </row>
    <row r="19" spans="1:11" x14ac:dyDescent="0.2">
      <c r="A19" s="179"/>
      <c r="B19" s="179"/>
      <c r="C19" s="27" t="s">
        <v>1165</v>
      </c>
      <c r="D19" t="s">
        <v>1172</v>
      </c>
      <c r="E19" t="s">
        <v>688</v>
      </c>
      <c r="F19">
        <f>(F17*F18)</f>
        <v>0</v>
      </c>
      <c r="G19">
        <f>(G17*G18)/G18</f>
        <v>0</v>
      </c>
      <c r="H19">
        <f>(H17*H18)/H18</f>
        <v>0</v>
      </c>
      <c r="I19">
        <f>(I17*I18)/I18</f>
        <v>0</v>
      </c>
      <c r="J19">
        <f>(J17*J18)/J18</f>
        <v>0</v>
      </c>
    </row>
    <row r="20" spans="1:11" x14ac:dyDescent="0.2">
      <c r="A20" s="179"/>
      <c r="B20" s="179"/>
      <c r="C20" s="27" t="s">
        <v>1166</v>
      </c>
      <c r="D20" t="s">
        <v>1127</v>
      </c>
      <c r="E20" t="s">
        <v>689</v>
      </c>
      <c r="F20" s="6">
        <v>11</v>
      </c>
      <c r="G20" s="6">
        <v>12</v>
      </c>
      <c r="H20" s="6">
        <v>16</v>
      </c>
      <c r="I20" s="6">
        <v>15</v>
      </c>
      <c r="J20" s="6">
        <v>14</v>
      </c>
    </row>
    <row r="21" spans="1:11" x14ac:dyDescent="0.2">
      <c r="A21" s="179"/>
      <c r="B21" s="179"/>
      <c r="C21" s="27" t="s">
        <v>1035</v>
      </c>
      <c r="D21" t="s">
        <v>1128</v>
      </c>
      <c r="E21" t="s">
        <v>690</v>
      </c>
      <c r="F21" s="18">
        <f>'3 - Balance Sheet'!D3</f>
        <v>0</v>
      </c>
      <c r="G21" s="18">
        <f>'3 - Balance Sheet'!E3</f>
        <v>0</v>
      </c>
      <c r="H21" s="18">
        <f>'3 - Balance Sheet'!F3</f>
        <v>0</v>
      </c>
      <c r="I21" s="18">
        <f>'3 - Balance Sheet'!G3</f>
        <v>0</v>
      </c>
      <c r="J21" s="18">
        <f>'3 - Balance Sheet'!H3</f>
        <v>0</v>
      </c>
    </row>
    <row r="22" spans="1:11" x14ac:dyDescent="0.2">
      <c r="A22" s="179"/>
      <c r="B22" s="179"/>
      <c r="C22" s="27" t="s">
        <v>1167</v>
      </c>
      <c r="D22" t="s">
        <v>1173</v>
      </c>
      <c r="E22" t="s">
        <v>691</v>
      </c>
      <c r="F22">
        <f>(F20*F21)</f>
        <v>0</v>
      </c>
      <c r="G22">
        <f>(G20*G21)</f>
        <v>0</v>
      </c>
      <c r="H22">
        <f>(H20*H21)</f>
        <v>0</v>
      </c>
      <c r="I22">
        <f>(I20*I21)</f>
        <v>0</v>
      </c>
      <c r="J22">
        <f>(J20*J21)</f>
        <v>0</v>
      </c>
    </row>
    <row r="23" spans="1:11" x14ac:dyDescent="0.2">
      <c r="A23" s="179"/>
      <c r="B23" s="179"/>
      <c r="C23" s="27" t="s">
        <v>1236</v>
      </c>
      <c r="D23" t="s">
        <v>1119</v>
      </c>
      <c r="E23" t="s">
        <v>692</v>
      </c>
      <c r="F23" s="35">
        <f>F49</f>
        <v>58.809262725200199</v>
      </c>
      <c r="G23" s="35">
        <f>G49</f>
        <v>56.679860462648513</v>
      </c>
      <c r="H23" s="35">
        <f>H49</f>
        <v>96.681661853667933</v>
      </c>
      <c r="I23" s="35">
        <f>I49</f>
        <v>103.34338057708095</v>
      </c>
      <c r="J23" s="35">
        <f>J49</f>
        <v>105.89524145470767</v>
      </c>
    </row>
    <row r="24" spans="1:11" x14ac:dyDescent="0.2">
      <c r="A24" s="179"/>
      <c r="B24" s="179"/>
      <c r="C24" s="27" t="s">
        <v>1036</v>
      </c>
      <c r="D24" t="s">
        <v>1124</v>
      </c>
      <c r="E24" t="s">
        <v>693</v>
      </c>
      <c r="F24" s="18">
        <f>'3 - Balance Sheet'!D4</f>
        <v>65643719</v>
      </c>
      <c r="G24" s="18">
        <f>'3 - Balance Sheet'!E4</f>
        <v>49342944</v>
      </c>
      <c r="H24" s="18">
        <f>'3 - Balance Sheet'!F4</f>
        <v>93961696</v>
      </c>
      <c r="I24" s="18">
        <f>'3 - Balance Sheet'!G4</f>
        <v>155569394</v>
      </c>
      <c r="J24" s="18">
        <f>'3 - Balance Sheet'!H4</f>
        <v>225973811</v>
      </c>
    </row>
    <row r="25" spans="1:11" x14ac:dyDescent="0.2">
      <c r="A25" s="179"/>
      <c r="B25" s="179"/>
      <c r="C25" s="27" t="s">
        <v>1197</v>
      </c>
      <c r="D25" t="s">
        <v>1169</v>
      </c>
      <c r="E25" t="s">
        <v>694</v>
      </c>
      <c r="F25" s="18">
        <f>(F23*F24)</f>
        <v>3860458716.9302163</v>
      </c>
      <c r="G25" s="18">
        <f>(G23*G24)</f>
        <v>2796751180.7362795</v>
      </c>
      <c r="H25" s="18">
        <f>(H23*H24)</f>
        <v>9084372919.8691425</v>
      </c>
      <c r="I25" s="18">
        <f>(I23*I24)</f>
        <v>16077067090.287853</v>
      </c>
      <c r="J25" s="18">
        <f>(J23*J24)</f>
        <v>23929551278.285477</v>
      </c>
    </row>
    <row r="26" spans="1:11" x14ac:dyDescent="0.2">
      <c r="A26" s="179"/>
      <c r="B26" s="179"/>
      <c r="C26" s="27" t="s">
        <v>1253</v>
      </c>
      <c r="D26" t="s">
        <v>1120</v>
      </c>
      <c r="E26" t="s">
        <v>766</v>
      </c>
      <c r="F26" s="16">
        <f>F56</f>
        <v>4.5773986015019492</v>
      </c>
      <c r="G26" s="18">
        <f>G56</f>
        <v>8.6047738072056514</v>
      </c>
      <c r="H26" s="18">
        <f>H56</f>
        <v>13.398956226979246</v>
      </c>
      <c r="I26" s="18">
        <f>I56</f>
        <v>20.447243724468727</v>
      </c>
      <c r="J26" s="18">
        <f>J56</f>
        <v>44.070452529455899</v>
      </c>
    </row>
    <row r="27" spans="1:11" x14ac:dyDescent="0.2">
      <c r="A27" s="179"/>
      <c r="B27" s="179"/>
      <c r="C27" s="27" t="s">
        <v>1037</v>
      </c>
      <c r="D27" t="s">
        <v>1125</v>
      </c>
      <c r="E27" t="s">
        <v>695</v>
      </c>
      <c r="F27" s="18">
        <f>'3 - Balance Sheet'!D5</f>
        <v>5117530</v>
      </c>
      <c r="G27" s="18">
        <f>'3 - Balance Sheet'!E5</f>
        <v>6693971</v>
      </c>
      <c r="H27" s="18">
        <f>'3 - Balance Sheet'!F5</f>
        <v>13514991</v>
      </c>
      <c r="I27" s="18">
        <f>'3 - Balance Sheet'!G5</f>
        <v>34916560</v>
      </c>
      <c r="J27" s="18">
        <f>'3 - Balance Sheet'!H5</f>
        <v>106895912</v>
      </c>
    </row>
    <row r="28" spans="1:11" x14ac:dyDescent="0.2">
      <c r="A28" s="179"/>
      <c r="B28" s="179"/>
      <c r="C28" s="27" t="s">
        <v>1198</v>
      </c>
      <c r="D28" t="s">
        <v>1170</v>
      </c>
      <c r="E28" t="s">
        <v>696</v>
      </c>
      <c r="F28" s="18">
        <f>(F26*F27)</f>
        <v>23424974.665144268</v>
      </c>
      <c r="G28" s="18">
        <f>(G26*G27)</f>
        <v>57600106.326994225</v>
      </c>
      <c r="H28" s="18">
        <f>(H26*H27)</f>
        <v>181086772.81701848</v>
      </c>
      <c r="I28" s="18">
        <f>(I26*I27)</f>
        <v>713947412.3400358</v>
      </c>
      <c r="J28" s="18">
        <f>(J26*J27)</f>
        <v>4710951215.388895</v>
      </c>
    </row>
    <row r="29" spans="1:11" x14ac:dyDescent="0.2">
      <c r="A29" s="179"/>
      <c r="B29" s="179"/>
      <c r="C29" s="27" t="s">
        <v>1224</v>
      </c>
      <c r="D29" t="s">
        <v>1121</v>
      </c>
      <c r="E29" t="s">
        <v>720</v>
      </c>
      <c r="F29" s="16">
        <v>16</v>
      </c>
      <c r="G29" s="16">
        <v>22</v>
      </c>
      <c r="H29" s="16">
        <v>26</v>
      </c>
      <c r="I29" s="16">
        <v>21</v>
      </c>
      <c r="J29" s="16">
        <v>19</v>
      </c>
      <c r="K29" s="28" t="s">
        <v>788</v>
      </c>
    </row>
    <row r="30" spans="1:11" x14ac:dyDescent="0.2">
      <c r="A30" s="179"/>
      <c r="B30" s="179"/>
      <c r="C30" s="27" t="s">
        <v>1038</v>
      </c>
      <c r="D30" t="s">
        <v>1126</v>
      </c>
      <c r="E30" t="s">
        <v>697</v>
      </c>
      <c r="F30" s="18">
        <f>'3 - Balance Sheet'!D6</f>
        <v>22619493</v>
      </c>
      <c r="G30" s="18">
        <f>'3 - Balance Sheet'!E6</f>
        <v>33789682</v>
      </c>
      <c r="H30" s="18">
        <f>'3 - Balance Sheet'!F6</f>
        <v>44248816</v>
      </c>
      <c r="I30" s="18">
        <f>'3 - Balance Sheet'!G6</f>
        <v>73902164</v>
      </c>
      <c r="J30" s="18">
        <f>'3 - Balance Sheet'!H6</f>
        <v>80136927</v>
      </c>
      <c r="K30" s="18" t="s">
        <v>788</v>
      </c>
    </row>
    <row r="31" spans="1:11" x14ac:dyDescent="0.2">
      <c r="A31" s="179"/>
      <c r="B31" s="179"/>
      <c r="C31" s="27" t="s">
        <v>1225</v>
      </c>
      <c r="D31" t="s">
        <v>1171</v>
      </c>
      <c r="E31" t="s">
        <v>698</v>
      </c>
      <c r="F31" s="18">
        <f>(F29*F30)</f>
        <v>361911888</v>
      </c>
      <c r="G31" s="18">
        <f>(G29*G30)</f>
        <v>743373004</v>
      </c>
      <c r="H31" s="18">
        <f>(H29*H30)</f>
        <v>1150469216</v>
      </c>
      <c r="I31" s="18">
        <f>(I29*I30)</f>
        <v>1551945444</v>
      </c>
      <c r="J31" s="18">
        <f>(J29*J30)</f>
        <v>1522601613</v>
      </c>
      <c r="K31" s="18" t="s">
        <v>788</v>
      </c>
    </row>
    <row r="32" spans="1:11" x14ac:dyDescent="0.2">
      <c r="A32" s="179"/>
      <c r="B32" s="179"/>
      <c r="C32" s="27" t="s">
        <v>1226</v>
      </c>
      <c r="D32" s="106" t="s">
        <v>1174</v>
      </c>
      <c r="E32" s="106" t="s">
        <v>569</v>
      </c>
      <c r="F32" s="106">
        <f>SUM(F19+F22+F25+F28+F31)/SUM(F18+F21+F24+F27+F30)</f>
        <v>43.218017675222264</v>
      </c>
      <c r="G32" s="17">
        <f>SUM(G19+G22+G25+G28+G31)/SUM(G18+G21+G24+G27+G30)</f>
        <v>31.684277706193502</v>
      </c>
      <c r="H32" s="17">
        <f>SUM(H19+H22+H25+H28+H31)/SUM(H18+H21+H24+H27+H30)</f>
        <v>62.714227861841835</v>
      </c>
      <c r="I32" s="17">
        <f>SUM(I19+I22+I25+I28+I31)/SUM(I18+I21+I24+I27+I30)</f>
        <v>58.399818884799522</v>
      </c>
      <c r="J32" s="17">
        <f>SUM(J19+J22+J25+J28+J31)/SUM(J18+J21+J24+J27+J30)</f>
        <v>68.80769282697247</v>
      </c>
    </row>
    <row r="33" spans="1:10" x14ac:dyDescent="0.2">
      <c r="A33" s="179"/>
      <c r="B33" s="179"/>
      <c r="C33" s="27"/>
    </row>
    <row r="34" spans="1:10" x14ac:dyDescent="0.2">
      <c r="A34" s="179"/>
      <c r="B34" s="179"/>
      <c r="C34" s="27"/>
      <c r="D34" s="117" t="s">
        <v>1110</v>
      </c>
      <c r="E34" s="117" t="s">
        <v>1110</v>
      </c>
    </row>
    <row r="35" spans="1:10" x14ac:dyDescent="0.2">
      <c r="A35" s="179"/>
      <c r="B35" s="179"/>
      <c r="C35" s="27" t="s">
        <v>1227</v>
      </c>
      <c r="D35" t="s">
        <v>1129</v>
      </c>
      <c r="E35" t="s">
        <v>700</v>
      </c>
      <c r="F35" s="36">
        <f>SUM(1.2)*('6 - Key Financials'!F17/'3 - Balance Sheet'!D15)</f>
        <v>5.309384244529162E-3</v>
      </c>
      <c r="G35" s="36">
        <f>SUM(1.2)*('6 - Key Financials'!G17/'3 - Balance Sheet'!E15)</f>
        <v>-0.17835732941280225</v>
      </c>
      <c r="H35" s="36">
        <f>SUM(1.2)*('6 - Key Financials'!H17/'3 - Balance Sheet'!F15)</f>
        <v>-0.2025194781063335</v>
      </c>
      <c r="I35" s="36">
        <f>SUM(1.2)*('6 - Key Financials'!I17/'3 - Balance Sheet'!G15)</f>
        <v>-0.17252597640249423</v>
      </c>
      <c r="J35" s="36">
        <f>SUM(1.2)*('6 - Key Financials'!J17/'3 - Balance Sheet'!H15)</f>
        <v>0.11338880663184847</v>
      </c>
    </row>
    <row r="36" spans="1:10" x14ac:dyDescent="0.2">
      <c r="A36" s="179"/>
      <c r="B36" s="179"/>
      <c r="C36" s="27" t="s">
        <v>1228</v>
      </c>
      <c r="D36" t="s">
        <v>1130</v>
      </c>
      <c r="E36" t="s">
        <v>572</v>
      </c>
      <c r="F36" s="36">
        <f>SUM(1.4)*('3 - Balance Sheet'!D28/'3 - Balance Sheet'!D15)</f>
        <v>0.50312445680646167</v>
      </c>
      <c r="G36" s="36">
        <f>SUM(1.4)*('3 - Balance Sheet'!E28/'3 - Balance Sheet'!E15)</f>
        <v>0.4621129432144937</v>
      </c>
      <c r="H36" s="36">
        <f>SUM(1.4)*('3 - Balance Sheet'!F28/'3 - Balance Sheet'!F15)</f>
        <v>0.34494138665009499</v>
      </c>
      <c r="I36" s="36">
        <f>SUM(1.4)*('3 - Balance Sheet'!G28/'3 - Balance Sheet'!G15)</f>
        <v>0.33026862545971108</v>
      </c>
      <c r="J36" s="36">
        <f>SUM(1.4)*('3 - Balance Sheet'!H28/'3 - Balance Sheet'!H15)</f>
        <v>0.43329872581133222</v>
      </c>
    </row>
    <row r="37" spans="1:10" x14ac:dyDescent="0.2">
      <c r="A37" s="179"/>
      <c r="B37" s="179"/>
      <c r="C37" s="27" t="s">
        <v>1229</v>
      </c>
      <c r="D37" t="s">
        <v>1131</v>
      </c>
      <c r="E37" t="s">
        <v>570</v>
      </c>
      <c r="F37" s="36">
        <f>SUM(3.3)*('4 - Income Statement'!D22/'3 - Balance Sheet'!D15)</f>
        <v>0.38890869135357015</v>
      </c>
      <c r="G37" s="36">
        <f>SUM(3.3)*('4 - Income Statement'!E22/'3 - Balance Sheet'!E15)</f>
        <v>0.45790992002225051</v>
      </c>
      <c r="H37" s="36">
        <f>SUM(3.3)*('4 - Income Statement'!F22/'3 - Balance Sheet'!F15)</f>
        <v>0.35300546495481067</v>
      </c>
      <c r="I37" s="36">
        <f>SUM(3.3)*('4 - Income Statement'!G22/'3 - Balance Sheet'!G15)</f>
        <v>0.36225928177562627</v>
      </c>
      <c r="J37" s="36">
        <f>SUM(3.3)*('4 - Income Statement'!H22/'3 - Balance Sheet'!H15)</f>
        <v>0.47327523987721737</v>
      </c>
    </row>
    <row r="38" spans="1:10" x14ac:dyDescent="0.2">
      <c r="A38" s="179"/>
      <c r="B38" s="179"/>
      <c r="C38" s="27" t="s">
        <v>1230</v>
      </c>
      <c r="D38" t="s">
        <v>1132</v>
      </c>
      <c r="E38" t="s">
        <v>571</v>
      </c>
      <c r="F38" s="36" t="e">
        <f>SUM(0.6)*('6 - Key Financials'!#REF!/'3 - Balance Sheet'!D21)</f>
        <v>#REF!</v>
      </c>
      <c r="G38" s="36" t="e">
        <f>SUM(0.6)*('6 - Key Financials'!#REF!/'3 - Balance Sheet'!E21)</f>
        <v>#REF!</v>
      </c>
      <c r="H38" s="36" t="e">
        <f>SUM(0.6)*('6 - Key Financials'!#REF!/'3 - Balance Sheet'!F21)</f>
        <v>#REF!</v>
      </c>
      <c r="I38" s="36" t="e">
        <f>SUM(0.6)*('6 - Key Financials'!#REF!/'3 - Balance Sheet'!G21)</f>
        <v>#REF!</v>
      </c>
      <c r="J38" s="36" t="e">
        <f>SUM(0.6)*('6 - Key Financials'!#REF!/'3 - Balance Sheet'!H21)</f>
        <v>#REF!</v>
      </c>
    </row>
    <row r="39" spans="1:10" x14ac:dyDescent="0.2">
      <c r="A39" s="179"/>
      <c r="B39" s="179"/>
      <c r="C39" s="27" t="s">
        <v>1231</v>
      </c>
      <c r="D39" t="s">
        <v>1133</v>
      </c>
      <c r="E39" t="s">
        <v>573</v>
      </c>
      <c r="F39" s="36">
        <f>SUM(0.999)*('4 - Income Statement'!D2/'3 - Balance Sheet'!D15)</f>
        <v>2.2834994922460616</v>
      </c>
      <c r="G39" s="36">
        <f>SUM(0.999)*('4 - Income Statement'!E2/'3 - Balance Sheet'!E15)</f>
        <v>1.0247068426401398</v>
      </c>
      <c r="H39" s="36">
        <f>SUM(0.999)*('4 - Income Statement'!F2/'3 - Balance Sheet'!F15)</f>
        <v>0.88319581567429672</v>
      </c>
      <c r="I39" s="36">
        <f>SUM(0.999)*('4 - Income Statement'!G2/'3 - Balance Sheet'!G15)</f>
        <v>0.81518167077819981</v>
      </c>
      <c r="J39" s="36">
        <f>SUM(0.999)*('4 - Income Statement'!H2/'3 - Balance Sheet'!H15)</f>
        <v>0.92271628372056036</v>
      </c>
    </row>
    <row r="40" spans="1:10" x14ac:dyDescent="0.2">
      <c r="A40" s="179"/>
      <c r="B40" s="179"/>
      <c r="C40" s="27" t="s">
        <v>1232</v>
      </c>
      <c r="D40" s="106" t="s">
        <v>1134</v>
      </c>
      <c r="E40" s="106" t="s">
        <v>1110</v>
      </c>
      <c r="F40" s="106" t="e">
        <f>SUM(F35:F39)</f>
        <v>#REF!</v>
      </c>
      <c r="G40" s="32" t="e">
        <f>SUM(G35:G39)</f>
        <v>#REF!</v>
      </c>
      <c r="H40" s="32" t="e">
        <f>SUM(H35:H39)</f>
        <v>#REF!</v>
      </c>
      <c r="I40" s="32" t="e">
        <f>SUM(I35:I39)</f>
        <v>#REF!</v>
      </c>
      <c r="J40" s="32" t="e">
        <f>SUM(J35:J39)</f>
        <v>#REF!</v>
      </c>
    </row>
    <row r="41" spans="1:10" x14ac:dyDescent="0.2">
      <c r="C41" s="27"/>
      <c r="D41" t="s">
        <v>788</v>
      </c>
      <c r="F41" t="s">
        <v>788</v>
      </c>
    </row>
    <row r="42" spans="1:10" x14ac:dyDescent="0.2">
      <c r="C42" s="27"/>
    </row>
    <row r="43" spans="1:10" x14ac:dyDescent="0.2">
      <c r="C43" s="27"/>
    </row>
    <row r="44" spans="1:10" x14ac:dyDescent="0.2">
      <c r="A44" s="179" t="s">
        <v>597</v>
      </c>
      <c r="B44" s="179" t="s">
        <v>896</v>
      </c>
      <c r="C44" s="27"/>
      <c r="D44" s="106" t="s">
        <v>898</v>
      </c>
      <c r="E44" s="106" t="s">
        <v>574</v>
      </c>
    </row>
    <row r="45" spans="1:10" x14ac:dyDescent="0.2">
      <c r="A45" s="179"/>
      <c r="B45" s="179"/>
      <c r="C45" s="27" t="s">
        <v>1233</v>
      </c>
      <c r="D45" t="s">
        <v>899</v>
      </c>
      <c r="E45" t="s">
        <v>575</v>
      </c>
      <c r="F45" s="16">
        <f>+'4 - Income Statement'!D2</f>
        <v>407418089</v>
      </c>
      <c r="G45" s="16">
        <f>+'4 - Income Statement'!E2</f>
        <v>317752627</v>
      </c>
      <c r="H45" s="16">
        <f>+'4 - Income Statement'!F2</f>
        <v>354731377</v>
      </c>
      <c r="I45" s="16">
        <f>+'4 - Income Statement'!G2</f>
        <v>549457822</v>
      </c>
      <c r="J45" s="16">
        <f>+'4 - Income Statement'!H2</f>
        <v>778887133</v>
      </c>
    </row>
    <row r="46" spans="1:10" x14ac:dyDescent="0.2">
      <c r="A46" s="179"/>
      <c r="B46" s="179"/>
      <c r="C46" s="27" t="s">
        <v>1234</v>
      </c>
      <c r="D46" t="s">
        <v>900</v>
      </c>
      <c r="E46" t="s">
        <v>576</v>
      </c>
      <c r="F46" s="16">
        <f>(65643719+81514087)/2</f>
        <v>73578903</v>
      </c>
      <c r="G46" s="18">
        <f>(('3 - Balance Sheet'!D4)+('3 - Balance Sheet'!E4))/2</f>
        <v>57493331.5</v>
      </c>
      <c r="H46" s="18">
        <f>(('3 - Balance Sheet'!E4)+('3 - Balance Sheet'!F4))/2</f>
        <v>71652320</v>
      </c>
      <c r="I46" s="18">
        <f>(('3 - Balance Sheet'!F4)+('3 - Balance Sheet'!G4))/2</f>
        <v>124765545</v>
      </c>
      <c r="J46" s="18">
        <f>(('3 - Balance Sheet'!G4)+('3 - Balance Sheet'!H4))/2</f>
        <v>190771602.5</v>
      </c>
    </row>
    <row r="47" spans="1:10" x14ac:dyDescent="0.2">
      <c r="A47" s="179"/>
      <c r="B47" s="179"/>
      <c r="C47" s="27" t="s">
        <v>1235</v>
      </c>
      <c r="D47" s="4" t="s">
        <v>902</v>
      </c>
      <c r="E47" s="4" t="s">
        <v>577</v>
      </c>
      <c r="F47" s="20">
        <f>+'4 - Income Statement'!D2/'3 - Balance Sheet'!D4</f>
        <v>6.2065052865149219</v>
      </c>
      <c r="G47" s="20">
        <f>+'4 - Income Statement'!E2/'3 - Balance Sheet'!E4</f>
        <v>6.4396771096592857</v>
      </c>
      <c r="H47" s="20">
        <f>+'4 - Income Statement'!F2/'3 - Balance Sheet'!F4</f>
        <v>3.7752764381775314</v>
      </c>
      <c r="I47" s="20">
        <f>+'4 - Income Statement'!G2/'3 - Balance Sheet'!G4</f>
        <v>3.531914651541292</v>
      </c>
      <c r="J47" s="20">
        <f>+'4 - Income Statement'!H2/'3 - Balance Sheet'!H4</f>
        <v>3.4468026606853126</v>
      </c>
    </row>
    <row r="48" spans="1:10" x14ac:dyDescent="0.2">
      <c r="A48" s="179"/>
      <c r="B48" s="179"/>
      <c r="C48" s="27"/>
      <c r="D48" s="4"/>
      <c r="E48" s="4"/>
      <c r="F48" s="20" t="s">
        <v>788</v>
      </c>
      <c r="G48" s="20"/>
      <c r="H48" s="20"/>
      <c r="I48" s="20"/>
      <c r="J48" s="20"/>
    </row>
    <row r="49" spans="1:10" x14ac:dyDescent="0.2">
      <c r="A49" s="179"/>
      <c r="B49" s="179"/>
      <c r="C49" s="27" t="s">
        <v>1236</v>
      </c>
      <c r="D49" s="4" t="s">
        <v>913</v>
      </c>
      <c r="E49" s="4" t="s">
        <v>578</v>
      </c>
      <c r="F49" s="25">
        <f>'2 - General Input'!$D$10/F47</f>
        <v>58.809262725200199</v>
      </c>
      <c r="G49" s="25">
        <f>'2 - General Input'!$D$10/G47</f>
        <v>56.679860462648513</v>
      </c>
      <c r="H49" s="25">
        <f>'2 - General Input'!$D$10/H47</f>
        <v>96.681661853667933</v>
      </c>
      <c r="I49" s="25">
        <f>'2 - General Input'!$D$10/I47</f>
        <v>103.34338057708095</v>
      </c>
      <c r="J49" s="25">
        <f>'2 - General Input'!$D$10/J47</f>
        <v>105.89524145470767</v>
      </c>
    </row>
    <row r="50" spans="1:10" x14ac:dyDescent="0.2">
      <c r="A50" s="179"/>
      <c r="B50" s="179"/>
      <c r="C50" s="27"/>
      <c r="D50" s="4"/>
      <c r="E50" s="4"/>
      <c r="F50" s="20"/>
      <c r="G50" s="20"/>
      <c r="H50" s="20"/>
      <c r="I50" s="20"/>
      <c r="J50" s="20"/>
    </row>
    <row r="51" spans="1:10" x14ac:dyDescent="0.2">
      <c r="A51" s="179"/>
      <c r="B51" s="179"/>
      <c r="C51" s="27"/>
      <c r="D51" s="4"/>
      <c r="E51" s="4"/>
      <c r="F51" s="20"/>
      <c r="G51" s="20"/>
      <c r="H51" s="20"/>
      <c r="I51" s="20"/>
      <c r="J51" s="20"/>
    </row>
    <row r="52" spans="1:10" x14ac:dyDescent="0.2">
      <c r="A52" s="179"/>
      <c r="B52" s="179"/>
      <c r="C52" s="27"/>
      <c r="D52" s="1" t="s">
        <v>1096</v>
      </c>
      <c r="E52" s="1" t="s">
        <v>574</v>
      </c>
      <c r="G52" t="s">
        <v>788</v>
      </c>
    </row>
    <row r="53" spans="1:10" x14ac:dyDescent="0.2">
      <c r="A53" s="179"/>
      <c r="B53" s="179"/>
      <c r="C53" s="27" t="s">
        <v>1254</v>
      </c>
      <c r="D53" s="10" t="s">
        <v>1095</v>
      </c>
      <c r="E53" s="10" t="s">
        <v>579</v>
      </c>
      <c r="F53" s="44">
        <f>(5117530+4352545)/2</f>
        <v>4735037.5</v>
      </c>
      <c r="G53" s="29">
        <f>('3 - Balance Sheet'!D5+'3 - Balance Sheet'!E5)/2</f>
        <v>5905750.5</v>
      </c>
      <c r="H53" s="29">
        <f>('3 - Balance Sheet'!E5+'3 - Balance Sheet'!F5)/2</f>
        <v>10104481</v>
      </c>
      <c r="I53" s="29">
        <f>('3 - Balance Sheet'!F5+'3 - Balance Sheet'!G5)/2</f>
        <v>24215775.5</v>
      </c>
      <c r="J53" s="29">
        <f>('3 - Balance Sheet'!G5+'3 - Balance Sheet'!H5)/2</f>
        <v>70906236</v>
      </c>
    </row>
    <row r="54" spans="1:10" x14ac:dyDescent="0.2">
      <c r="A54" s="179"/>
      <c r="B54" s="179"/>
      <c r="C54" s="27" t="s">
        <v>1255</v>
      </c>
      <c r="D54" s="4" t="s">
        <v>1094</v>
      </c>
      <c r="E54" s="4" t="s">
        <v>574</v>
      </c>
      <c r="F54" s="30">
        <f>'4 - Income Statement'!D5*-1/F53</f>
        <v>79.739614522588255</v>
      </c>
      <c r="G54" s="30">
        <f>'4 - Income Statement'!E5*-1/G53</f>
        <v>42.418314319238512</v>
      </c>
      <c r="H54" s="30">
        <f>'4 - Income Statement'!F5*-1/H53</f>
        <v>27.240927861609123</v>
      </c>
      <c r="I54" s="30">
        <f>'4 - Income Statement'!G5*-1/I53</f>
        <v>17.850816712436075</v>
      </c>
      <c r="J54" s="30">
        <f>'4 - Income Statement'!H5*-1/J53</f>
        <v>8.2821931487097977</v>
      </c>
    </row>
    <row r="55" spans="1:10" x14ac:dyDescent="0.2">
      <c r="A55" s="179"/>
      <c r="B55" s="179"/>
      <c r="C55" s="27"/>
      <c r="D55" t="s">
        <v>788</v>
      </c>
    </row>
    <row r="56" spans="1:10" x14ac:dyDescent="0.2">
      <c r="A56" s="179"/>
      <c r="B56" s="179"/>
      <c r="C56" s="27" t="s">
        <v>1253</v>
      </c>
      <c r="D56" s="4" t="s">
        <v>1116</v>
      </c>
      <c r="E56" s="4" t="s">
        <v>580</v>
      </c>
      <c r="F56" s="34">
        <f>'2 - General Input'!$D$10/F54</f>
        <v>4.5773986015019492</v>
      </c>
      <c r="G56" s="34">
        <f>'2 - General Input'!$D$10/G54</f>
        <v>8.6047738072056514</v>
      </c>
      <c r="H56" s="34">
        <f>'2 - General Input'!$D$10/H54</f>
        <v>13.398956226979246</v>
      </c>
      <c r="I56" s="34">
        <f>'2 - General Input'!$D$10/I54</f>
        <v>20.447243724468727</v>
      </c>
      <c r="J56" s="34">
        <f>'2 - General Input'!$D$10/J54</f>
        <v>44.070452529455899</v>
      </c>
    </row>
    <row r="57" spans="1:10" x14ac:dyDescent="0.2">
      <c r="A57" s="179"/>
      <c r="B57" s="179"/>
      <c r="C57" s="27"/>
    </row>
    <row r="58" spans="1:10" x14ac:dyDescent="0.2">
      <c r="A58" s="179"/>
      <c r="B58" s="179"/>
      <c r="C58" s="27" t="s">
        <v>1256</v>
      </c>
      <c r="D58" s="4" t="s">
        <v>904</v>
      </c>
      <c r="E58" s="4" t="s">
        <v>581</v>
      </c>
      <c r="F58" s="30">
        <f>'4 - Income Statement'!D2/'3 - Balance Sheet'!D15</f>
        <v>2.2857852775235852</v>
      </c>
      <c r="G58" s="30">
        <f>'4 - Income Statement'!E2/'3 - Balance Sheet'!E15</f>
        <v>1.0257325752153552</v>
      </c>
      <c r="H58" s="30">
        <f>'4 - Income Statement'!F2/'3 - Balance Sheet'!F15</f>
        <v>0.88407989556986655</v>
      </c>
      <c r="I58" s="30">
        <f>'4 - Income Statement'!G2/'3 - Balance Sheet'!G15</f>
        <v>0.81599766844664645</v>
      </c>
      <c r="J58" s="30">
        <f>'4 - Income Statement'!H2/'3 - Balance Sheet'!H15</f>
        <v>0.92363992364420455</v>
      </c>
    </row>
    <row r="59" spans="1:10" x14ac:dyDescent="0.2">
      <c r="A59" s="179"/>
      <c r="B59" s="179"/>
      <c r="C59" s="27"/>
      <c r="D59" s="4"/>
      <c r="E59" s="4"/>
      <c r="F59" s="30"/>
      <c r="G59" s="30"/>
      <c r="H59" s="30"/>
      <c r="I59" s="30"/>
      <c r="J59" s="30"/>
    </row>
    <row r="60" spans="1:10" x14ac:dyDescent="0.2">
      <c r="A60" s="179"/>
      <c r="B60" s="179"/>
      <c r="C60" s="27" t="s">
        <v>1257</v>
      </c>
      <c r="D60" s="4" t="s">
        <v>1123</v>
      </c>
      <c r="E60" s="4" t="s">
        <v>582</v>
      </c>
      <c r="F60" s="24">
        <f>('3 - Balance Sheet'!D7+'3 - Balance Sheet'!D10)/'3 - Balance Sheet'!D15</f>
        <v>1</v>
      </c>
      <c r="G60" s="24">
        <f>('3 - Balance Sheet'!E7+'3 - Balance Sheet'!E10)/'3 - Balance Sheet'!E15</f>
        <v>1</v>
      </c>
      <c r="H60" s="24">
        <f>('3 - Balance Sheet'!F7+'3 - Balance Sheet'!F10)/'3 - Balance Sheet'!F15</f>
        <v>1</v>
      </c>
      <c r="I60" s="24">
        <f>('3 - Balance Sheet'!G7+'3 - Balance Sheet'!G10)/'3 - Balance Sheet'!G15</f>
        <v>1</v>
      </c>
      <c r="J60" s="24">
        <f>('3 - Balance Sheet'!H7+'3 - Balance Sheet'!H10)/'3 - Balance Sheet'!H15</f>
        <v>1</v>
      </c>
    </row>
    <row r="61" spans="1:10" x14ac:dyDescent="0.2">
      <c r="C61" s="27"/>
      <c r="D61" s="4"/>
      <c r="E61" s="4"/>
      <c r="F61" s="30"/>
      <c r="G61" s="30"/>
      <c r="H61" s="30"/>
      <c r="I61" s="30"/>
      <c r="J61" s="30"/>
    </row>
    <row r="62" spans="1:10" x14ac:dyDescent="0.2">
      <c r="C62" s="27"/>
      <c r="D62" s="4"/>
      <c r="E62" s="4"/>
      <c r="F62" s="22"/>
      <c r="G62" s="22"/>
      <c r="H62" s="22"/>
      <c r="I62" s="22"/>
      <c r="J62" s="22"/>
    </row>
    <row r="63" spans="1:10" x14ac:dyDescent="0.2">
      <c r="A63" s="179" t="s">
        <v>598</v>
      </c>
      <c r="B63" s="179" t="s">
        <v>1176</v>
      </c>
      <c r="C63" s="27" t="s">
        <v>1258</v>
      </c>
      <c r="D63" s="4" t="s">
        <v>1099</v>
      </c>
      <c r="E63" s="4" t="s">
        <v>583</v>
      </c>
      <c r="F63" s="31" t="e">
        <f>+'4 - Income Statement'!#REF!</f>
        <v>#REF!</v>
      </c>
      <c r="G63" s="31" t="e">
        <f>+'4 - Income Statement'!#REF!</f>
        <v>#REF!</v>
      </c>
      <c r="H63" s="31" t="e">
        <f>+'4 - Income Statement'!#REF!</f>
        <v>#REF!</v>
      </c>
      <c r="I63" s="31" t="e">
        <f>+'4 - Income Statement'!#REF!</f>
        <v>#REF!</v>
      </c>
      <c r="J63" s="31" t="e">
        <f>+'4 - Income Statement'!#REF!</f>
        <v>#REF!</v>
      </c>
    </row>
    <row r="64" spans="1:10" x14ac:dyDescent="0.2">
      <c r="A64" s="179"/>
      <c r="B64" s="179"/>
      <c r="C64" s="27"/>
      <c r="F64" s="22"/>
      <c r="G64" s="22"/>
      <c r="H64" s="22"/>
      <c r="I64" s="22"/>
      <c r="J64" s="22"/>
    </row>
    <row r="65" spans="1:10" x14ac:dyDescent="0.2">
      <c r="A65" s="179"/>
      <c r="B65" s="179"/>
      <c r="C65" s="27" t="s">
        <v>1259</v>
      </c>
      <c r="D65" s="4" t="s">
        <v>1100</v>
      </c>
      <c r="E65" s="4" t="s">
        <v>584</v>
      </c>
      <c r="F65" s="31">
        <f>'4 - Income Statement'!D9/'4 - Income Statement'!D2</f>
        <v>5.1558263040205853E-2</v>
      </c>
      <c r="G65" s="31">
        <f>'4 - Income Statement'!E9/'4 - Income Statement'!E2</f>
        <v>0.13527949211888027</v>
      </c>
      <c r="H65" s="31">
        <f>'4 - Income Statement'!F9/'4 - Income Statement'!F2</f>
        <v>0.12099738219661352</v>
      </c>
      <c r="I65" s="31">
        <f>'4 - Income Statement'!G9/'4 - Income Statement'!G2</f>
        <v>0.1345292323456995</v>
      </c>
      <c r="J65" s="31">
        <f>'4 - Income Statement'!H9/'4 - Income Statement'!H2</f>
        <v>0.15527343035463906</v>
      </c>
    </row>
    <row r="66" spans="1:10" x14ac:dyDescent="0.2">
      <c r="A66" s="179"/>
      <c r="B66" s="179"/>
      <c r="C66" s="27"/>
      <c r="F66" s="22"/>
      <c r="G66" s="22"/>
      <c r="H66" s="22"/>
      <c r="I66" s="22"/>
      <c r="J66" s="22"/>
    </row>
    <row r="67" spans="1:10" x14ac:dyDescent="0.2">
      <c r="A67" s="179"/>
      <c r="B67" s="179"/>
      <c r="C67" s="27" t="s">
        <v>1260</v>
      </c>
      <c r="D67" s="4" t="s">
        <v>1101</v>
      </c>
      <c r="E67" s="4" t="s">
        <v>586</v>
      </c>
      <c r="F67" s="31">
        <f>'4 - Income Statement'!D20/'4 - Income Statement'!D4</f>
        <v>4.5462850412110345E-2</v>
      </c>
      <c r="G67" s="31">
        <f>'4 - Income Statement'!E20/'4 - Income Statement'!E4</f>
        <v>0.11986047318530689</v>
      </c>
      <c r="H67" s="31">
        <f>'4 - Income Statement'!F20/'4 - Income Statement'!F4</f>
        <v>0.1028278446644366</v>
      </c>
      <c r="I67" s="31">
        <f>'4 - Income Statement'!G20/'4 - Income Statement'!G4</f>
        <v>0.10745149574265495</v>
      </c>
      <c r="J67" s="31">
        <f>'4 - Income Statement'!H20/'4 - Income Statement'!H4</f>
        <v>0.13354567719121832</v>
      </c>
    </row>
    <row r="68" spans="1:10" x14ac:dyDescent="0.2">
      <c r="A68" s="179"/>
      <c r="B68" s="179"/>
      <c r="C68" s="27"/>
      <c r="D68" s="4"/>
      <c r="E68" s="4"/>
      <c r="F68" s="31"/>
      <c r="G68" s="31"/>
      <c r="H68" s="31"/>
      <c r="I68" s="31"/>
      <c r="J68" s="31"/>
    </row>
    <row r="69" spans="1:10" x14ac:dyDescent="0.2">
      <c r="A69" s="179"/>
      <c r="B69" s="179"/>
      <c r="C69" s="27" t="s">
        <v>1261</v>
      </c>
      <c r="D69" s="4" t="s">
        <v>1111</v>
      </c>
      <c r="E69" s="4" t="s">
        <v>585</v>
      </c>
      <c r="F69" s="31">
        <f>'4 - Income Statement'!D7*-1/'4 - Income Statement'!D4</f>
        <v>0.90358989452154337</v>
      </c>
      <c r="G69" s="31">
        <f>'4 - Income Statement'!E7*-1/'4 - Income Statement'!E4</f>
        <v>0.78607710895758742</v>
      </c>
      <c r="H69" s="31">
        <f>'4 - Income Statement'!F7*-1/'4 - Income Statement'!F4</f>
        <v>0.77315571778268855</v>
      </c>
      <c r="I69" s="31">
        <f>'4 - Income Statement'!G7*-1/'4 - Income Statement'!G4</f>
        <v>0.77429153543170981</v>
      </c>
      <c r="J69" s="31">
        <f>'4 - Income Statement'!H7*-1/'4 - Income Statement'!H4</f>
        <v>0.75266885813938456</v>
      </c>
    </row>
    <row r="70" spans="1:10" x14ac:dyDescent="0.2">
      <c r="A70" s="179"/>
      <c r="B70" s="179"/>
      <c r="C70" s="27"/>
    </row>
    <row r="71" spans="1:10" x14ac:dyDescent="0.2">
      <c r="A71" s="179"/>
      <c r="B71" s="179"/>
      <c r="C71" s="27"/>
      <c r="D71" s="1" t="s">
        <v>909</v>
      </c>
      <c r="E71" s="1" t="s">
        <v>587</v>
      </c>
      <c r="F71" s="10"/>
      <c r="G71" s="10"/>
      <c r="H71" s="10"/>
      <c r="I71" s="10"/>
      <c r="J71" s="10"/>
    </row>
    <row r="72" spans="1:10" x14ac:dyDescent="0.2">
      <c r="A72" s="179"/>
      <c r="B72" s="179"/>
      <c r="C72" s="27" t="s">
        <v>1262</v>
      </c>
      <c r="D72" t="s">
        <v>905</v>
      </c>
      <c r="E72" s="4" t="s">
        <v>588</v>
      </c>
      <c r="F72" s="18">
        <f>'4 - Income Statement'!D9*(1-'4 - Income Statement'!D29)</f>
        <v>21005769</v>
      </c>
      <c r="G72" s="18">
        <f>'4 - Income Statement'!E9*(1-'4 - Income Statement'!E29)</f>
        <v>41910778.649999999</v>
      </c>
      <c r="H72" s="18">
        <f>'4 - Income Statement'!F9*(1-'4 - Income Statement'!F29)</f>
        <v>42744453.471094094</v>
      </c>
      <c r="I72" s="18">
        <f>'4 - Income Statement'!G9*(1-'4 - Income Statement'!G29)</f>
        <v>72767916.451674134</v>
      </c>
      <c r="J72" s="18">
        <f>'4 - Income Statement'!H9*(1-'4 - Income Statement'!H29)</f>
        <v>118507172.92561442</v>
      </c>
    </row>
    <row r="73" spans="1:10" x14ac:dyDescent="0.2">
      <c r="A73" s="179"/>
      <c r="B73" s="179"/>
      <c r="C73" s="27" t="s">
        <v>1263</v>
      </c>
      <c r="D73" t="s">
        <v>1179</v>
      </c>
      <c r="E73" s="4" t="s">
        <v>589</v>
      </c>
      <c r="F73" s="18">
        <f>'3 - Balance Sheet'!D7+'3 - Balance Sheet'!D10</f>
        <v>178239878</v>
      </c>
      <c r="G73" s="18">
        <f>'3 - Balance Sheet'!E7+'3 - Balance Sheet'!E10</f>
        <v>309781160</v>
      </c>
      <c r="H73" s="18">
        <f>'3 - Balance Sheet'!F7+'3 - Balance Sheet'!F10</f>
        <v>401243574</v>
      </c>
      <c r="I73" s="18">
        <f>'3 - Balance Sheet'!G7+'3 - Balance Sheet'!G10</f>
        <v>673357098</v>
      </c>
      <c r="J73" s="18">
        <f>'3 - Balance Sheet'!H7+'3 - Balance Sheet'!H10</f>
        <v>843280063</v>
      </c>
    </row>
    <row r="74" spans="1:10" x14ac:dyDescent="0.2">
      <c r="A74" s="179"/>
      <c r="B74" s="179"/>
      <c r="C74" s="27" t="s">
        <v>1264</v>
      </c>
      <c r="D74" s="4" t="s">
        <v>910</v>
      </c>
      <c r="E74" s="4" t="s">
        <v>590</v>
      </c>
      <c r="F74" s="21">
        <f>F72/F73</f>
        <v>0.11785111859199096</v>
      </c>
      <c r="G74" s="21">
        <f>G72/G73</f>
        <v>0.13529156727930131</v>
      </c>
      <c r="H74" s="21">
        <f>H72/H73</f>
        <v>0.10652993902176261</v>
      </c>
      <c r="I74" s="21">
        <f>I72/I73</f>
        <v>0.10806734891160846</v>
      </c>
      <c r="J74" s="21">
        <f>J72/J73</f>
        <v>0.1405312162889524</v>
      </c>
    </row>
    <row r="75" spans="1:10" x14ac:dyDescent="0.2">
      <c r="A75" s="179"/>
      <c r="B75" s="179"/>
      <c r="C75" s="27"/>
    </row>
    <row r="76" spans="1:10" x14ac:dyDescent="0.2">
      <c r="A76" s="179"/>
      <c r="B76" s="179"/>
      <c r="C76" s="27" t="s">
        <v>1265</v>
      </c>
      <c r="D76" s="4" t="s">
        <v>1102</v>
      </c>
      <c r="E76" s="4" t="s">
        <v>591</v>
      </c>
      <c r="F76" s="31" t="e">
        <f>(('4 - Income Statement'!D16-'3 - Balance Sheet'!#REF!)/SUM([0]!common5))</f>
        <v>#REF!</v>
      </c>
      <c r="G76" s="31" t="e">
        <f>(('4 - Income Statement'!E16-'3 - Balance Sheet'!#REF!)/SUM([0]!common4))</f>
        <v>#REF!</v>
      </c>
      <c r="H76" s="31" t="e">
        <f>(('4 - Income Statement'!F16-'3 - Balance Sheet'!#REF!)/SUM([0]!common3))</f>
        <v>#REF!</v>
      </c>
      <c r="I76" s="31" t="e">
        <f>(('4 - Income Statement'!G16-'3 - Balance Sheet'!#REF!)/SUM([0]!common2))</f>
        <v>#REF!</v>
      </c>
      <c r="J76" s="31" t="e">
        <f>(('4 - Income Statement'!H16-'3 - Balance Sheet'!#REF!)/SUM([0]!common1))</f>
        <v>#REF!</v>
      </c>
    </row>
    <row r="77" spans="1:10" x14ac:dyDescent="0.2">
      <c r="C77" s="27"/>
      <c r="G77" t="s">
        <v>788</v>
      </c>
    </row>
    <row r="78" spans="1:10" x14ac:dyDescent="0.2">
      <c r="C78" s="27"/>
    </row>
    <row r="79" spans="1:10" x14ac:dyDescent="0.2">
      <c r="A79" s="179" t="s">
        <v>599</v>
      </c>
      <c r="B79" s="179" t="s">
        <v>1178</v>
      </c>
      <c r="C79" s="27" t="s">
        <v>1266</v>
      </c>
      <c r="D79" s="4" t="s">
        <v>1097</v>
      </c>
      <c r="E79" s="4" t="s">
        <v>592</v>
      </c>
      <c r="F79" s="24">
        <f>'3 - Balance Sheet'!D24/'3 - Balance Sheet'!D15</f>
        <v>0.55646913649705254</v>
      </c>
      <c r="G79" s="24">
        <f>'3 - Balance Sheet'!E24/'3 - Balance Sheet'!E15</f>
        <v>0.62149804720209578</v>
      </c>
      <c r="H79" s="24">
        <f>'3 - Balance Sheet'!F24/'3 - Balance Sheet'!F15</f>
        <v>0.71622951898040865</v>
      </c>
      <c r="I79" s="24">
        <f>'3 - Balance Sheet'!G24/'3 - Balance Sheet'!G15</f>
        <v>0.67498807297045826</v>
      </c>
      <c r="J79" s="24">
        <f>'3 - Balance Sheet'!H24/'3 - Balance Sheet'!H15</f>
        <v>0.61935017073918419</v>
      </c>
    </row>
    <row r="80" spans="1:10" x14ac:dyDescent="0.2">
      <c r="A80" s="179"/>
      <c r="B80" s="179"/>
      <c r="C80" s="27"/>
    </row>
    <row r="81" spans="1:10" x14ac:dyDescent="0.2">
      <c r="A81" s="179"/>
      <c r="B81" s="179"/>
      <c r="C81" s="27" t="s">
        <v>1267</v>
      </c>
      <c r="D81" s="4" t="s">
        <v>56</v>
      </c>
      <c r="E81" s="4" t="s">
        <v>593</v>
      </c>
      <c r="F81" s="24">
        <f>'3 - Balance Sheet'!D24/SUM([0]!common5)</f>
        <v>1.254634530057579</v>
      </c>
      <c r="G81" s="24">
        <f>'3 - Balance Sheet'!E24/SUM([0]!common4)</f>
        <v>1.6419942951626885</v>
      </c>
      <c r="H81" s="24">
        <f>'3 - Balance Sheet'!F24/SUM([0]!common3)</f>
        <v>2.5239747150830696</v>
      </c>
      <c r="I81" s="24">
        <f>'3 - Balance Sheet'!G24/SUM([0]!common2)</f>
        <v>2.0768101624439943</v>
      </c>
      <c r="J81" s="24">
        <f>'3 - Balance Sheet'!H24/SUM([0]!common1)</f>
        <v>1.6270864272864662</v>
      </c>
    </row>
    <row r="82" spans="1:10" x14ac:dyDescent="0.2">
      <c r="A82" s="179"/>
      <c r="B82" s="179"/>
      <c r="C82" s="27"/>
    </row>
    <row r="83" spans="1:10" x14ac:dyDescent="0.2">
      <c r="A83" s="179"/>
      <c r="B83" s="179"/>
      <c r="C83" s="27" t="s">
        <v>1268</v>
      </c>
      <c r="D83" s="4" t="s">
        <v>1098</v>
      </c>
      <c r="E83" s="4" t="s">
        <v>594</v>
      </c>
      <c r="F83" s="17">
        <f>'4 - Income Statement'!D22/('4 - Income Statement'!D10*-1)</f>
        <v>10.456541109801361</v>
      </c>
      <c r="G83" s="17">
        <f>'4 - Income Statement'!E22/('4 - Income Statement'!E10*-1)</f>
        <v>11.287907808998412</v>
      </c>
      <c r="H83" s="17">
        <f>'4 - Income Statement'!F22/('4 - Income Statement'!F10*-1)</f>
        <v>6.966011584709741</v>
      </c>
      <c r="I83" s="17">
        <f>'4 - Income Statement'!G22/('4 - Income Statement'!G10*-1)</f>
        <v>5.6939300730500628</v>
      </c>
      <c r="J83" s="17">
        <f>'4 - Income Statement'!H22/('4 - Income Statement'!H10*-1)</f>
        <v>8.2813872686395698</v>
      </c>
    </row>
    <row r="84" spans="1:10" x14ac:dyDescent="0.2">
      <c r="C84" s="27"/>
    </row>
    <row r="85" spans="1:10" x14ac:dyDescent="0.2">
      <c r="C85" s="27"/>
    </row>
    <row r="86" spans="1:10" x14ac:dyDescent="0.2">
      <c r="A86" s="179" t="s">
        <v>600</v>
      </c>
      <c r="B86" s="179" t="s">
        <v>1177</v>
      </c>
      <c r="C86" s="27" t="s">
        <v>1269</v>
      </c>
      <c r="D86" s="4" t="s">
        <v>1103</v>
      </c>
      <c r="E86" s="4" t="s">
        <v>595</v>
      </c>
      <c r="F86" s="30" t="e">
        <f>'3 - Balance Sheet'!#REF!/'4 - Income Statement'!D21</f>
        <v>#REF!</v>
      </c>
      <c r="G86" s="30" t="e">
        <f>'3 - Balance Sheet'!#REF!/'4 - Income Statement'!E21</f>
        <v>#REF!</v>
      </c>
      <c r="H86" s="30" t="e">
        <f>'3 - Balance Sheet'!#REF!/'4 - Income Statement'!F21</f>
        <v>#REF!</v>
      </c>
      <c r="I86" s="30" t="e">
        <f>'3 - Balance Sheet'!#REF!/'4 - Income Statement'!G21</f>
        <v>#REF!</v>
      </c>
      <c r="J86" s="30" t="e">
        <f>'3 - Balance Sheet'!#REF!/'4 - Income Statement'!H21</f>
        <v>#REF!</v>
      </c>
    </row>
    <row r="87" spans="1:10" x14ac:dyDescent="0.2">
      <c r="A87" s="179"/>
      <c r="B87" s="179"/>
      <c r="C87" s="27"/>
      <c r="D87" t="s">
        <v>788</v>
      </c>
    </row>
    <row r="88" spans="1:10" x14ac:dyDescent="0.2">
      <c r="A88" s="179"/>
      <c r="B88" s="179"/>
      <c r="C88" s="27" t="s">
        <v>1270</v>
      </c>
      <c r="D88" s="4" t="s">
        <v>1104</v>
      </c>
      <c r="E88" s="4" t="s">
        <v>445</v>
      </c>
      <c r="F88" s="30" t="e">
        <f>'3 - Balance Sheet'!#REF!/'3 - Balance Sheet'!#REF!</f>
        <v>#REF!</v>
      </c>
      <c r="G88" s="30" t="e">
        <f>'3 - Balance Sheet'!#REF!/'3 - Balance Sheet'!#REF!</f>
        <v>#REF!</v>
      </c>
      <c r="H88" s="30" t="e">
        <f>'3 - Balance Sheet'!#REF!/'3 - Balance Sheet'!#REF!</f>
        <v>#REF!</v>
      </c>
      <c r="I88" s="30" t="e">
        <f>'3 - Balance Sheet'!#REF!/'3 - Balance Sheet'!#REF!</f>
        <v>#REF!</v>
      </c>
      <c r="J88" s="30" t="e">
        <f>'3 - Balance Sheet'!#REF!/'3 - Balance Sheet'!#REF!</f>
        <v>#REF!</v>
      </c>
    </row>
    <row r="89" spans="1:10" x14ac:dyDescent="0.2">
      <c r="A89" s="179"/>
      <c r="B89" s="179"/>
      <c r="C89" s="27" t="s">
        <v>788</v>
      </c>
    </row>
    <row r="90" spans="1:10" x14ac:dyDescent="0.2">
      <c r="A90" s="179"/>
      <c r="B90" s="179"/>
      <c r="C90" s="27" t="s">
        <v>1271</v>
      </c>
      <c r="D90" s="4" t="s">
        <v>1112</v>
      </c>
      <c r="E90" s="4" t="s">
        <v>596</v>
      </c>
      <c r="F90" s="21" t="e">
        <f>'3 - Balance Sheet'!#REF!/'3 - Balance Sheet'!#REF!</f>
        <v>#REF!</v>
      </c>
      <c r="G90" s="21" t="e">
        <f>'3 - Balance Sheet'!#REF!/'3 - Balance Sheet'!#REF!</f>
        <v>#REF!</v>
      </c>
      <c r="H90" s="21" t="e">
        <f>'3 - Balance Sheet'!#REF!/'3 - Balance Sheet'!#REF!</f>
        <v>#REF!</v>
      </c>
      <c r="I90" s="21" t="e">
        <f>'3 - Balance Sheet'!#REF!/'3 - Balance Sheet'!#REF!</f>
        <v>#REF!</v>
      </c>
      <c r="J90" s="21" t="e">
        <f>'3 - Balance Sheet'!#REF!/'3 - Balance Sheet'!#REF!</f>
        <v>#REF!</v>
      </c>
    </row>
    <row r="91" spans="1:10" x14ac:dyDescent="0.2">
      <c r="C91" s="27"/>
    </row>
    <row r="92" spans="1:10" x14ac:dyDescent="0.2">
      <c r="C92" s="27"/>
    </row>
  </sheetData>
  <customSheetViews>
    <customSheetView guid="{250789E3-B657-4A6D-AD7D-7EE7A7132AFA}" showRuler="0" topLeftCell="B1">
      <selection activeCell="C4" sqref="C4"/>
      <pageMargins left="0.75" right="0.75" top="1" bottom="1" header="0.5" footer="0.5"/>
      <pageSetup scale="90" orientation="portrait" horizontalDpi="300" verticalDpi="300" r:id="rId1"/>
      <headerFooter alignWithMargins="0"/>
    </customSheetView>
  </customSheetViews>
  <mergeCells count="10">
    <mergeCell ref="A10:A40"/>
    <mergeCell ref="B79:B83"/>
    <mergeCell ref="B86:B90"/>
    <mergeCell ref="B10:B40"/>
    <mergeCell ref="B44:B60"/>
    <mergeCell ref="B63:B76"/>
    <mergeCell ref="A44:A60"/>
    <mergeCell ref="A63:A76"/>
    <mergeCell ref="A79:A83"/>
    <mergeCell ref="A86:A90"/>
  </mergeCells>
  <phoneticPr fontId="0" type="noConversion"/>
  <hyperlinks>
    <hyperlink ref="C1" location="'1 - Control Menu'!A1" display="Home" xr:uid="{00000000-0004-0000-0600-000000000000}"/>
    <hyperlink ref="C2" location="'8 - Benchmark Analysis'!A1" display="&gt;" xr:uid="{00000000-0004-0000-0600-000001000000}"/>
    <hyperlink ref="C3" location="'6 - Key Financials'!A1" display="&lt;" xr:uid="{00000000-0004-0000-0600-000002000000}"/>
    <hyperlink ref="B3" location="'5 - Cash Flow'!A1" display="&lt;&lt;" xr:uid="{00000000-0004-0000-0600-000003000000}"/>
    <hyperlink ref="B2" location="'9 - Horizontal Analysis'!A1" display="&gt;&gt;" xr:uid="{00000000-0004-0000-0600-000004000000}"/>
    <hyperlink ref="C4" location="'16 - Final Budgets'!A1" display="End" xr:uid="{00000000-0004-0000-0600-000005000000}"/>
  </hyperlinks>
  <pageMargins left="0.75" right="0.75" top="1" bottom="1" header="0.5" footer="0.5"/>
  <pageSetup scale="53" orientation="portrait" horizontalDpi="300" verticalDpi="300" r:id="rId2"/>
  <headerFooter alignWithMargins="0"/>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P91"/>
  <sheetViews>
    <sheetView zoomScaleNormal="100" workbookViewId="0">
      <selection activeCell="A59" sqref="A59"/>
    </sheetView>
  </sheetViews>
  <sheetFormatPr defaultRowHeight="12.75" x14ac:dyDescent="0.2"/>
  <cols>
    <col min="1" max="2" width="7.7109375" customWidth="1"/>
    <col min="3" max="3" width="41.28515625" customWidth="1"/>
    <col min="4" max="4" width="35.140625" customWidth="1"/>
    <col min="5" max="6" width="13.5703125" bestFit="1" customWidth="1"/>
    <col min="7" max="7" width="12.140625" customWidth="1"/>
    <col min="8" max="9" width="13.5703125" bestFit="1" customWidth="1"/>
  </cols>
  <sheetData>
    <row r="1" spans="1:16" ht="15.75" x14ac:dyDescent="0.25">
      <c r="A1" s="50" t="s">
        <v>1065</v>
      </c>
      <c r="B1" s="50" t="s">
        <v>36</v>
      </c>
      <c r="C1" s="115" t="s">
        <v>1244</v>
      </c>
      <c r="D1" s="115" t="s">
        <v>601</v>
      </c>
      <c r="N1" s="2" t="s">
        <v>788</v>
      </c>
      <c r="O1" s="2"/>
      <c r="P1" t="s">
        <v>788</v>
      </c>
    </row>
    <row r="2" spans="1:16" ht="15.75" x14ac:dyDescent="0.25">
      <c r="A2" s="50" t="s">
        <v>1344</v>
      </c>
      <c r="B2" s="50" t="s">
        <v>1345</v>
      </c>
      <c r="C2" s="115">
        <f>'2 - General Input'!C6</f>
        <v>0</v>
      </c>
      <c r="D2" s="115"/>
    </row>
    <row r="3" spans="1:16" x14ac:dyDescent="0.2">
      <c r="A3" s="50" t="s">
        <v>1346</v>
      </c>
      <c r="B3" s="50" t="s">
        <v>1347</v>
      </c>
    </row>
    <row r="4" spans="1:16" x14ac:dyDescent="0.2">
      <c r="A4" s="50" t="s">
        <v>1348</v>
      </c>
      <c r="B4" s="53" t="s">
        <v>1352</v>
      </c>
      <c r="C4" t="s">
        <v>1092</v>
      </c>
    </row>
    <row r="5" spans="1:16" x14ac:dyDescent="0.2">
      <c r="A5" s="50" t="s">
        <v>1349</v>
      </c>
      <c r="B5" s="50" t="s">
        <v>1350</v>
      </c>
      <c r="C5" t="s">
        <v>1093</v>
      </c>
    </row>
    <row r="6" spans="1:16" x14ac:dyDescent="0.2">
      <c r="A6" s="50" t="s">
        <v>1351</v>
      </c>
      <c r="B6" s="50" t="s">
        <v>30</v>
      </c>
      <c r="C6" t="s">
        <v>1243</v>
      </c>
    </row>
    <row r="7" spans="1:16" x14ac:dyDescent="0.2">
      <c r="A7" s="50" t="s">
        <v>32</v>
      </c>
      <c r="B7" s="50" t="s">
        <v>31</v>
      </c>
      <c r="C7" t="s">
        <v>1245</v>
      </c>
    </row>
    <row r="8" spans="1:16" x14ac:dyDescent="0.2">
      <c r="A8" s="50" t="s">
        <v>33</v>
      </c>
      <c r="B8" s="50" t="s">
        <v>34</v>
      </c>
      <c r="C8" t="s">
        <v>1246</v>
      </c>
    </row>
    <row r="9" spans="1:16" x14ac:dyDescent="0.2">
      <c r="A9" s="48"/>
      <c r="B9" s="48"/>
      <c r="C9" s="180" t="s">
        <v>602</v>
      </c>
      <c r="D9" s="180"/>
      <c r="E9" s="2" t="s">
        <v>788</v>
      </c>
    </row>
    <row r="10" spans="1:16" x14ac:dyDescent="0.2">
      <c r="A10" s="48"/>
      <c r="B10" s="48"/>
      <c r="D10" t="s">
        <v>603</v>
      </c>
    </row>
    <row r="11" spans="1:16" x14ac:dyDescent="0.2">
      <c r="A11" s="26"/>
      <c r="B11" s="26"/>
      <c r="D11" t="s">
        <v>604</v>
      </c>
      <c r="E11" s="3" t="str">
        <f>'2 - General Input'!$C$8</f>
        <v>Annual  سنوى</v>
      </c>
      <c r="F11" s="3" t="str">
        <f>'2 - General Input'!$C$8</f>
        <v>Annual  سنوى</v>
      </c>
      <c r="G11" s="3" t="str">
        <f>'2 - General Input'!$C$8</f>
        <v>Annual  سنوى</v>
      </c>
      <c r="H11" s="3" t="str">
        <f>'2 - General Input'!$C$8</f>
        <v>Annual  سنوى</v>
      </c>
      <c r="I11" s="3" t="str">
        <f>'2 - General Input'!$C$8</f>
        <v>Annual  سنوى</v>
      </c>
    </row>
    <row r="12" spans="1:16" x14ac:dyDescent="0.2">
      <c r="D12" t="s">
        <v>605</v>
      </c>
      <c r="E12" s="3" t="s">
        <v>801</v>
      </c>
      <c r="F12" s="3" t="s">
        <v>801</v>
      </c>
      <c r="G12" s="3" t="s">
        <v>801</v>
      </c>
      <c r="H12" s="3" t="s">
        <v>801</v>
      </c>
      <c r="I12" s="3" t="s">
        <v>801</v>
      </c>
    </row>
    <row r="13" spans="1:16" x14ac:dyDescent="0.2">
      <c r="B13" s="3" t="s">
        <v>792</v>
      </c>
      <c r="C13" s="3" t="s">
        <v>787</v>
      </c>
      <c r="D13" s="3" t="s">
        <v>541</v>
      </c>
      <c r="E13" s="3">
        <f>'2 - General Input'!C18</f>
        <v>2005</v>
      </c>
      <c r="F13" s="3">
        <f>'2 - General Input'!C17</f>
        <v>2006</v>
      </c>
      <c r="G13" s="3">
        <f>'2 - General Input'!C16</f>
        <v>2007</v>
      </c>
      <c r="H13" s="3">
        <f>'2 - General Input'!C15</f>
        <v>2008</v>
      </c>
      <c r="I13" s="3">
        <f>'2 - General Input'!C14</f>
        <v>2009</v>
      </c>
    </row>
    <row r="15" spans="1:16" x14ac:dyDescent="0.2">
      <c r="B15" s="27" t="s">
        <v>1168</v>
      </c>
      <c r="C15" t="s">
        <v>1272</v>
      </c>
      <c r="D15" t="s">
        <v>606</v>
      </c>
      <c r="E15" s="38">
        <v>1.2</v>
      </c>
      <c r="F15" s="38">
        <v>1.2</v>
      </c>
      <c r="G15" s="38">
        <v>1.2</v>
      </c>
      <c r="H15" s="38">
        <v>1.2</v>
      </c>
      <c r="I15" s="38">
        <v>1.2</v>
      </c>
    </row>
    <row r="16" spans="1:16" x14ac:dyDescent="0.2">
      <c r="B16" s="27" t="s">
        <v>1161</v>
      </c>
      <c r="C16" t="s">
        <v>1273</v>
      </c>
      <c r="D16" t="s">
        <v>607</v>
      </c>
      <c r="E16" s="40">
        <f>'7 - Ratio Analysis'!F10</f>
        <v>0.72347200274397705</v>
      </c>
      <c r="F16" s="40">
        <f>'7 - Ratio Analysis'!G10</f>
        <v>0.45782620834735188</v>
      </c>
      <c r="G16" s="40">
        <f>'7 - Ratio Analysis'!H10</f>
        <v>0.46330569464122423</v>
      </c>
      <c r="H16" s="40">
        <f>'7 - Ratio Analysis'!I10</f>
        <v>0.49956881124472735</v>
      </c>
      <c r="I16" s="40">
        <f>'7 - Ratio Analysis'!J10</f>
        <v>0.7007111775548478</v>
      </c>
    </row>
    <row r="17" spans="2:9" x14ac:dyDescent="0.2">
      <c r="B17" s="27"/>
    </row>
    <row r="18" spans="2:9" x14ac:dyDescent="0.2">
      <c r="B18" s="27" t="s">
        <v>1317</v>
      </c>
      <c r="C18" t="s">
        <v>1294</v>
      </c>
      <c r="D18" t="s">
        <v>608</v>
      </c>
      <c r="E18" s="42">
        <v>1.1200000000000001</v>
      </c>
      <c r="F18" s="42">
        <v>1.1000000000000001</v>
      </c>
      <c r="G18" s="42">
        <v>1.05</v>
      </c>
      <c r="H18" s="42">
        <v>1.08</v>
      </c>
      <c r="I18" s="42">
        <v>1.07</v>
      </c>
    </row>
    <row r="19" spans="2:9" x14ac:dyDescent="0.2">
      <c r="B19" s="27" t="s">
        <v>1162</v>
      </c>
      <c r="C19" t="s">
        <v>1295</v>
      </c>
      <c r="D19" t="s">
        <v>609</v>
      </c>
      <c r="E19" s="36">
        <f>'7 - Ratio Analysis'!F12</f>
        <v>1.0080923351634621</v>
      </c>
      <c r="F19" s="36">
        <f>'7 - Ratio Analysis'!G12</f>
        <v>0.71149539820570562</v>
      </c>
      <c r="G19" s="36">
        <f>'7 - Ratio Analysis'!H12</f>
        <v>0.71036868102030259</v>
      </c>
      <c r="H19" s="36">
        <f>'7 - Ratio Analysis'!I12</f>
        <v>0.76439744343871741</v>
      </c>
      <c r="I19" s="36">
        <f>'7 - Ratio Analysis'!J12</f>
        <v>1.2221499553809021</v>
      </c>
    </row>
    <row r="20" spans="2:9" x14ac:dyDescent="0.2">
      <c r="B20" s="27"/>
    </row>
    <row r="21" spans="2:9" x14ac:dyDescent="0.2">
      <c r="B21" s="27" t="s">
        <v>1318</v>
      </c>
      <c r="C21" t="s">
        <v>1298</v>
      </c>
      <c r="D21" t="s">
        <v>610</v>
      </c>
      <c r="E21" s="42">
        <v>8.5</v>
      </c>
      <c r="F21" s="42">
        <v>8.6999999999999993</v>
      </c>
      <c r="G21" s="42">
        <v>8.4</v>
      </c>
      <c r="H21" s="42">
        <v>8.1999999999999993</v>
      </c>
      <c r="I21" s="42">
        <v>8.3000000000000007</v>
      </c>
    </row>
    <row r="22" spans="2:9" x14ac:dyDescent="0.2">
      <c r="B22" s="27" t="s">
        <v>1235</v>
      </c>
      <c r="C22" t="s">
        <v>1299</v>
      </c>
      <c r="D22" t="s">
        <v>611</v>
      </c>
      <c r="E22" s="36">
        <f>'7 - Ratio Analysis'!F47</f>
        <v>6.2065052865149219</v>
      </c>
      <c r="F22" s="36">
        <f>'7 - Ratio Analysis'!G47</f>
        <v>6.4396771096592857</v>
      </c>
      <c r="G22" s="36">
        <f>'7 - Ratio Analysis'!H47</f>
        <v>3.7752764381775314</v>
      </c>
      <c r="H22" s="36">
        <f>'7 - Ratio Analysis'!I47</f>
        <v>3.531914651541292</v>
      </c>
      <c r="I22" s="36">
        <f>'7 - Ratio Analysis'!J47</f>
        <v>3.4468026606853126</v>
      </c>
    </row>
    <row r="23" spans="2:9" x14ac:dyDescent="0.2">
      <c r="B23" s="27"/>
    </row>
    <row r="24" spans="2:9" x14ac:dyDescent="0.2">
      <c r="B24" s="27" t="s">
        <v>1319</v>
      </c>
      <c r="C24" t="s">
        <v>1331</v>
      </c>
      <c r="D24" t="s">
        <v>612</v>
      </c>
      <c r="E24" s="43">
        <v>41</v>
      </c>
      <c r="F24" s="43">
        <v>39</v>
      </c>
      <c r="G24" s="43">
        <v>40</v>
      </c>
      <c r="H24" s="43">
        <v>41</v>
      </c>
      <c r="I24" s="43">
        <v>41</v>
      </c>
    </row>
    <row r="25" spans="2:9" x14ac:dyDescent="0.2">
      <c r="B25" s="27" t="s">
        <v>1236</v>
      </c>
      <c r="C25" t="s">
        <v>1332</v>
      </c>
      <c r="D25" t="s">
        <v>613</v>
      </c>
      <c r="E25" s="35">
        <f>'7 - Ratio Analysis'!F49</f>
        <v>58.809262725200199</v>
      </c>
      <c r="F25" s="35">
        <f>'7 - Ratio Analysis'!G49</f>
        <v>56.679860462648513</v>
      </c>
      <c r="G25" s="35">
        <f>'7 - Ratio Analysis'!H49</f>
        <v>96.681661853667933</v>
      </c>
      <c r="H25" s="35">
        <f>'7 - Ratio Analysis'!I49</f>
        <v>103.34338057708095</v>
      </c>
      <c r="I25" s="35">
        <f>'7 - Ratio Analysis'!J49</f>
        <v>105.89524145470767</v>
      </c>
    </row>
    <row r="26" spans="2:9" x14ac:dyDescent="0.2">
      <c r="B26" s="27"/>
    </row>
    <row r="27" spans="2:9" x14ac:dyDescent="0.2">
      <c r="B27" s="27" t="s">
        <v>1320</v>
      </c>
      <c r="C27" t="s">
        <v>1300</v>
      </c>
      <c r="D27" t="s">
        <v>614</v>
      </c>
      <c r="E27" s="42">
        <v>4.4000000000000004</v>
      </c>
      <c r="F27" s="42">
        <v>4.45</v>
      </c>
      <c r="G27" s="42">
        <v>4.2</v>
      </c>
      <c r="H27" s="42">
        <v>4.3</v>
      </c>
      <c r="I27" s="42">
        <v>4.38</v>
      </c>
    </row>
    <row r="28" spans="2:9" x14ac:dyDescent="0.2">
      <c r="B28" s="27" t="s">
        <v>1255</v>
      </c>
      <c r="C28" t="s">
        <v>1301</v>
      </c>
      <c r="D28" t="s">
        <v>615</v>
      </c>
      <c r="E28" s="36">
        <f>'7 - Ratio Analysis'!F54</f>
        <v>79.739614522588255</v>
      </c>
      <c r="F28" s="36">
        <f>'7 - Ratio Analysis'!G54</f>
        <v>42.418314319238512</v>
      </c>
      <c r="G28" s="36">
        <f>'7 - Ratio Analysis'!H54</f>
        <v>27.240927861609123</v>
      </c>
      <c r="H28" s="36">
        <f>'7 - Ratio Analysis'!I54</f>
        <v>17.850816712436075</v>
      </c>
      <c r="I28" s="36">
        <f>'7 - Ratio Analysis'!J54</f>
        <v>8.2821931487097977</v>
      </c>
    </row>
    <row r="29" spans="2:9" x14ac:dyDescent="0.2">
      <c r="B29" s="27"/>
    </row>
    <row r="30" spans="2:9" x14ac:dyDescent="0.2">
      <c r="B30" s="27" t="s">
        <v>1321</v>
      </c>
      <c r="C30" t="s">
        <v>1302</v>
      </c>
      <c r="D30" t="s">
        <v>616</v>
      </c>
      <c r="E30" s="6">
        <v>45</v>
      </c>
      <c r="F30" s="6">
        <v>45</v>
      </c>
      <c r="G30" s="6">
        <v>45</v>
      </c>
      <c r="H30" s="6">
        <v>45</v>
      </c>
      <c r="I30" s="6">
        <v>45</v>
      </c>
    </row>
    <row r="31" spans="2:9" x14ac:dyDescent="0.2">
      <c r="B31" s="27" t="s">
        <v>1253</v>
      </c>
      <c r="C31" t="s">
        <v>1303</v>
      </c>
      <c r="D31" t="s">
        <v>617</v>
      </c>
      <c r="E31" s="41">
        <f>'7 - Ratio Analysis'!F56</f>
        <v>4.5773986015019492</v>
      </c>
      <c r="F31" s="41">
        <f>'7 - Ratio Analysis'!G56</f>
        <v>8.6047738072056514</v>
      </c>
      <c r="G31" s="41">
        <f>'7 - Ratio Analysis'!H56</f>
        <v>13.398956226979246</v>
      </c>
      <c r="H31" s="41">
        <f>'7 - Ratio Analysis'!I56</f>
        <v>20.447243724468727</v>
      </c>
      <c r="I31" s="41">
        <f>'7 - Ratio Analysis'!J56</f>
        <v>44.070452529455899</v>
      </c>
    </row>
    <row r="32" spans="2:9" x14ac:dyDescent="0.2">
      <c r="B32" s="27"/>
    </row>
    <row r="33" spans="2:9" x14ac:dyDescent="0.2">
      <c r="B33" s="27" t="s">
        <v>1322</v>
      </c>
      <c r="C33" t="s">
        <v>1304</v>
      </c>
      <c r="D33" t="s">
        <v>618</v>
      </c>
      <c r="E33" s="42">
        <v>1.6</v>
      </c>
      <c r="F33" s="42">
        <v>1.55</v>
      </c>
      <c r="G33" s="42">
        <v>1.62</v>
      </c>
      <c r="H33" s="42">
        <v>1.68</v>
      </c>
      <c r="I33" s="42">
        <v>1.69</v>
      </c>
    </row>
    <row r="34" spans="2:9" x14ac:dyDescent="0.2">
      <c r="B34" s="27" t="s">
        <v>1256</v>
      </c>
      <c r="C34" t="s">
        <v>1305</v>
      </c>
      <c r="D34" t="s">
        <v>619</v>
      </c>
      <c r="E34" s="36">
        <f>'7 - Ratio Analysis'!F58</f>
        <v>2.2857852775235852</v>
      </c>
      <c r="F34" s="36">
        <f>'7 - Ratio Analysis'!G58</f>
        <v>1.0257325752153552</v>
      </c>
      <c r="G34" s="36">
        <f>'7 - Ratio Analysis'!H58</f>
        <v>0.88407989556986655</v>
      </c>
      <c r="H34" s="36">
        <f>'7 - Ratio Analysis'!I58</f>
        <v>0.81599766844664645</v>
      </c>
      <c r="I34" s="36">
        <f>'7 - Ratio Analysis'!J58</f>
        <v>0.92363992364420455</v>
      </c>
    </row>
    <row r="35" spans="2:9" x14ac:dyDescent="0.2">
      <c r="B35" s="27"/>
    </row>
    <row r="36" spans="2:9" x14ac:dyDescent="0.2">
      <c r="B36" s="27" t="s">
        <v>1323</v>
      </c>
      <c r="C36" t="s">
        <v>1306</v>
      </c>
      <c r="D36" t="s">
        <v>620</v>
      </c>
      <c r="E36" s="37">
        <v>0.55000000000000004</v>
      </c>
      <c r="F36" s="37">
        <v>0.52</v>
      </c>
      <c r="G36" s="37">
        <v>0.6</v>
      </c>
      <c r="H36" s="37">
        <v>0.62</v>
      </c>
      <c r="I36" s="37">
        <v>0.63</v>
      </c>
    </row>
    <row r="37" spans="2:9" x14ac:dyDescent="0.2">
      <c r="B37" s="27" t="s">
        <v>1258</v>
      </c>
      <c r="C37" t="s">
        <v>1307</v>
      </c>
      <c r="D37" t="s">
        <v>621</v>
      </c>
      <c r="E37" s="23" t="e">
        <f>'7 - Ratio Analysis'!F63</f>
        <v>#REF!</v>
      </c>
      <c r="F37" s="23" t="e">
        <f>'7 - Ratio Analysis'!G63</f>
        <v>#REF!</v>
      </c>
      <c r="G37" s="23" t="e">
        <f>'7 - Ratio Analysis'!H63</f>
        <v>#REF!</v>
      </c>
      <c r="H37" s="23" t="e">
        <f>'7 - Ratio Analysis'!I63</f>
        <v>#REF!</v>
      </c>
      <c r="I37" s="23" t="e">
        <f>'7 - Ratio Analysis'!J63</f>
        <v>#REF!</v>
      </c>
    </row>
    <row r="38" spans="2:9" x14ac:dyDescent="0.2">
      <c r="B38" s="27"/>
    </row>
    <row r="39" spans="2:9" x14ac:dyDescent="0.2">
      <c r="B39" s="27" t="s">
        <v>1324</v>
      </c>
      <c r="C39" t="s">
        <v>1308</v>
      </c>
      <c r="D39" t="s">
        <v>622</v>
      </c>
      <c r="E39" s="37">
        <v>0.2</v>
      </c>
      <c r="F39" s="37">
        <v>0.23</v>
      </c>
      <c r="G39" s="37">
        <v>0.22</v>
      </c>
      <c r="H39" s="37">
        <v>0.19</v>
      </c>
      <c r="I39" s="37">
        <v>0.2</v>
      </c>
    </row>
    <row r="40" spans="2:9" x14ac:dyDescent="0.2">
      <c r="B40" s="27" t="s">
        <v>1260</v>
      </c>
      <c r="C40" t="s">
        <v>1309</v>
      </c>
      <c r="D40" t="s">
        <v>623</v>
      </c>
      <c r="E40" s="23">
        <f>'7 - Ratio Analysis'!F67</f>
        <v>4.5462850412110345E-2</v>
      </c>
      <c r="F40" s="23">
        <f>'7 - Ratio Analysis'!G67</f>
        <v>0.11986047318530689</v>
      </c>
      <c r="G40" s="23">
        <f>'7 - Ratio Analysis'!H67</f>
        <v>0.1028278446644366</v>
      </c>
      <c r="H40" s="23">
        <f>'7 - Ratio Analysis'!I67</f>
        <v>0.10745149574265495</v>
      </c>
      <c r="I40" s="23">
        <f>'7 - Ratio Analysis'!J67</f>
        <v>0.13354567719121832</v>
      </c>
    </row>
    <row r="41" spans="2:9" x14ac:dyDescent="0.2">
      <c r="B41" s="27"/>
    </row>
    <row r="42" spans="2:9" x14ac:dyDescent="0.2">
      <c r="B42" s="27" t="s">
        <v>1325</v>
      </c>
      <c r="C42" t="s">
        <v>1310</v>
      </c>
      <c r="D42" t="s">
        <v>624</v>
      </c>
      <c r="E42" s="37">
        <v>0.38</v>
      </c>
      <c r="F42" s="37">
        <v>0.36</v>
      </c>
      <c r="G42" s="37">
        <v>0.37</v>
      </c>
      <c r="H42" s="37">
        <v>0.34</v>
      </c>
      <c r="I42" s="37">
        <v>0.36</v>
      </c>
    </row>
    <row r="43" spans="2:9" x14ac:dyDescent="0.2">
      <c r="B43" s="27" t="s">
        <v>1326</v>
      </c>
      <c r="C43" t="s">
        <v>1297</v>
      </c>
      <c r="D43" t="s">
        <v>625</v>
      </c>
      <c r="E43" s="37">
        <v>0.3</v>
      </c>
      <c r="F43" s="23">
        <f>('4 - Income Statement'!E20)/(AVERAGE('3 - Balance Sheet'!D15:E15))</f>
        <v>0.15654196858619854</v>
      </c>
      <c r="G43" s="23">
        <f>('4 - Income Statement'!F20)/(AVERAGE('3 - Balance Sheet'!E15:F15))</f>
        <v>0.10297337701335155</v>
      </c>
      <c r="H43" s="23">
        <f>('4 - Income Statement'!G20)/(AVERAGE('3 - Balance Sheet'!F15:G15))</f>
        <v>0.11164706586001465</v>
      </c>
      <c r="I43" s="23">
        <f>('4 - Income Statement'!H20)/(AVERAGE('3 - Balance Sheet'!G15:H15))</f>
        <v>0.13740545554257325</v>
      </c>
    </row>
    <row r="44" spans="2:9" x14ac:dyDescent="0.2">
      <c r="B44" s="27"/>
    </row>
    <row r="45" spans="2:9" x14ac:dyDescent="0.2">
      <c r="B45" s="27" t="s">
        <v>1327</v>
      </c>
      <c r="C45" t="s">
        <v>1311</v>
      </c>
      <c r="D45" t="s">
        <v>626</v>
      </c>
      <c r="E45" s="37">
        <v>0.26</v>
      </c>
      <c r="F45" s="37">
        <v>0.22</v>
      </c>
      <c r="G45" s="37">
        <v>0.24</v>
      </c>
      <c r="H45" s="37">
        <v>0.19</v>
      </c>
      <c r="I45" s="37">
        <v>0.2</v>
      </c>
    </row>
    <row r="46" spans="2:9" x14ac:dyDescent="0.2">
      <c r="B46" s="27" t="s">
        <v>1328</v>
      </c>
      <c r="C46" t="s">
        <v>1312</v>
      </c>
      <c r="D46" t="s">
        <v>627</v>
      </c>
      <c r="E46" s="23" t="e">
        <f>'7 - Ratio Analysis'!F76</f>
        <v>#REF!</v>
      </c>
      <c r="F46" s="23" t="e">
        <f>'7 - Ratio Analysis'!G76</f>
        <v>#REF!</v>
      </c>
      <c r="G46" s="23" t="e">
        <f>'7 - Ratio Analysis'!H76</f>
        <v>#REF!</v>
      </c>
      <c r="H46" s="23" t="e">
        <f>'7 - Ratio Analysis'!I76</f>
        <v>#REF!</v>
      </c>
      <c r="I46" s="23" t="e">
        <f>'7 - Ratio Analysis'!J76</f>
        <v>#REF!</v>
      </c>
    </row>
    <row r="47" spans="2:9" x14ac:dyDescent="0.2">
      <c r="B47" s="27"/>
    </row>
    <row r="48" spans="2:9" x14ac:dyDescent="0.2">
      <c r="B48" s="27" t="s">
        <v>1329</v>
      </c>
      <c r="C48" t="s">
        <v>1313</v>
      </c>
      <c r="D48" t="s">
        <v>628</v>
      </c>
      <c r="E48" s="46">
        <v>0.35</v>
      </c>
      <c r="F48" s="46">
        <v>0.38</v>
      </c>
      <c r="G48" s="46">
        <v>0.31</v>
      </c>
      <c r="H48" s="46">
        <v>0.34</v>
      </c>
      <c r="I48" s="46">
        <v>0.32</v>
      </c>
    </row>
    <row r="49" spans="2:9" x14ac:dyDescent="0.2">
      <c r="B49" s="27" t="s">
        <v>1267</v>
      </c>
      <c r="C49" t="s">
        <v>1314</v>
      </c>
      <c r="D49" t="s">
        <v>629</v>
      </c>
      <c r="E49" s="45">
        <f>'7 - Ratio Analysis'!F81</f>
        <v>1.254634530057579</v>
      </c>
      <c r="F49" s="45">
        <f>'7 - Ratio Analysis'!G81</f>
        <v>1.6419942951626885</v>
      </c>
      <c r="G49" s="45">
        <f>'7 - Ratio Analysis'!H81</f>
        <v>2.5239747150830696</v>
      </c>
      <c r="H49" s="45">
        <f>'7 - Ratio Analysis'!I81</f>
        <v>2.0768101624439943</v>
      </c>
      <c r="I49" s="45">
        <f>'7 - Ratio Analysis'!J81</f>
        <v>1.6270864272864662</v>
      </c>
    </row>
    <row r="50" spans="2:9" x14ac:dyDescent="0.2">
      <c r="B50" s="27"/>
      <c r="E50" s="40"/>
      <c r="F50" s="40"/>
      <c r="G50" s="40"/>
      <c r="H50" s="40"/>
      <c r="I50" s="40"/>
    </row>
    <row r="51" spans="2:9" x14ac:dyDescent="0.2">
      <c r="B51" s="27" t="s">
        <v>1330</v>
      </c>
      <c r="C51" t="s">
        <v>1315</v>
      </c>
      <c r="D51" t="s">
        <v>630</v>
      </c>
      <c r="E51" s="47">
        <v>40</v>
      </c>
      <c r="F51" s="47">
        <v>38</v>
      </c>
      <c r="G51" s="47">
        <v>36</v>
      </c>
      <c r="H51" s="47">
        <v>39</v>
      </c>
      <c r="I51" s="47">
        <v>43</v>
      </c>
    </row>
    <row r="52" spans="2:9" x14ac:dyDescent="0.2">
      <c r="B52" s="27" t="s">
        <v>1268</v>
      </c>
      <c r="C52" t="s">
        <v>1316</v>
      </c>
      <c r="D52" t="s">
        <v>631</v>
      </c>
      <c r="E52" s="41">
        <f>'7 - Ratio Analysis'!F83</f>
        <v>10.456541109801361</v>
      </c>
      <c r="F52" s="41">
        <f>'7 - Ratio Analysis'!G83</f>
        <v>11.287907808998412</v>
      </c>
      <c r="G52" s="41">
        <f>'7 - Ratio Analysis'!H83</f>
        <v>6.966011584709741</v>
      </c>
      <c r="H52" s="41">
        <f>'7 - Ratio Analysis'!I83</f>
        <v>5.6939300730500628</v>
      </c>
      <c r="I52" s="41">
        <f>'7 - Ratio Analysis'!J83</f>
        <v>8.2813872686395698</v>
      </c>
    </row>
    <row r="53" spans="2:9" x14ac:dyDescent="0.2">
      <c r="B53" s="27"/>
      <c r="E53" s="41"/>
      <c r="F53" s="41"/>
      <c r="G53" s="41"/>
      <c r="H53" s="41"/>
      <c r="I53" s="41"/>
    </row>
    <row r="54" spans="2:9" x14ac:dyDescent="0.2">
      <c r="B54" s="27"/>
      <c r="C54" s="122" t="s">
        <v>156</v>
      </c>
      <c r="D54" s="122"/>
      <c r="E54" s="41"/>
      <c r="F54" s="41"/>
      <c r="G54" s="41"/>
      <c r="H54" s="41"/>
      <c r="I54" s="41"/>
    </row>
    <row r="55" spans="2:9" x14ac:dyDescent="0.2">
      <c r="B55" s="27" t="s">
        <v>1079</v>
      </c>
      <c r="C55" t="s">
        <v>157</v>
      </c>
      <c r="E55" s="18">
        <f>'4 - Income Statement'!D14</f>
        <v>0</v>
      </c>
      <c r="F55" s="18">
        <f>'4 - Income Statement'!E14</f>
        <v>-979433</v>
      </c>
      <c r="G55" s="18">
        <f>'4 - Income Statement'!F14</f>
        <v>-151689</v>
      </c>
      <c r="H55" s="18">
        <f>'4 - Income Statement'!G14</f>
        <v>-948214</v>
      </c>
      <c r="I55" s="18">
        <f>'4 - Income Statement'!H14</f>
        <v>-2139476</v>
      </c>
    </row>
    <row r="56" spans="2:9" x14ac:dyDescent="0.2">
      <c r="B56" s="27" t="s">
        <v>161</v>
      </c>
      <c r="C56" t="s">
        <v>165</v>
      </c>
      <c r="D56" t="s">
        <v>632</v>
      </c>
      <c r="E56" s="36">
        <f>'3 - Balance Sheet'!D10/('3 - Balance Sheet'!D31+E55)</f>
        <v>1.0119367699557904</v>
      </c>
      <c r="F56" s="36">
        <f>'3 - Balance Sheet'!E10/('3 - Balance Sheet'!E31+F55)</f>
        <v>1.6876780293085412</v>
      </c>
      <c r="G56" s="36">
        <f>'3 - Balance Sheet'!F10/('3 - Balance Sheet'!F31+G55)</f>
        <v>2.0680612902401125</v>
      </c>
      <c r="H56" s="36">
        <f>'3 - Balance Sheet'!G10/('3 - Balance Sheet'!G31+H55)</f>
        <v>1.6487512757750573</v>
      </c>
      <c r="I56" s="36">
        <f>'3 - Balance Sheet'!H10/('3 - Balance Sheet'!H31+I55)</f>
        <v>1.2698936798017766</v>
      </c>
    </row>
    <row r="57" spans="2:9" x14ac:dyDescent="0.2">
      <c r="B57" s="27" t="s">
        <v>162</v>
      </c>
      <c r="C57" t="s">
        <v>158</v>
      </c>
      <c r="D57" t="s">
        <v>633</v>
      </c>
      <c r="E57" s="38">
        <v>1.26</v>
      </c>
      <c r="F57" s="38">
        <v>1.28</v>
      </c>
      <c r="G57" s="38">
        <v>1.31</v>
      </c>
      <c r="H57" s="38">
        <v>1.3</v>
      </c>
      <c r="I57" s="38">
        <v>1.27</v>
      </c>
    </row>
    <row r="58" spans="2:9" x14ac:dyDescent="0.2">
      <c r="B58" s="27"/>
      <c r="E58" s="41"/>
      <c r="F58" s="41"/>
      <c r="G58" s="41"/>
      <c r="H58" s="41"/>
      <c r="I58" s="41"/>
    </row>
    <row r="59" spans="2:9" x14ac:dyDescent="0.2">
      <c r="B59" s="27" t="s">
        <v>163</v>
      </c>
      <c r="C59" t="s">
        <v>159</v>
      </c>
      <c r="D59" t="s">
        <v>634</v>
      </c>
      <c r="E59" s="40">
        <f>'4 - Income Statement'!D2/('3 - Balance Sheet'!D31+E55)</f>
        <v>5.1536104150019213</v>
      </c>
      <c r="F59" s="40">
        <f>'4 - Income Statement'!E2/('3 - Balance Sheet'!E31+F55)</f>
        <v>2.7328072305069484</v>
      </c>
      <c r="G59" s="40">
        <f>'4 - Income Statement'!F2/('3 - Balance Sheet'!F31+G55)</f>
        <v>3.1196312603656233</v>
      </c>
      <c r="H59" s="40">
        <f>'4 - Income Statement'!G2/('3 - Balance Sheet'!G31+H55)</f>
        <v>2.5215953103519908</v>
      </c>
      <c r="I59" s="40">
        <f>'4 - Income Statement'!H2/('3 - Balance Sheet'!H31+I55)</f>
        <v>2.4427632915803441</v>
      </c>
    </row>
    <row r="60" spans="2:9" x14ac:dyDescent="0.2">
      <c r="B60" s="27" t="s">
        <v>164</v>
      </c>
      <c r="C60" t="s">
        <v>160</v>
      </c>
      <c r="D60" t="s">
        <v>635</v>
      </c>
      <c r="E60" s="38">
        <v>1.22</v>
      </c>
      <c r="F60" s="38">
        <v>1.2</v>
      </c>
      <c r="G60" s="38">
        <v>1.19</v>
      </c>
      <c r="H60" s="38">
        <v>1.22</v>
      </c>
      <c r="I60" s="38">
        <v>1.2</v>
      </c>
    </row>
    <row r="61" spans="2:9" x14ac:dyDescent="0.2">
      <c r="B61" s="27"/>
    </row>
    <row r="62" spans="2:9" x14ac:dyDescent="0.2">
      <c r="B62" s="27"/>
      <c r="C62" t="s">
        <v>505</v>
      </c>
    </row>
    <row r="63" spans="2:9" x14ac:dyDescent="0.2">
      <c r="B63" s="27"/>
    </row>
    <row r="64" spans="2:9" x14ac:dyDescent="0.2">
      <c r="B64" s="27"/>
      <c r="C64" s="2" t="s">
        <v>1296</v>
      </c>
      <c r="D64" s="2"/>
    </row>
    <row r="65" spans="2:2" x14ac:dyDescent="0.2">
      <c r="B65" s="27"/>
    </row>
    <row r="66" spans="2:2" x14ac:dyDescent="0.2">
      <c r="B66" s="27"/>
    </row>
    <row r="67" spans="2:2" x14ac:dyDescent="0.2">
      <c r="B67" s="27"/>
    </row>
    <row r="68" spans="2:2" x14ac:dyDescent="0.2">
      <c r="B68" s="27"/>
    </row>
    <row r="69" spans="2:2" x14ac:dyDescent="0.2">
      <c r="B69" s="27"/>
    </row>
    <row r="70" spans="2:2" x14ac:dyDescent="0.2">
      <c r="B70" s="27"/>
    </row>
    <row r="71" spans="2:2" x14ac:dyDescent="0.2">
      <c r="B71" s="27"/>
    </row>
    <row r="72" spans="2:2" x14ac:dyDescent="0.2">
      <c r="B72" s="27"/>
    </row>
    <row r="73" spans="2:2" x14ac:dyDescent="0.2">
      <c r="B73" s="27"/>
    </row>
    <row r="74" spans="2:2" x14ac:dyDescent="0.2">
      <c r="B74" s="27"/>
    </row>
    <row r="75" spans="2:2" x14ac:dyDescent="0.2">
      <c r="B75" s="27"/>
    </row>
    <row r="76" spans="2:2" x14ac:dyDescent="0.2">
      <c r="B76" s="27"/>
    </row>
    <row r="77" spans="2:2" x14ac:dyDescent="0.2">
      <c r="B77" s="27"/>
    </row>
    <row r="78" spans="2:2" x14ac:dyDescent="0.2">
      <c r="B78" s="27"/>
    </row>
    <row r="79" spans="2:2" x14ac:dyDescent="0.2">
      <c r="B79" s="27"/>
    </row>
    <row r="80" spans="2:2" x14ac:dyDescent="0.2">
      <c r="B80" s="27"/>
    </row>
    <row r="81" spans="2:2" x14ac:dyDescent="0.2">
      <c r="B81" s="27"/>
    </row>
    <row r="82" spans="2:2" x14ac:dyDescent="0.2">
      <c r="B82" s="27"/>
    </row>
    <row r="83" spans="2:2" x14ac:dyDescent="0.2">
      <c r="B83" s="27"/>
    </row>
    <row r="84" spans="2:2" x14ac:dyDescent="0.2">
      <c r="B84" s="27"/>
    </row>
    <row r="85" spans="2:2" x14ac:dyDescent="0.2">
      <c r="B85" s="27"/>
    </row>
    <row r="86" spans="2:2" x14ac:dyDescent="0.2">
      <c r="B86" s="27"/>
    </row>
    <row r="87" spans="2:2" x14ac:dyDescent="0.2">
      <c r="B87" s="27"/>
    </row>
    <row r="88" spans="2:2" x14ac:dyDescent="0.2">
      <c r="B88" s="27"/>
    </row>
    <row r="89" spans="2:2" x14ac:dyDescent="0.2">
      <c r="B89" s="27"/>
    </row>
    <row r="90" spans="2:2" x14ac:dyDescent="0.2">
      <c r="B90" s="27"/>
    </row>
    <row r="91" spans="2:2" x14ac:dyDescent="0.2">
      <c r="B91" s="27"/>
    </row>
  </sheetData>
  <customSheetViews>
    <customSheetView guid="{250789E3-B657-4A6D-AD7D-7EE7A7132AFA}" showRuler="0" topLeftCell="A49">
      <selection activeCell="A56" sqref="A56"/>
      <pageMargins left="0.75" right="0.75" top="1" bottom="1" header="0.5" footer="0.5"/>
      <headerFooter alignWithMargins="0"/>
    </customSheetView>
  </customSheetViews>
  <mergeCells count="1">
    <mergeCell ref="C9:D9"/>
  </mergeCells>
  <phoneticPr fontId="0" type="noConversion"/>
  <hyperlinks>
    <hyperlink ref="A2" location="'3 - Balance Sheet'!A1" display="Wksh3" xr:uid="{00000000-0004-0000-0700-000000000000}"/>
    <hyperlink ref="B2" location="'4 - Income Statement'!A1" display="Wksh4" xr:uid="{00000000-0004-0000-0700-000001000000}"/>
    <hyperlink ref="B3" location="'6 - Key Financials'!A1" display="Wksh6" xr:uid="{00000000-0004-0000-0700-000002000000}"/>
    <hyperlink ref="A3" location="'5 - Cash Flow'!A1" display="Wksh5" xr:uid="{00000000-0004-0000-0700-000003000000}"/>
    <hyperlink ref="A4" location="'7 - Ratio Analysis'!A1" display="Wksh7" xr:uid="{00000000-0004-0000-0700-000004000000}"/>
    <hyperlink ref="A5" location="'9 - Horizontal Analysis'!A1" display="Wksh9" xr:uid="{00000000-0004-0000-0700-000005000000}"/>
    <hyperlink ref="B5" location="'10 - Vertical Analysis'!A1" display="Wksh10" xr:uid="{00000000-0004-0000-0700-000006000000}"/>
    <hyperlink ref="A6" location="'11 - Pro Forma (Simple)'!A1" display="Wksh11" xr:uid="{00000000-0004-0000-0700-000007000000}"/>
    <hyperlink ref="B6" location="'12 - Pro Forma (Linear) '!A1" display="Wksh12" xr:uid="{00000000-0004-0000-0700-000008000000}"/>
    <hyperlink ref="B8" location="'16 - Final Budgets'!A1" display="Wksh16" xr:uid="{00000000-0004-0000-0700-000009000000}"/>
    <hyperlink ref="A8" location="'15 -Budget Analysis'!A1" display="Wksh15" xr:uid="{00000000-0004-0000-0700-00000A000000}"/>
    <hyperlink ref="B7" location="'14 - Scenario Analysis'!A1" display="Wksh14" xr:uid="{00000000-0004-0000-0700-00000B000000}"/>
    <hyperlink ref="A7" location="'13 - Pro Forma (Exp)'!A1" display="Wksh13" xr:uid="{00000000-0004-0000-0700-00000C000000}"/>
    <hyperlink ref="A1" location="'1 - Control Menu'!A1" display="Home" xr:uid="{00000000-0004-0000-0700-00000D000000}"/>
    <hyperlink ref="B1" location="'2 - General Input'!A1" display="Wksh2" xr:uid="{00000000-0004-0000-0700-00000E000000}"/>
  </hyperlinks>
  <pageMargins left="0.75" right="0.75" top="1" bottom="1" header="0.5" footer="0.5"/>
  <pageSetup scale="83" orientation="portrait" horizontalDpi="300" verticalDpi="300" r:id="rId1"/>
  <headerFooter alignWithMargins="0"/>
  <rowBreaks count="5" manualBreakCount="5">
    <brk id="62" max="7" man="1"/>
    <brk id="122" max="7" man="1"/>
    <brk id="180" max="7" man="1"/>
    <brk id="237" max="7" man="1"/>
    <brk id="294" max="7" man="1"/>
  </rowBreaks>
  <colBreaks count="1" manualBreakCount="1">
    <brk id="9" max="1048575" man="1"/>
  </col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112"/>
  <sheetViews>
    <sheetView topLeftCell="D105" zoomScaleNormal="100" workbookViewId="0">
      <selection activeCell="F31" sqref="F31"/>
    </sheetView>
  </sheetViews>
  <sheetFormatPr defaultRowHeight="12.75" x14ac:dyDescent="0.2"/>
  <cols>
    <col min="1" max="2" width="7.7109375" customWidth="1"/>
    <col min="3" max="4" width="32.5703125" customWidth="1"/>
    <col min="5" max="7" width="13.5703125" bestFit="1" customWidth="1"/>
    <col min="8" max="8" width="10.7109375" customWidth="1"/>
    <col min="9" max="9" width="13.5703125" bestFit="1" customWidth="1"/>
  </cols>
  <sheetData>
    <row r="1" spans="1:9" ht="15.75" x14ac:dyDescent="0.25">
      <c r="A1" s="50" t="s">
        <v>1065</v>
      </c>
      <c r="B1" s="50" t="s">
        <v>36</v>
      </c>
      <c r="C1" s="115" t="s">
        <v>1062</v>
      </c>
      <c r="D1" s="125" t="s">
        <v>915</v>
      </c>
    </row>
    <row r="2" spans="1:9" ht="15.75" x14ac:dyDescent="0.25">
      <c r="A2" s="50" t="s">
        <v>1344</v>
      </c>
      <c r="B2" s="50" t="s">
        <v>1345</v>
      </c>
      <c r="C2" s="115">
        <f>'2 - General Input'!C6</f>
        <v>0</v>
      </c>
      <c r="D2" s="115"/>
    </row>
    <row r="3" spans="1:9" x14ac:dyDescent="0.2">
      <c r="A3" s="50" t="s">
        <v>1346</v>
      </c>
      <c r="B3" s="50" t="s">
        <v>1347</v>
      </c>
    </row>
    <row r="4" spans="1:9" x14ac:dyDescent="0.2">
      <c r="A4" s="50" t="s">
        <v>1348</v>
      </c>
      <c r="B4" s="50" t="s">
        <v>35</v>
      </c>
      <c r="C4" t="s">
        <v>1114</v>
      </c>
    </row>
    <row r="5" spans="1:9" x14ac:dyDescent="0.2">
      <c r="A5" s="53" t="s">
        <v>1352</v>
      </c>
      <c r="B5" s="50" t="s">
        <v>1350</v>
      </c>
      <c r="C5" t="s">
        <v>1115</v>
      </c>
    </row>
    <row r="6" spans="1:9" x14ac:dyDescent="0.2">
      <c r="A6" s="50" t="s">
        <v>1351</v>
      </c>
      <c r="B6" s="50" t="s">
        <v>30</v>
      </c>
      <c r="C6" s="2" t="s">
        <v>1113</v>
      </c>
      <c r="D6" s="2"/>
    </row>
    <row r="7" spans="1:9" x14ac:dyDescent="0.2">
      <c r="A7" s="50" t="s">
        <v>32</v>
      </c>
      <c r="B7" s="50" t="s">
        <v>31</v>
      </c>
      <c r="C7" s="167" t="s">
        <v>916</v>
      </c>
      <c r="D7" s="167"/>
      <c r="E7" s="2" t="s">
        <v>788</v>
      </c>
    </row>
    <row r="8" spans="1:9" x14ac:dyDescent="0.2">
      <c r="A8" s="50" t="s">
        <v>33</v>
      </c>
      <c r="B8" s="50" t="s">
        <v>34</v>
      </c>
      <c r="D8" t="s">
        <v>917</v>
      </c>
      <c r="E8" s="3" t="str">
        <f>'2 - General Input'!$C$8</f>
        <v>Annual  سنوى</v>
      </c>
      <c r="F8" s="3" t="str">
        <f>'2 - General Input'!$C$8</f>
        <v>Annual  سنوى</v>
      </c>
      <c r="G8" s="3" t="str">
        <f>'2 - General Input'!$C$8</f>
        <v>Annual  سنوى</v>
      </c>
      <c r="H8" s="3" t="str">
        <f>'2 - General Input'!$C$8</f>
        <v>Annual  سنوى</v>
      </c>
      <c r="I8" s="3" t="str">
        <f>'2 - General Input'!$C$8</f>
        <v>Annual  سنوى</v>
      </c>
    </row>
    <row r="9" spans="1:9" x14ac:dyDescent="0.2">
      <c r="C9" s="181"/>
      <c r="D9" s="181"/>
      <c r="E9" s="3" t="s">
        <v>801</v>
      </c>
      <c r="F9" s="3" t="s">
        <v>801</v>
      </c>
      <c r="G9" s="3" t="s">
        <v>801</v>
      </c>
      <c r="H9" s="3" t="s">
        <v>801</v>
      </c>
      <c r="I9" s="3" t="s">
        <v>801</v>
      </c>
    </row>
    <row r="10" spans="1:9" ht="18.75" x14ac:dyDescent="0.3">
      <c r="B10" s="3" t="s">
        <v>792</v>
      </c>
      <c r="C10" s="3" t="s">
        <v>787</v>
      </c>
      <c r="D10" s="123" t="s">
        <v>541</v>
      </c>
      <c r="E10" s="3">
        <f>'2 - General Input'!C18</f>
        <v>2005</v>
      </c>
      <c r="F10" s="3">
        <f>'2 - General Input'!C17</f>
        <v>2006</v>
      </c>
      <c r="G10" s="3">
        <f>'2 - General Input'!C16</f>
        <v>2007</v>
      </c>
      <c r="H10" s="3">
        <f>'2 - General Input'!C15</f>
        <v>2008</v>
      </c>
      <c r="I10" s="3">
        <f>'2 - General Input'!C14</f>
        <v>2009</v>
      </c>
    </row>
    <row r="11" spans="1:9" x14ac:dyDescent="0.2">
      <c r="B11" s="3"/>
      <c r="C11" s="3"/>
      <c r="D11" s="3"/>
      <c r="E11" s="3"/>
      <c r="F11" s="3"/>
      <c r="G11" s="3"/>
      <c r="H11" s="3"/>
      <c r="I11" s="3"/>
    </row>
    <row r="12" spans="1:9" x14ac:dyDescent="0.2">
      <c r="B12" s="27" t="s">
        <v>1187</v>
      </c>
      <c r="C12" t="s">
        <v>1180</v>
      </c>
      <c r="D12" t="s">
        <v>918</v>
      </c>
      <c r="E12" s="37"/>
      <c r="F12" s="23">
        <f>('4 - Income Statement'!E2-'4 - Income Statement'!D2)/'4 - Income Statement'!D2</f>
        <v>-0.220082181967134</v>
      </c>
      <c r="G12" s="23">
        <f>('4 - Income Statement'!F2-'4 - Income Statement'!E2)/'4 - Income Statement'!E2</f>
        <v>0.11637590646890231</v>
      </c>
      <c r="H12" s="23">
        <f>('4 - Income Statement'!G2-'4 - Income Statement'!F2)/'4 - Income Statement'!F2</f>
        <v>0.54894057200922486</v>
      </c>
      <c r="I12" s="23">
        <f>('4 - Income Statement'!H2-'4 - Income Statement'!G2)/'4 - Income Statement'!G2</f>
        <v>0.41755581923447438</v>
      </c>
    </row>
    <row r="13" spans="1:9" x14ac:dyDescent="0.2">
      <c r="B13" s="27"/>
      <c r="E13" s="23"/>
      <c r="F13" s="23"/>
      <c r="G13" s="23"/>
      <c r="H13" s="23"/>
      <c r="I13" s="23"/>
    </row>
    <row r="14" spans="1:9" x14ac:dyDescent="0.2">
      <c r="B14" s="27" t="s">
        <v>1188</v>
      </c>
      <c r="C14" t="s">
        <v>796</v>
      </c>
      <c r="D14" t="s">
        <v>640</v>
      </c>
      <c r="E14" s="37"/>
      <c r="F14" s="23">
        <f>('4 - Income Statement'!E5-'4 - Income Statement'!D5)/'4 - Income Statement'!D5</f>
        <v>-0.33651524783883491</v>
      </c>
      <c r="G14" s="23">
        <f>('4 - Income Statement'!F5-'4 - Income Statement'!E5)/'4 - Income Statement'!E5</f>
        <v>9.8771551369433302E-2</v>
      </c>
      <c r="H14" s="23">
        <f>('4 - Income Statement'!G5-'4 - Income Statement'!F5)/'4 - Income Statement'!F5</f>
        <v>0.57043716607698769</v>
      </c>
      <c r="I14" s="23">
        <f>('4 - Income Statement'!H5-'4 - Income Statement'!G5)/'4 - Income Statement'!G5</f>
        <v>0.35854276446760747</v>
      </c>
    </row>
    <row r="15" spans="1:9" x14ac:dyDescent="0.2">
      <c r="B15" s="27"/>
      <c r="E15" s="23"/>
      <c r="F15" s="23"/>
      <c r="G15" s="23"/>
      <c r="H15" s="23"/>
      <c r="I15" s="23"/>
    </row>
    <row r="16" spans="1:9" x14ac:dyDescent="0.2">
      <c r="B16" s="27" t="s">
        <v>1189</v>
      </c>
      <c r="C16" t="s">
        <v>1181</v>
      </c>
      <c r="D16" t="s">
        <v>919</v>
      </c>
      <c r="E16" s="37"/>
      <c r="F16" s="23" t="e">
        <f>('7 - Ratio Analysis'!G63-'7 - Ratio Analysis'!F63)/'7 - Ratio Analysis'!F63</f>
        <v>#REF!</v>
      </c>
      <c r="G16" s="23" t="e">
        <f>('7 - Ratio Analysis'!H63-'7 - Ratio Analysis'!G63)/'7 - Ratio Analysis'!G63</f>
        <v>#REF!</v>
      </c>
      <c r="H16" s="23" t="e">
        <f>('7 - Ratio Analysis'!I63-'7 - Ratio Analysis'!H63)/'7 - Ratio Analysis'!H63</f>
        <v>#REF!</v>
      </c>
      <c r="I16" s="23" t="e">
        <f>('7 - Ratio Analysis'!J63-'7 - Ratio Analysis'!I63)/'7 - Ratio Analysis'!I63</f>
        <v>#REF!</v>
      </c>
    </row>
    <row r="17" spans="2:9" x14ac:dyDescent="0.2">
      <c r="B17" s="27"/>
      <c r="E17" s="54"/>
      <c r="F17" s="23"/>
      <c r="G17" s="23"/>
      <c r="H17" s="23"/>
      <c r="I17" s="23"/>
    </row>
    <row r="18" spans="2:9" x14ac:dyDescent="0.2">
      <c r="B18" s="27" t="s">
        <v>1190</v>
      </c>
      <c r="C18" t="s">
        <v>85</v>
      </c>
      <c r="D18" t="s">
        <v>920</v>
      </c>
      <c r="E18" s="37"/>
      <c r="F18" s="23">
        <f>('4 - Income Statement'!E10-'4 - Income Statement'!D10)/'4 - Income Statement'!D10</f>
        <v>0.89564549914777702</v>
      </c>
      <c r="G18" s="23">
        <f>('4 - Income Statement'!F10-'4 - Income Statement'!E10)/'4 - Income Statement'!E10</f>
        <v>0.61801940813435807</v>
      </c>
      <c r="H18" s="23">
        <f>('4 - Income Statement'!G10-'4 - Income Statement'!F10)/'4 - Income Statement'!F10</f>
        <v>1.1069173928073526</v>
      </c>
      <c r="I18" s="23">
        <f>('4 - Income Statement'!H10-'4 - Income Statement'!G10)/'4 - Income Statement'!G10</f>
        <v>0.1249408504243479</v>
      </c>
    </row>
    <row r="19" spans="2:9" x14ac:dyDescent="0.2">
      <c r="B19" s="27" t="s">
        <v>1191</v>
      </c>
      <c r="C19" t="s">
        <v>86</v>
      </c>
      <c r="D19" t="s">
        <v>921</v>
      </c>
      <c r="E19" s="37"/>
      <c r="F19" s="23" t="e">
        <f>('4 - Income Statement'!E14-'4 - Income Statement'!D14)/'4 - Income Statement'!D14</f>
        <v>#DIV/0!</v>
      </c>
      <c r="G19" s="23">
        <f>('4 - Income Statement'!F14-'4 - Income Statement'!E14)/'4 - Income Statement'!E14</f>
        <v>-0.84512570027760958</v>
      </c>
      <c r="H19" s="23">
        <f>('4 - Income Statement'!G14-'4 - Income Statement'!F14)/'4 - Income Statement'!F14</f>
        <v>5.2510399567536208</v>
      </c>
      <c r="I19" s="23">
        <f>('4 - Income Statement'!H14-'4 - Income Statement'!G14)/'4 - Income Statement'!G14</f>
        <v>1.2563218851440709</v>
      </c>
    </row>
    <row r="20" spans="2:9" x14ac:dyDescent="0.2">
      <c r="B20" s="27"/>
      <c r="E20" s="54"/>
      <c r="F20" s="23"/>
      <c r="G20" s="23"/>
      <c r="H20" s="23"/>
      <c r="I20" s="23"/>
    </row>
    <row r="21" spans="2:9" x14ac:dyDescent="0.2">
      <c r="B21" s="27" t="s">
        <v>1192</v>
      </c>
      <c r="C21" t="s">
        <v>1367</v>
      </c>
      <c r="D21" t="s">
        <v>922</v>
      </c>
      <c r="E21" s="37"/>
      <c r="F21" s="23">
        <f>('4 - Income Statement'!E27-'4 - Income Statement'!D27)/'4 - Income Statement'!D27</f>
        <v>1.3832011524921548</v>
      </c>
      <c r="G21" s="23">
        <f>('4 - Income Statement'!F27-'4 - Income Statement'!E27)/'4 - Income Statement'!E27</f>
        <v>0.31868895987427331</v>
      </c>
      <c r="H21" s="23">
        <f>('4 - Income Statement'!G27-'4 - Income Statement'!F27)/'4 - Income Statement'!F27</f>
        <v>1.2064884396474151</v>
      </c>
      <c r="I21" s="23">
        <f>('4 - Income Statement'!H27-'4 - Income Statement'!G27)/'4 - Income Statement'!G27</f>
        <v>0.20195313282364211</v>
      </c>
    </row>
    <row r="22" spans="2:9" x14ac:dyDescent="0.2">
      <c r="B22" s="27"/>
      <c r="E22" s="54"/>
      <c r="F22" s="23"/>
      <c r="G22" s="23"/>
      <c r="H22" s="23"/>
      <c r="I22" s="23"/>
    </row>
    <row r="23" spans="2:9" x14ac:dyDescent="0.2">
      <c r="B23" s="27" t="s">
        <v>1193</v>
      </c>
      <c r="C23" t="s">
        <v>84</v>
      </c>
      <c r="D23" t="s">
        <v>923</v>
      </c>
      <c r="E23" s="37"/>
      <c r="F23" s="23" t="e">
        <f>('4 - Income Statement'!E19-'4 - Income Statement'!D19)/'4 - Income Statement'!D19</f>
        <v>#DIV/0!</v>
      </c>
      <c r="G23" s="23" t="e">
        <f>('4 - Income Statement'!F19-'4 - Income Statement'!E19)/'4 - Income Statement'!E19</f>
        <v>#DIV/0!</v>
      </c>
      <c r="H23" s="23" t="e">
        <f>('4 - Income Statement'!G19-'4 - Income Statement'!F19)/'4 - Income Statement'!F19</f>
        <v>#DIV/0!</v>
      </c>
      <c r="I23" s="23" t="e">
        <f>('4 - Income Statement'!H19-'4 - Income Statement'!G19)/'4 - Income Statement'!G19</f>
        <v>#DIV/0!</v>
      </c>
    </row>
    <row r="24" spans="2:9" x14ac:dyDescent="0.2">
      <c r="B24" s="27"/>
      <c r="E24" s="23"/>
      <c r="F24" s="23"/>
      <c r="G24" s="23"/>
      <c r="H24" s="23"/>
      <c r="I24" s="23"/>
    </row>
    <row r="25" spans="2:9" x14ac:dyDescent="0.2">
      <c r="B25" s="27" t="s">
        <v>1194</v>
      </c>
      <c r="C25" t="s">
        <v>1182</v>
      </c>
      <c r="D25" t="s">
        <v>924</v>
      </c>
      <c r="E25" s="37"/>
      <c r="F25" s="23">
        <f>('4 - Income Statement'!E20-'4 - Income Statement'!D20)/'4 - Income Statement'!D20</f>
        <v>1.0107426446571166</v>
      </c>
      <c r="G25" s="23">
        <f>('4 - Income Statement'!F20-'4 - Income Statement'!E20)/'4 - Income Statement'!E20</f>
        <v>-4.1614291387374387E-2</v>
      </c>
      <c r="H25" s="23">
        <f>('4 - Income Statement'!G20-'4 - Income Statement'!F20)/'4 - Income Statement'!F20</f>
        <v>0.63864454924700287</v>
      </c>
      <c r="I25" s="23">
        <f>('4 - Income Statement'!H20-'4 - Income Statement'!G20)/'4 - Income Statement'!G20</f>
        <v>0.73696571944731748</v>
      </c>
    </row>
    <row r="26" spans="2:9" x14ac:dyDescent="0.2">
      <c r="B26" s="27"/>
      <c r="E26" s="23"/>
      <c r="F26" s="23"/>
      <c r="G26" s="23"/>
      <c r="H26" s="23"/>
      <c r="I26" s="23"/>
    </row>
    <row r="27" spans="2:9" x14ac:dyDescent="0.2">
      <c r="B27" s="27" t="s">
        <v>1195</v>
      </c>
      <c r="C27" t="s">
        <v>1184</v>
      </c>
      <c r="D27" t="s">
        <v>925</v>
      </c>
      <c r="E27" s="37"/>
      <c r="F27" s="23" t="e">
        <f>('4 - Income Statement'!E21-'4 - Income Statement'!D21)/'4 - Income Statement'!D21</f>
        <v>#REF!</v>
      </c>
      <c r="G27" s="23" t="e">
        <f>('4 - Income Statement'!F21-'4 - Income Statement'!E21)/'4 - Income Statement'!E21</f>
        <v>#REF!</v>
      </c>
      <c r="H27" s="23" t="e">
        <f>('4 - Income Statement'!G21-'4 - Income Statement'!F21)/'4 - Income Statement'!F21</f>
        <v>#REF!</v>
      </c>
      <c r="I27" s="23" t="e">
        <f>('4 - Income Statement'!H21-'4 - Income Statement'!G21)/'4 - Income Statement'!G21</f>
        <v>#REF!</v>
      </c>
    </row>
    <row r="28" spans="2:9" x14ac:dyDescent="0.2">
      <c r="B28" s="27"/>
      <c r="E28" s="54"/>
      <c r="F28" s="23"/>
      <c r="G28" s="23"/>
      <c r="H28" s="23"/>
      <c r="I28" s="23"/>
    </row>
    <row r="29" spans="2:9" x14ac:dyDescent="0.2">
      <c r="B29" s="27"/>
      <c r="E29" s="54"/>
      <c r="F29" s="23"/>
      <c r="G29" s="23"/>
      <c r="H29" s="23"/>
      <c r="I29" s="23"/>
    </row>
    <row r="30" spans="2:9" x14ac:dyDescent="0.2">
      <c r="B30" s="27" t="s">
        <v>1368</v>
      </c>
      <c r="C30" t="str">
        <f>'3 - Balance Sheet'!B2</f>
        <v>Cash and Cash Equivalents</v>
      </c>
      <c r="D30" t="s">
        <v>926</v>
      </c>
      <c r="E30" s="37"/>
      <c r="F30" s="23">
        <f>('3 - Balance Sheet'!E2-'3 - Balance Sheet'!D2)/'3 - Balance Sheet'!D2</f>
        <v>3.8806019188209495</v>
      </c>
      <c r="G30" s="23">
        <f>('3 - Balance Sheet'!F2-'3 - Balance Sheet'!E2)/'3 - Balance Sheet'!E2</f>
        <v>-0.39466681561043054</v>
      </c>
      <c r="H30" s="23">
        <f>('3 - Balance Sheet'!G2-'3 - Balance Sheet'!F2)/'3 - Balance Sheet'!F2</f>
        <v>2.4613070668075108</v>
      </c>
      <c r="I30" s="23">
        <f>('3 - Balance Sheet'!H2-'3 - Balance Sheet'!G2)/'3 - Balance Sheet'!G2</f>
        <v>-0.48975493955936023</v>
      </c>
    </row>
    <row r="31" spans="2:9" x14ac:dyDescent="0.2">
      <c r="B31" s="27" t="s">
        <v>170</v>
      </c>
      <c r="C31" t="str">
        <f>'3 - Balance Sheet'!B3</f>
        <v>Short Term Marketable Securities</v>
      </c>
      <c r="D31" t="s">
        <v>927</v>
      </c>
      <c r="E31" s="37"/>
      <c r="F31" s="23" t="e">
        <f>('3 - Balance Sheet'!E3-'3 - Balance Sheet'!D3)/'3 - Balance Sheet'!D3</f>
        <v>#DIV/0!</v>
      </c>
      <c r="G31" s="23" t="e">
        <f>('3 - Balance Sheet'!F3-'3 - Balance Sheet'!E3)/'3 - Balance Sheet'!E3</f>
        <v>#DIV/0!</v>
      </c>
      <c r="H31" s="23" t="e">
        <f>('3 - Balance Sheet'!G3-'3 - Balance Sheet'!F3)/'3 - Balance Sheet'!F3</f>
        <v>#DIV/0!</v>
      </c>
      <c r="I31" s="23" t="e">
        <f>('3 - Balance Sheet'!H3-'3 - Balance Sheet'!G3)/'3 - Balance Sheet'!G3</f>
        <v>#DIV/0!</v>
      </c>
    </row>
    <row r="32" spans="2:9" x14ac:dyDescent="0.2">
      <c r="B32" s="27" t="s">
        <v>171</v>
      </c>
      <c r="C32" t="str">
        <f>'3 - Balance Sheet'!B4</f>
        <v>Accounts Receivable</v>
      </c>
      <c r="D32" t="s">
        <v>928</v>
      </c>
      <c r="E32" s="37"/>
      <c r="F32" s="23">
        <f>('3 - Balance Sheet'!E4-'3 - Balance Sheet'!D4)/'3 - Balance Sheet'!D4</f>
        <v>-0.24832193008443046</v>
      </c>
      <c r="G32" s="23">
        <f>('3 - Balance Sheet'!F4-'3 - Balance Sheet'!E4)/'3 - Balance Sheet'!E4</f>
        <v>0.90425800292742975</v>
      </c>
      <c r="H32" s="23">
        <f>('3 - Balance Sheet'!G4-'3 - Balance Sheet'!F4)/'3 - Balance Sheet'!F4</f>
        <v>0.65566822037780159</v>
      </c>
      <c r="I32" s="23">
        <f>('3 - Balance Sheet'!H4-'3 - Balance Sheet'!G4)/'3 - Balance Sheet'!G4</f>
        <v>0.4525595632261703</v>
      </c>
    </row>
    <row r="33" spans="2:9" x14ac:dyDescent="0.2">
      <c r="B33" s="27" t="s">
        <v>172</v>
      </c>
      <c r="C33" t="str">
        <f>'3 - Balance Sheet'!B5</f>
        <v xml:space="preserve">Inventory </v>
      </c>
      <c r="D33" t="s">
        <v>766</v>
      </c>
      <c r="E33" s="37"/>
      <c r="F33" s="23">
        <f>('3 - Balance Sheet'!E5-'3 - Balance Sheet'!D5)/'3 - Balance Sheet'!D5</f>
        <v>0.30804724154035246</v>
      </c>
      <c r="G33" s="23">
        <f>('3 - Balance Sheet'!F5-'3 - Balance Sheet'!E5)/'3 - Balance Sheet'!E5</f>
        <v>1.0189796161351761</v>
      </c>
      <c r="H33" s="23">
        <f>('3 - Balance Sheet'!G5-'3 - Balance Sheet'!F5)/'3 - Balance Sheet'!F5</f>
        <v>1.5835429709128181</v>
      </c>
      <c r="I33" s="23">
        <f>('3 - Balance Sheet'!H5-'3 - Balance Sheet'!G5)/'3 - Balance Sheet'!G5</f>
        <v>2.0614674526929342</v>
      </c>
    </row>
    <row r="34" spans="2:9" x14ac:dyDescent="0.2">
      <c r="B34" s="27" t="s">
        <v>173</v>
      </c>
      <c r="C34" t="str">
        <f>'3 - Balance Sheet'!B6</f>
        <v>Other Current Assets</v>
      </c>
      <c r="D34" t="s">
        <v>929</v>
      </c>
      <c r="E34" s="37"/>
      <c r="F34" s="23">
        <f>('3 - Balance Sheet'!E6-'3 - Balance Sheet'!D6)/'3 - Balance Sheet'!D6</f>
        <v>0.49383021096007768</v>
      </c>
      <c r="G34" s="23">
        <f>('3 - Balance Sheet'!F6-'3 - Balance Sheet'!E6)/'3 - Balance Sheet'!E6</f>
        <v>0.30953632531966413</v>
      </c>
      <c r="H34" s="23">
        <f>('3 - Balance Sheet'!G6-'3 - Balance Sheet'!F6)/'3 - Balance Sheet'!F6</f>
        <v>0.67015008943968124</v>
      </c>
      <c r="I34" s="23">
        <f>('3 - Balance Sheet'!H6-'3 - Balance Sheet'!G6)/'3 - Balance Sheet'!G6</f>
        <v>8.4365093828646209E-2</v>
      </c>
    </row>
    <row r="35" spans="2:9" x14ac:dyDescent="0.2">
      <c r="B35" s="27" t="s">
        <v>174</v>
      </c>
      <c r="C35" t="str">
        <f>'3 - Balance Sheet'!B7</f>
        <v>Total Current Assets</v>
      </c>
      <c r="D35" t="s">
        <v>555</v>
      </c>
      <c r="E35" s="37"/>
      <c r="F35" s="23">
        <f>('3 - Balance Sheet'!E7-'3 - Balance Sheet'!D7)/'3 - Balance Sheet'!D7</f>
        <v>0.15581900045714975</v>
      </c>
      <c r="G35" s="23">
        <f>('3 - Balance Sheet'!F7-'3 - Balance Sheet'!E7)/'3 - Balance Sheet'!E7</f>
        <v>0.46267507290254106</v>
      </c>
      <c r="H35" s="23">
        <f>('3 - Balance Sheet'!G7-'3 - Balance Sheet'!F7)/'3 - Balance Sheet'!F7</f>
        <v>0.89115005649497081</v>
      </c>
      <c r="I35" s="23">
        <f>('3 - Balance Sheet'!H7-'3 - Balance Sheet'!G7)/'3 - Balance Sheet'!G7</f>
        <v>0.39566478187522913</v>
      </c>
    </row>
    <row r="36" spans="2:9" x14ac:dyDescent="0.2">
      <c r="B36" s="27"/>
      <c r="E36" s="54"/>
      <c r="F36" s="23"/>
      <c r="G36" s="23"/>
      <c r="H36" s="23"/>
      <c r="I36" s="23"/>
    </row>
    <row r="37" spans="2:9" x14ac:dyDescent="0.2">
      <c r="B37" s="27" t="s">
        <v>175</v>
      </c>
      <c r="C37" t="str">
        <f>'3 - Balance Sheet'!B10</f>
        <v>Net Fixed Assets</v>
      </c>
      <c r="D37" t="s">
        <v>930</v>
      </c>
      <c r="E37" s="37"/>
      <c r="F37" s="23">
        <f>('3 - Balance Sheet'!E10-'3 - Balance Sheet'!D10)/'3 - Balance Sheet'!D10</f>
        <v>1.4529440890970182</v>
      </c>
      <c r="G37" s="23">
        <f>('3 - Balance Sheet'!F10-'3 - Balance Sheet'!E10)/'3 - Balance Sheet'!E10</f>
        <v>0.19836743415750266</v>
      </c>
      <c r="H37" s="23">
        <f>('3 - Balance Sheet'!G10-'3 - Balance Sheet'!F10)/'3 - Balance Sheet'!F10</f>
        <v>0.52775730856081382</v>
      </c>
      <c r="I37" s="23">
        <f>('3 - Balance Sheet'!H10-'3 - Balance Sheet'!G10)/'3 - Balance Sheet'!G10</f>
        <v>0.12705832004302658</v>
      </c>
    </row>
    <row r="38" spans="2:9" x14ac:dyDescent="0.2">
      <c r="B38" s="27" t="s">
        <v>176</v>
      </c>
      <c r="C38" t="str">
        <f>'3 - Balance Sheet'!B11</f>
        <v xml:space="preserve">Longterm Investments </v>
      </c>
      <c r="D38" t="s">
        <v>931</v>
      </c>
      <c r="E38" s="37"/>
      <c r="F38" s="23" t="e">
        <f>('3 - Balance Sheet'!E11-'3 - Balance Sheet'!D11)/'3 - Balance Sheet'!D11</f>
        <v>#DIV/0!</v>
      </c>
      <c r="G38" s="23" t="e">
        <f>('3 - Balance Sheet'!F11-'3 - Balance Sheet'!E11)/'3 - Balance Sheet'!E11</f>
        <v>#DIV/0!</v>
      </c>
      <c r="H38" s="23" t="e">
        <f>('3 - Balance Sheet'!G11-'3 - Balance Sheet'!F11)/'3 - Balance Sheet'!F11</f>
        <v>#DIV/0!</v>
      </c>
      <c r="I38" s="23" t="e">
        <f>('3 - Balance Sheet'!H11-'3 - Balance Sheet'!G11)/'3 - Balance Sheet'!G11</f>
        <v>#DIV/0!</v>
      </c>
    </row>
    <row r="39" spans="2:9" x14ac:dyDescent="0.2">
      <c r="B39" s="27" t="s">
        <v>177</v>
      </c>
      <c r="C39" t="str">
        <f>'3 - Balance Sheet'!B12</f>
        <v>Investments in Other Companies</v>
      </c>
      <c r="D39" t="s">
        <v>932</v>
      </c>
      <c r="E39" s="37"/>
      <c r="F39" s="23" t="e">
        <f>('3 - Balance Sheet'!E12-'3 - Balance Sheet'!D12)/'3 - Balance Sheet'!D12</f>
        <v>#DIV/0!</v>
      </c>
      <c r="G39" s="23" t="e">
        <f>('3 - Balance Sheet'!F12-'3 - Balance Sheet'!E12)/'3 - Balance Sheet'!E12</f>
        <v>#DIV/0!</v>
      </c>
      <c r="H39" s="23" t="e">
        <f>('3 - Balance Sheet'!G12-'3 - Balance Sheet'!F12)/'3 - Balance Sheet'!F12</f>
        <v>#DIV/0!</v>
      </c>
      <c r="I39" s="23" t="e">
        <f>('3 - Balance Sheet'!H12-'3 - Balance Sheet'!G12)/'3 - Balance Sheet'!G12</f>
        <v>#DIV/0!</v>
      </c>
    </row>
    <row r="40" spans="2:9" x14ac:dyDescent="0.2">
      <c r="B40" s="27" t="s">
        <v>178</v>
      </c>
      <c r="C40" t="str">
        <f>'3 - Balance Sheet'!B13</f>
        <v>Intangibles and Other Assets</v>
      </c>
      <c r="D40" t="s">
        <v>933</v>
      </c>
      <c r="E40" s="37"/>
      <c r="F40" s="23" t="e">
        <f>('3 - Balance Sheet'!E13-'3 - Balance Sheet'!D13)/'3 - Balance Sheet'!D13</f>
        <v>#DIV/0!</v>
      </c>
      <c r="G40" s="23" t="e">
        <f>('3 - Balance Sheet'!F13-'3 - Balance Sheet'!E13)/'3 - Balance Sheet'!E13</f>
        <v>#DIV/0!</v>
      </c>
      <c r="H40" s="23" t="e">
        <f>('3 - Balance Sheet'!G13-'3 - Balance Sheet'!F13)/'3 - Balance Sheet'!F13</f>
        <v>#DIV/0!</v>
      </c>
      <c r="I40" s="23" t="e">
        <f>('3 - Balance Sheet'!H13-'3 - Balance Sheet'!G13)/'3 - Balance Sheet'!G13</f>
        <v>#DIV/0!</v>
      </c>
    </row>
    <row r="41" spans="2:9" x14ac:dyDescent="0.2">
      <c r="B41" s="27" t="s">
        <v>179</v>
      </c>
      <c r="C41" t="s">
        <v>15</v>
      </c>
      <c r="D41" t="s">
        <v>934</v>
      </c>
      <c r="E41" s="37"/>
      <c r="F41" s="23">
        <f>('3 - Balance Sheet'!E14-'3 - Balance Sheet'!D14)/'3 - Balance Sheet'!D14</f>
        <v>1.4529440890970182</v>
      </c>
      <c r="G41" s="23">
        <f>('3 - Balance Sheet'!F14-'3 - Balance Sheet'!E14)/'3 - Balance Sheet'!E14</f>
        <v>0.19836743415750266</v>
      </c>
      <c r="H41" s="23">
        <f>('3 - Balance Sheet'!G14-'3 - Balance Sheet'!F14)/'3 - Balance Sheet'!F14</f>
        <v>0.52775730856081382</v>
      </c>
      <c r="I41" s="23">
        <f>('3 - Balance Sheet'!H14-'3 - Balance Sheet'!G14)/'3 - Balance Sheet'!G14</f>
        <v>0.12705832004302658</v>
      </c>
    </row>
    <row r="42" spans="2:9" x14ac:dyDescent="0.2">
      <c r="B42" s="27"/>
      <c r="E42" s="23"/>
      <c r="F42" s="23"/>
      <c r="G42" s="23"/>
      <c r="H42" s="23"/>
      <c r="I42" s="23"/>
    </row>
    <row r="43" spans="2:9" x14ac:dyDescent="0.2">
      <c r="B43" s="27" t="s">
        <v>180</v>
      </c>
      <c r="C43" t="s">
        <v>1183</v>
      </c>
      <c r="D43" t="s">
        <v>935</v>
      </c>
      <c r="E43" s="37"/>
      <c r="F43" s="23">
        <f>('3 - Balance Sheet'!E15-'3 - Balance Sheet'!D15)/'3 - Balance Sheet'!D15</f>
        <v>0.73800141402700015</v>
      </c>
      <c r="G43" s="23">
        <f>('3 - Balance Sheet'!F15-'3 - Balance Sheet'!E15)/'3 - Balance Sheet'!E15</f>
        <v>0.29524847153390477</v>
      </c>
      <c r="H43" s="23">
        <f>('3 - Balance Sheet'!G15-'3 - Balance Sheet'!F15)/'3 - Balance Sheet'!F15</f>
        <v>0.67817540674184107</v>
      </c>
      <c r="I43" s="23">
        <f>('3 - Balance Sheet'!H15-'3 - Balance Sheet'!G15)/'3 - Balance Sheet'!G15</f>
        <v>0.25235193258481103</v>
      </c>
    </row>
    <row r="44" spans="2:9" x14ac:dyDescent="0.2">
      <c r="B44" s="27"/>
      <c r="E44" s="23"/>
      <c r="F44" s="23"/>
      <c r="G44" s="23"/>
      <c r="H44" s="23"/>
      <c r="I44" s="23"/>
    </row>
    <row r="45" spans="2:9" x14ac:dyDescent="0.2">
      <c r="B45" s="27" t="s">
        <v>181</v>
      </c>
      <c r="C45" t="str">
        <f>'3 - Balance Sheet'!B16</f>
        <v>Accounts Payable</v>
      </c>
      <c r="D45" t="s">
        <v>936</v>
      </c>
      <c r="E45" s="37"/>
      <c r="F45" s="23">
        <f>('3 - Balance Sheet'!E16-'3 - Balance Sheet'!D16)/'3 - Balance Sheet'!D16</f>
        <v>0.76196039353534906</v>
      </c>
      <c r="G45" s="23">
        <f>('3 - Balance Sheet'!F16-'3 - Balance Sheet'!E16)/'3 - Balance Sheet'!E16</f>
        <v>-0.73337231833807059</v>
      </c>
      <c r="H45" s="23">
        <f>('3 - Balance Sheet'!G16-'3 - Balance Sheet'!F16)/'3 - Balance Sheet'!F16</f>
        <v>0.44522217301566142</v>
      </c>
      <c r="I45" s="23">
        <f>('3 - Balance Sheet'!H16-'3 - Balance Sheet'!G16)/'3 - Balance Sheet'!G16</f>
        <v>0</v>
      </c>
    </row>
    <row r="46" spans="2:9" x14ac:dyDescent="0.2">
      <c r="B46" s="27" t="s">
        <v>182</v>
      </c>
      <c r="C46" t="str">
        <f>'3 - Balance Sheet'!B17</f>
        <v>Short Term Borrowings</v>
      </c>
      <c r="D46" t="s">
        <v>937</v>
      </c>
      <c r="E46" s="37"/>
      <c r="F46" s="23">
        <f>('3 - Balance Sheet'!E17-'3 - Balance Sheet'!D17)/'3 - Balance Sheet'!D17</f>
        <v>9.0882496792123874E-2</v>
      </c>
      <c r="G46" s="23">
        <f>('3 - Balance Sheet'!F17-'3 - Balance Sheet'!E17)/'3 - Balance Sheet'!E17</f>
        <v>4.4040922033654182</v>
      </c>
      <c r="H46" s="23">
        <f>('3 - Balance Sheet'!G17-'3 - Balance Sheet'!F17)/'3 - Balance Sheet'!F17</f>
        <v>0.60194288446555977</v>
      </c>
      <c r="I46" s="23">
        <f>('3 - Balance Sheet'!H17-'3 - Balance Sheet'!G17)/'3 - Balance Sheet'!G17</f>
        <v>-0.56267521313323954</v>
      </c>
    </row>
    <row r="47" spans="2:9" x14ac:dyDescent="0.2">
      <c r="B47" s="27" t="s">
        <v>183</v>
      </c>
      <c r="C47" t="str">
        <f>'3 - Balance Sheet'!B18</f>
        <v>Short Term Portion of LT Debt</v>
      </c>
      <c r="D47" t="s">
        <v>938</v>
      </c>
      <c r="E47" s="37"/>
      <c r="F47" s="23" t="e">
        <f>('3 - Balance Sheet'!E18-'3 - Balance Sheet'!D18)/'3 - Balance Sheet'!D18</f>
        <v>#DIV/0!</v>
      </c>
      <c r="G47" s="23" t="e">
        <f>('3 - Balance Sheet'!F18-'3 - Balance Sheet'!E18)/'3 - Balance Sheet'!E18</f>
        <v>#DIV/0!</v>
      </c>
      <c r="H47" s="23" t="e">
        <f>('3 - Balance Sheet'!G18-'3 - Balance Sheet'!F18)/'3 - Balance Sheet'!F18</f>
        <v>#DIV/0!</v>
      </c>
      <c r="I47" s="23" t="e">
        <f>('3 - Balance Sheet'!H18-'3 - Balance Sheet'!G18)/'3 - Balance Sheet'!G18</f>
        <v>#DIV/0!</v>
      </c>
    </row>
    <row r="48" spans="2:9" x14ac:dyDescent="0.2">
      <c r="B48" s="27" t="s">
        <v>184</v>
      </c>
      <c r="C48" t="str">
        <f>'3 - Balance Sheet'!B19</f>
        <v>Other Current Liabilities</v>
      </c>
      <c r="D48" t="s">
        <v>939</v>
      </c>
      <c r="E48" s="37"/>
      <c r="F48" s="23">
        <f>('3 - Balance Sheet'!E19-'3 - Balance Sheet'!D19)/'3 - Balance Sheet'!D19</f>
        <v>1.5388236510780067</v>
      </c>
      <c r="G48" s="23">
        <f>('3 - Balance Sheet'!F19-'3 - Balance Sheet'!E19)/'3 - Balance Sheet'!E19</f>
        <v>1.8353611840880235</v>
      </c>
      <c r="H48" s="23">
        <f>('3 - Balance Sheet'!G19-'3 - Balance Sheet'!F19)/'3 - Balance Sheet'!F19</f>
        <v>1.4268270655679498</v>
      </c>
      <c r="I48" s="23">
        <f>('3 - Balance Sheet'!H19-'3 - Balance Sheet'!G19)/'3 - Balance Sheet'!G19</f>
        <v>0.71358247457691215</v>
      </c>
    </row>
    <row r="49" spans="2:9" x14ac:dyDescent="0.2">
      <c r="B49" s="27" t="s">
        <v>185</v>
      </c>
      <c r="C49" t="str">
        <f>'3 - Balance Sheet'!B20</f>
        <v>Total Current Liabilities</v>
      </c>
      <c r="D49" t="s">
        <v>940</v>
      </c>
      <c r="E49" s="37"/>
      <c r="F49" s="23">
        <f>('3 - Balance Sheet'!E20-'3 - Balance Sheet'!D20)/'3 - Balance Sheet'!D20</f>
        <v>0.6376385260334112</v>
      </c>
      <c r="G49" s="23">
        <f>('3 - Balance Sheet'!F20-'3 - Balance Sheet'!E20)/'3 - Balance Sheet'!E20</f>
        <v>0.46499502476040294</v>
      </c>
      <c r="H49" s="23">
        <f>('3 - Balance Sheet'!G20-'3 - Balance Sheet'!F20)/'3 - Balance Sheet'!F20</f>
        <v>0.75748072259415666</v>
      </c>
      <c r="I49" s="23">
        <f>('3 - Balance Sheet'!H20-'3 - Balance Sheet'!G20)/'3 - Balance Sheet'!G20</f>
        <v>-0.12707717537789198</v>
      </c>
    </row>
    <row r="50" spans="2:9" x14ac:dyDescent="0.2">
      <c r="B50" s="27"/>
      <c r="E50" s="23"/>
      <c r="F50" s="23"/>
      <c r="G50" s="23"/>
      <c r="H50" s="23"/>
      <c r="I50" s="23"/>
    </row>
    <row r="51" spans="2:9" x14ac:dyDescent="0.2">
      <c r="B51" s="27" t="s">
        <v>186</v>
      </c>
      <c r="C51" t="str">
        <f>'3 - Balance Sheet'!B21</f>
        <v>Longterm Debt / Borrowings</v>
      </c>
      <c r="D51" t="s">
        <v>941</v>
      </c>
      <c r="E51" s="37"/>
      <c r="F51" s="23" t="e">
        <f>('3 - Balance Sheet'!E21-'3 - Balance Sheet'!D21)/'3 - Balance Sheet'!D21</f>
        <v>#DIV/0!</v>
      </c>
      <c r="G51" s="23">
        <f>('3 - Balance Sheet'!F21-'3 - Balance Sheet'!E21)/'3 - Balance Sheet'!E21</f>
        <v>0.55428518221164769</v>
      </c>
      <c r="H51" s="23">
        <f>('3 - Balance Sheet'!G21-'3 - Balance Sheet'!F21)/'3 - Balance Sheet'!F21</f>
        <v>-0.28832189719160645</v>
      </c>
      <c r="I51" s="23">
        <f>('3 - Balance Sheet'!H21-'3 - Balance Sheet'!G21)/'3 - Balance Sheet'!G21</f>
        <v>3.5719924805391123</v>
      </c>
    </row>
    <row r="52" spans="2:9" x14ac:dyDescent="0.2">
      <c r="B52" s="27" t="s">
        <v>187</v>
      </c>
      <c r="C52" t="str">
        <f>'3 - Balance Sheet'!B22</f>
        <v>Other Longterm Liabilities</v>
      </c>
      <c r="D52" t="s">
        <v>942</v>
      </c>
      <c r="E52" s="37"/>
      <c r="F52" s="23">
        <f>('3 - Balance Sheet'!E22-'3 - Balance Sheet'!D22)/'3 - Balance Sheet'!D22</f>
        <v>0.28194749116770962</v>
      </c>
      <c r="G52" s="23">
        <f>('3 - Balance Sheet'!F22-'3 - Balance Sheet'!E22)/'3 - Balance Sheet'!E22</f>
        <v>1.6298496144445065</v>
      </c>
      <c r="H52" s="23">
        <f>('3 - Balance Sheet'!G22-'3 - Balance Sheet'!F22)/'3 - Balance Sheet'!F22</f>
        <v>0.64890671130527877</v>
      </c>
      <c r="I52" s="23">
        <f>('3 - Balance Sheet'!H22-'3 - Balance Sheet'!G22)/'3 - Balance Sheet'!G22</f>
        <v>-0.14200628323227679</v>
      </c>
    </row>
    <row r="53" spans="2:9" x14ac:dyDescent="0.2">
      <c r="B53" s="27" t="s">
        <v>188</v>
      </c>
      <c r="C53" t="str">
        <f>'3 - Balance Sheet'!B23</f>
        <v>Total Non Current Liabilities</v>
      </c>
      <c r="D53" t="s">
        <v>943</v>
      </c>
      <c r="E53" s="37"/>
      <c r="F53" s="23">
        <f>('3 - Balance Sheet'!E23-'3 - Balance Sheet'!D23)/'3 - Balance Sheet'!D23</f>
        <v>18.013134135359181</v>
      </c>
      <c r="G53" s="23">
        <f>('3 - Balance Sheet'!F23-'3 - Balance Sheet'!E23)/'3 - Balance Sheet'!E23</f>
        <v>0.62680437424353452</v>
      </c>
      <c r="H53" s="23">
        <f>('3 - Balance Sheet'!G23-'3 - Balance Sheet'!F23)/'3 - Balance Sheet'!F23</f>
        <v>-0.18616736380401946</v>
      </c>
      <c r="I53" s="23">
        <f>('3 - Balance Sheet'!H23-'3 - Balance Sheet'!G23)/'3 - Balance Sheet'!G23</f>
        <v>2.7518017698507831</v>
      </c>
    </row>
    <row r="54" spans="2:9" x14ac:dyDescent="0.2">
      <c r="B54" s="27"/>
      <c r="E54" s="23"/>
      <c r="F54" s="23"/>
      <c r="G54" s="23"/>
      <c r="H54" s="23"/>
      <c r="I54" s="23"/>
    </row>
    <row r="55" spans="2:9" x14ac:dyDescent="0.2">
      <c r="B55" s="27" t="s">
        <v>189</v>
      </c>
      <c r="C55" t="s">
        <v>83</v>
      </c>
      <c r="D55" t="s">
        <v>944</v>
      </c>
      <c r="E55" s="37"/>
      <c r="F55" s="23">
        <f>('3 - Balance Sheet'!E24-'3 - Balance Sheet'!D24)/'3 - Balance Sheet'!D24</f>
        <v>0.94110403256476582</v>
      </c>
      <c r="G55" s="23">
        <f>('3 - Balance Sheet'!F24-'3 - Balance Sheet'!E24)/'3 - Balance Sheet'!E24</f>
        <v>0.49267595272938092</v>
      </c>
      <c r="H55" s="23">
        <f>('3 - Balance Sheet'!G24-'3 - Balance Sheet'!F24)/'3 - Balance Sheet'!F24</f>
        <v>0.58154384018633953</v>
      </c>
      <c r="I55" s="23">
        <f>('3 - Balance Sheet'!H24-'3 - Balance Sheet'!G24)/'3 - Balance Sheet'!G24</f>
        <v>0.14912309466229209</v>
      </c>
    </row>
    <row r="56" spans="2:9" x14ac:dyDescent="0.2">
      <c r="B56" s="27"/>
      <c r="E56" s="23"/>
      <c r="F56" s="23"/>
      <c r="G56" s="23"/>
      <c r="H56" s="23"/>
      <c r="I56" s="23"/>
    </row>
    <row r="57" spans="2:9" x14ac:dyDescent="0.2">
      <c r="B57" s="27" t="s">
        <v>190</v>
      </c>
      <c r="C57" t="str">
        <f>'3 - Balance Sheet'!B25</f>
        <v>Preferred Equity</v>
      </c>
      <c r="D57" t="s">
        <v>945</v>
      </c>
      <c r="E57" s="37"/>
      <c r="F57" s="23" t="e">
        <f>('3 - Balance Sheet'!E25-'3 - Balance Sheet'!D25)/'3 - Balance Sheet'!D25</f>
        <v>#DIV/0!</v>
      </c>
      <c r="G57" s="23" t="e">
        <f>('3 - Balance Sheet'!F25-'3 - Balance Sheet'!E25)/'3 - Balance Sheet'!E25</f>
        <v>#DIV/0!</v>
      </c>
      <c r="H57" s="23" t="e">
        <f>('3 - Balance Sheet'!G25-'3 - Balance Sheet'!F25)/'3 - Balance Sheet'!F25</f>
        <v>#DIV/0!</v>
      </c>
      <c r="I57" s="23" t="e">
        <f>('3 - Balance Sheet'!H25-'3 - Balance Sheet'!G25)/'3 - Balance Sheet'!G25</f>
        <v>#DIV/0!</v>
      </c>
    </row>
    <row r="58" spans="2:9" x14ac:dyDescent="0.2">
      <c r="B58" s="27" t="s">
        <v>191</v>
      </c>
      <c r="C58" t="str">
        <f>'3 - Balance Sheet'!B26</f>
        <v>Common Equity</v>
      </c>
      <c r="D58" t="s">
        <v>946</v>
      </c>
      <c r="E58" s="37"/>
      <c r="F58" s="23">
        <f>('3 - Balance Sheet'!E26-'3 - Balance Sheet'!D26)/'3 - Balance Sheet'!D26</f>
        <v>0</v>
      </c>
      <c r="G58" s="23">
        <f>('3 - Balance Sheet'!F26-'3 - Balance Sheet'!E26)/'3 - Balance Sheet'!E26</f>
        <v>0</v>
      </c>
      <c r="H58" s="23">
        <f>('3 - Balance Sheet'!G26-'3 - Balance Sheet'!F26)/'3 - Balance Sheet'!F26</f>
        <v>3</v>
      </c>
      <c r="I58" s="23">
        <f>('3 - Balance Sheet'!H26-'3 - Balance Sheet'!G26)/'3 - Balance Sheet'!G26</f>
        <v>0</v>
      </c>
    </row>
    <row r="59" spans="2:9" x14ac:dyDescent="0.2">
      <c r="B59" s="27" t="s">
        <v>192</v>
      </c>
      <c r="C59" t="str">
        <f>'3 - Balance Sheet'!B27</f>
        <v>Additional Paid in Capital</v>
      </c>
      <c r="D59" t="s">
        <v>947</v>
      </c>
      <c r="E59" s="37"/>
      <c r="F59" s="23" t="e">
        <f>('3 - Balance Sheet'!E27-'3 - Balance Sheet'!D27)/'3 - Balance Sheet'!D27</f>
        <v>#DIV/0!</v>
      </c>
      <c r="G59" s="23" t="e">
        <f>('3 - Balance Sheet'!F27-'3 - Balance Sheet'!E27)/'3 - Balance Sheet'!E27</f>
        <v>#DIV/0!</v>
      </c>
      <c r="H59" s="23" t="e">
        <f>('3 - Balance Sheet'!G27-'3 - Balance Sheet'!F27)/'3 - Balance Sheet'!F27</f>
        <v>#DIV/0!</v>
      </c>
      <c r="I59" s="23" t="e">
        <f>('3 - Balance Sheet'!H27-'3 - Balance Sheet'!G27)/'3 - Balance Sheet'!G27</f>
        <v>#DIV/0!</v>
      </c>
    </row>
    <row r="60" spans="2:9" x14ac:dyDescent="0.2">
      <c r="B60" s="27" t="s">
        <v>193</v>
      </c>
      <c r="C60" t="str">
        <f>'3 - Balance Sheet'!B28</f>
        <v>Retained Earnings</v>
      </c>
      <c r="D60" t="s">
        <v>948</v>
      </c>
      <c r="E60" s="37"/>
      <c r="F60" s="23">
        <f>('3 - Balance Sheet'!E28-'3 - Balance Sheet'!D28)/'3 - Balance Sheet'!D28</f>
        <v>0.59633056569126408</v>
      </c>
      <c r="G60" s="23">
        <f>('3 - Balance Sheet'!F28-'3 - Balance Sheet'!E28)/'3 - Balance Sheet'!E28</f>
        <v>-3.3169682027403974E-2</v>
      </c>
      <c r="H60" s="23">
        <f>('3 - Balance Sheet'!G28-'3 - Balance Sheet'!F28)/'3 - Balance Sheet'!F28</f>
        <v>0.60679091090668014</v>
      </c>
      <c r="I60" s="23">
        <f>('3 - Balance Sheet'!H28-'3 - Balance Sheet'!G28)/'3 - Balance Sheet'!G28</f>
        <v>0.64303374533695778</v>
      </c>
    </row>
    <row r="61" spans="2:9" x14ac:dyDescent="0.2">
      <c r="B61" s="27" t="s">
        <v>194</v>
      </c>
      <c r="C61" t="str">
        <f>'3 - Balance Sheet'!B29</f>
        <v>Adj for Foreign Currency Transl</v>
      </c>
      <c r="D61" t="s">
        <v>949</v>
      </c>
      <c r="E61" s="37"/>
      <c r="F61" s="23" t="e">
        <f>('3 - Balance Sheet'!E29-'3 - Balance Sheet'!D29)/'3 - Balance Sheet'!D29</f>
        <v>#DIV/0!</v>
      </c>
      <c r="G61" s="23" t="e">
        <f>('3 - Balance Sheet'!F29-'3 - Balance Sheet'!E29)/'3 - Balance Sheet'!E29</f>
        <v>#DIV/0!</v>
      </c>
      <c r="H61" s="23" t="e">
        <f>('3 - Balance Sheet'!G29-'3 - Balance Sheet'!F29)/'3 - Balance Sheet'!F29</f>
        <v>#DIV/0!</v>
      </c>
      <c r="I61" s="23" t="e">
        <f>('3 - Balance Sheet'!H29-'3 - Balance Sheet'!G29)/'3 - Balance Sheet'!G29</f>
        <v>#DIV/0!</v>
      </c>
    </row>
    <row r="62" spans="2:9" x14ac:dyDescent="0.2">
      <c r="B62" s="27" t="s">
        <v>195</v>
      </c>
      <c r="C62" t="str">
        <f>'3 - Balance Sheet'!B30</f>
        <v>Treasury Stock</v>
      </c>
      <c r="D62" t="s">
        <v>950</v>
      </c>
      <c r="E62" s="37"/>
      <c r="F62" s="23" t="e">
        <f>('3 - Balance Sheet'!E30-'3 - Balance Sheet'!D30)/'3 - Balance Sheet'!D30</f>
        <v>#DIV/0!</v>
      </c>
      <c r="G62" s="23" t="e">
        <f>('3 - Balance Sheet'!F30-'3 - Balance Sheet'!E30)/'3 - Balance Sheet'!E30</f>
        <v>#DIV/0!</v>
      </c>
      <c r="H62" s="23" t="e">
        <f>('3 - Balance Sheet'!G30-'3 - Balance Sheet'!F30)/'3 - Balance Sheet'!F30</f>
        <v>#DIV/0!</v>
      </c>
      <c r="I62" s="23" t="e">
        <f>('3 - Balance Sheet'!H30-'3 - Balance Sheet'!G30)/'3 - Balance Sheet'!G30</f>
        <v>#DIV/0!</v>
      </c>
    </row>
    <row r="63" spans="2:9" x14ac:dyDescent="0.2">
      <c r="B63" s="27"/>
      <c r="E63" s="23"/>
      <c r="F63" s="23"/>
      <c r="G63" s="23"/>
      <c r="H63" s="23"/>
      <c r="I63" s="23"/>
    </row>
    <row r="64" spans="2:9" x14ac:dyDescent="0.2">
      <c r="B64" s="27" t="s">
        <v>196</v>
      </c>
      <c r="C64" t="s">
        <v>1185</v>
      </c>
      <c r="D64" t="s">
        <v>951</v>
      </c>
      <c r="E64" s="37"/>
      <c r="F64" s="23">
        <f>('3 - Balance Sheet'!E31-'3 - Balance Sheet'!D31)/'3 - Balance Sheet'!D31</f>
        <v>0.48318185566440691</v>
      </c>
      <c r="G64" s="23">
        <f>('3 - Balance Sheet'!F31-'3 - Balance Sheet'!E31)/'3 - Balance Sheet'!E31</f>
        <v>-2.8926326297405977E-2</v>
      </c>
      <c r="H64" s="23">
        <f>('3 - Balance Sheet'!G31-'3 - Balance Sheet'!F31)/'3 - Balance Sheet'!F31</f>
        <v>0.92207103740679364</v>
      </c>
      <c r="I64" s="23">
        <f>('3 - Balance Sheet'!H31-'3 - Balance Sheet'!G31)/'3 - Balance Sheet'!G31</f>
        <v>0.4667386322395824</v>
      </c>
    </row>
    <row r="65" spans="2:9" x14ac:dyDescent="0.2">
      <c r="B65" s="27"/>
      <c r="E65" s="23"/>
      <c r="F65" s="23"/>
      <c r="G65" s="23"/>
      <c r="H65" s="23"/>
      <c r="I65" s="23"/>
    </row>
    <row r="66" spans="2:9" x14ac:dyDescent="0.2">
      <c r="B66" s="27" t="s">
        <v>197</v>
      </c>
      <c r="C66" t="s">
        <v>168</v>
      </c>
      <c r="D66" t="s">
        <v>952</v>
      </c>
      <c r="E66" s="23"/>
      <c r="F66" s="23" t="e">
        <f>'7 - Ratio Analysis'!G76*(1-('3 - Balance Sheet'!#REF!)/'4 - Income Statement'!E20)</f>
        <v>#REF!</v>
      </c>
      <c r="G66" s="23" t="e">
        <f>'7 - Ratio Analysis'!H76*(1-('3 - Balance Sheet'!#REF!)/'4 - Income Statement'!F20)</f>
        <v>#REF!</v>
      </c>
      <c r="H66" s="23" t="e">
        <f>'7 - Ratio Analysis'!I76*(1-('3 - Balance Sheet'!#REF!)/'4 - Income Statement'!G20)</f>
        <v>#REF!</v>
      </c>
      <c r="I66" s="23" t="e">
        <f>'7 - Ratio Analysis'!J76*(1-('3 - Balance Sheet'!#REF!)/'4 - Income Statement'!H20)</f>
        <v>#REF!</v>
      </c>
    </row>
    <row r="67" spans="2:9" x14ac:dyDescent="0.2">
      <c r="B67" s="27" t="s">
        <v>198</v>
      </c>
      <c r="C67" t="s">
        <v>169</v>
      </c>
      <c r="D67" t="s">
        <v>953</v>
      </c>
      <c r="E67" s="23"/>
      <c r="F67" s="23" t="e">
        <f>'7 - Ratio Analysis'!G76*'3 - Balance Sheet'!#REF!</f>
        <v>#REF!</v>
      </c>
      <c r="G67" s="23" t="e">
        <f>'7 - Ratio Analysis'!H76*'3 - Balance Sheet'!#REF!</f>
        <v>#REF!</v>
      </c>
      <c r="H67" s="23" t="e">
        <f>'7 - Ratio Analysis'!I76*'3 - Balance Sheet'!#REF!</f>
        <v>#REF!</v>
      </c>
      <c r="I67" s="23" t="e">
        <f>'7 - Ratio Analysis'!J76*'3 - Balance Sheet'!#REF!</f>
        <v>#REF!</v>
      </c>
    </row>
    <row r="68" spans="2:9" x14ac:dyDescent="0.2">
      <c r="B68" s="55"/>
      <c r="E68" s="23"/>
      <c r="F68" s="23"/>
      <c r="G68" s="23"/>
      <c r="H68" s="23"/>
      <c r="I68" s="23"/>
    </row>
    <row r="69" spans="2:9" x14ac:dyDescent="0.2">
      <c r="B69" s="27" t="s">
        <v>199</v>
      </c>
      <c r="C69" t="s">
        <v>1186</v>
      </c>
      <c r="D69" t="s">
        <v>954</v>
      </c>
      <c r="E69" s="37"/>
      <c r="F69" s="23" t="e">
        <f>('6 - Key Financials'!#REF!-'6 - Key Financials'!#REF!)/'6 - Key Financials'!#REF!</f>
        <v>#REF!</v>
      </c>
      <c r="G69" s="23" t="e">
        <f>('6 - Key Financials'!#REF!-'6 - Key Financials'!#REF!)/'6 - Key Financials'!#REF!</f>
        <v>#REF!</v>
      </c>
      <c r="H69" s="23" t="e">
        <f>('6 - Key Financials'!#REF!-'6 - Key Financials'!#REF!)/'6 - Key Financials'!#REF!</f>
        <v>#REF!</v>
      </c>
      <c r="I69" s="23" t="e">
        <f>('6 - Key Financials'!#REF!-'6 - Key Financials'!#REF!)/'6 - Key Financials'!#REF!</f>
        <v>#REF!</v>
      </c>
    </row>
    <row r="70" spans="2:9" x14ac:dyDescent="0.2">
      <c r="B70" s="27"/>
    </row>
    <row r="71" spans="2:9" x14ac:dyDescent="0.2">
      <c r="B71" s="27"/>
    </row>
    <row r="72" spans="2:9" x14ac:dyDescent="0.2">
      <c r="B72" s="27"/>
    </row>
    <row r="73" spans="2:9" x14ac:dyDescent="0.2">
      <c r="B73" s="27"/>
      <c r="C73" s="2" t="s">
        <v>82</v>
      </c>
      <c r="D73" s="2"/>
    </row>
    <row r="74" spans="2:9" x14ac:dyDescent="0.2">
      <c r="B74" s="27"/>
    </row>
    <row r="75" spans="2:9" x14ac:dyDescent="0.2">
      <c r="B75" s="27"/>
    </row>
    <row r="76" spans="2:9" x14ac:dyDescent="0.2">
      <c r="B76" s="27"/>
    </row>
    <row r="77" spans="2:9" x14ac:dyDescent="0.2">
      <c r="B77" s="27"/>
    </row>
    <row r="78" spans="2:9" x14ac:dyDescent="0.2">
      <c r="B78" s="27"/>
    </row>
    <row r="79" spans="2:9" x14ac:dyDescent="0.2">
      <c r="B79" s="27"/>
    </row>
    <row r="80" spans="2:9" x14ac:dyDescent="0.2">
      <c r="B80" s="27"/>
    </row>
    <row r="81" spans="2:2" x14ac:dyDescent="0.2">
      <c r="B81" s="27"/>
    </row>
    <row r="82" spans="2:2" x14ac:dyDescent="0.2">
      <c r="B82" s="27"/>
    </row>
    <row r="83" spans="2:2" x14ac:dyDescent="0.2">
      <c r="B83" s="27"/>
    </row>
    <row r="84" spans="2:2" x14ac:dyDescent="0.2">
      <c r="B84" s="27"/>
    </row>
    <row r="85" spans="2:2" x14ac:dyDescent="0.2">
      <c r="B85" s="27"/>
    </row>
    <row r="86" spans="2:2" x14ac:dyDescent="0.2">
      <c r="B86" s="27"/>
    </row>
    <row r="87" spans="2:2" x14ac:dyDescent="0.2">
      <c r="B87" s="27"/>
    </row>
    <row r="88" spans="2:2" x14ac:dyDescent="0.2">
      <c r="B88" s="27"/>
    </row>
    <row r="89" spans="2:2" x14ac:dyDescent="0.2">
      <c r="B89" s="27"/>
    </row>
    <row r="90" spans="2:2" x14ac:dyDescent="0.2">
      <c r="B90" s="27"/>
    </row>
    <row r="91" spans="2:2" x14ac:dyDescent="0.2">
      <c r="B91" s="27"/>
    </row>
    <row r="92" spans="2:2" x14ac:dyDescent="0.2">
      <c r="B92" s="27"/>
    </row>
    <row r="93" spans="2:2" x14ac:dyDescent="0.2">
      <c r="B93" s="27"/>
    </row>
    <row r="94" spans="2:2" x14ac:dyDescent="0.2">
      <c r="B94" s="27"/>
    </row>
    <row r="95" spans="2:2" x14ac:dyDescent="0.2">
      <c r="B95" s="27"/>
    </row>
    <row r="96" spans="2:2" x14ac:dyDescent="0.2">
      <c r="B96" s="27"/>
    </row>
    <row r="97" spans="2:2" x14ac:dyDescent="0.2">
      <c r="B97" s="27"/>
    </row>
    <row r="98" spans="2:2" x14ac:dyDescent="0.2">
      <c r="B98" s="27"/>
    </row>
    <row r="99" spans="2:2" x14ac:dyDescent="0.2">
      <c r="B99" s="27"/>
    </row>
    <row r="100" spans="2:2" x14ac:dyDescent="0.2">
      <c r="B100" s="27"/>
    </row>
    <row r="101" spans="2:2" x14ac:dyDescent="0.2">
      <c r="B101" s="27"/>
    </row>
    <row r="102" spans="2:2" x14ac:dyDescent="0.2">
      <c r="B102" s="27"/>
    </row>
    <row r="103" spans="2:2" x14ac:dyDescent="0.2">
      <c r="B103" s="27"/>
    </row>
    <row r="104" spans="2:2" x14ac:dyDescent="0.2">
      <c r="B104" s="27"/>
    </row>
    <row r="105" spans="2:2" x14ac:dyDescent="0.2">
      <c r="B105" s="27"/>
    </row>
    <row r="106" spans="2:2" x14ac:dyDescent="0.2">
      <c r="B106" s="27"/>
    </row>
    <row r="107" spans="2:2" x14ac:dyDescent="0.2">
      <c r="B107" s="27"/>
    </row>
    <row r="108" spans="2:2" x14ac:dyDescent="0.2">
      <c r="B108" s="27"/>
    </row>
    <row r="109" spans="2:2" x14ac:dyDescent="0.2">
      <c r="B109" s="27"/>
    </row>
    <row r="110" spans="2:2" x14ac:dyDescent="0.2">
      <c r="B110" s="27"/>
    </row>
    <row r="111" spans="2:2" x14ac:dyDescent="0.2">
      <c r="B111" s="27"/>
    </row>
    <row r="112" spans="2:2" x14ac:dyDescent="0.2">
      <c r="B112" s="27"/>
    </row>
  </sheetData>
  <customSheetViews>
    <customSheetView guid="{250789E3-B657-4A6D-AD7D-7EE7A7132AFA}" showRuler="0">
      <selection activeCell="D68" sqref="D68"/>
      <pageMargins left="0.75" right="0.75" top="1" bottom="1" header="0.5" footer="0.5"/>
      <pageSetup orientation="portrait" horizontalDpi="300" verticalDpi="300" r:id="rId1"/>
      <headerFooter alignWithMargins="0"/>
    </customSheetView>
  </customSheetViews>
  <mergeCells count="2">
    <mergeCell ref="C9:D9"/>
    <mergeCell ref="C7:D7"/>
  </mergeCells>
  <phoneticPr fontId="0" type="noConversion"/>
  <hyperlinks>
    <hyperlink ref="A2" location="'3 - Balance Sheet'!A1" display="Wksh3" xr:uid="{00000000-0004-0000-0800-000000000000}"/>
    <hyperlink ref="B2" location="'4 - Income Statement'!A1" display="Wksh4" xr:uid="{00000000-0004-0000-0800-000001000000}"/>
    <hyperlink ref="B3" location="'6 - Key Financials'!A1" display="Wksh6" xr:uid="{00000000-0004-0000-0800-000002000000}"/>
    <hyperlink ref="A3" location="'5 - Cash Flow'!A1" display="Wksh5" xr:uid="{00000000-0004-0000-0800-000003000000}"/>
    <hyperlink ref="A4" location="'7 - Ratio Analysis'!A1" display="Wksh7" xr:uid="{00000000-0004-0000-0800-000004000000}"/>
    <hyperlink ref="B5" location="'10 - Vertical Analysis'!A1" display="Wksh10" xr:uid="{00000000-0004-0000-0800-000005000000}"/>
    <hyperlink ref="A6" location="'11 - Pro Forma (Simple)'!A1" display="Wksh11" xr:uid="{00000000-0004-0000-0800-000006000000}"/>
    <hyperlink ref="B6" location="'12 - Pro Forma (Linear) '!A1" display="Wksh12" xr:uid="{00000000-0004-0000-0800-000007000000}"/>
    <hyperlink ref="B8" location="'16 - Final Budgets'!A1" display="Wksh16" xr:uid="{00000000-0004-0000-0800-000008000000}"/>
    <hyperlink ref="A8" location="'15 -Budget Analysis'!A1" display="Wksh15" xr:uid="{00000000-0004-0000-0800-000009000000}"/>
    <hyperlink ref="B7" location="'14 - Scenario Analysis'!A1" display="Wksh14" xr:uid="{00000000-0004-0000-0800-00000A000000}"/>
    <hyperlink ref="A7" location="'13 - Pro Forma (Exp)'!A1" display="Wksh13" xr:uid="{00000000-0004-0000-0800-00000B000000}"/>
    <hyperlink ref="B4" location="'8 - Benchmark Analysis'!A1" display="Wksh8" xr:uid="{00000000-0004-0000-0800-00000C000000}"/>
    <hyperlink ref="A1" location="'1 - Control Menu'!A1" display="Home" xr:uid="{00000000-0004-0000-0800-00000D000000}"/>
    <hyperlink ref="B1" location="'2 - General Input'!A1" display="Wksh2" xr:uid="{00000000-0004-0000-0800-00000E000000}"/>
  </hyperlinks>
  <pageMargins left="0.75" right="0.75" top="1" bottom="1" header="0.5" footer="0.5"/>
  <pageSetup scale="89" orientation="portrait" horizontalDpi="300" verticalDpi="300" r:id="rId2"/>
  <headerFooter alignWithMargins="0"/>
  <rowBreaks count="3" manualBreakCount="3">
    <brk id="50" max="7" man="1"/>
    <brk id="102" max="7" man="1"/>
    <brk id="158" max="7" man="1"/>
  </rowBreaks>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J215"/>
  <sheetViews>
    <sheetView topLeftCell="E70" zoomScaleNormal="100" workbookViewId="0">
      <selection activeCell="H77" sqref="H77"/>
    </sheetView>
  </sheetViews>
  <sheetFormatPr defaultRowHeight="12.75" x14ac:dyDescent="0.2"/>
  <cols>
    <col min="2" max="3" width="7.7109375" customWidth="1"/>
    <col min="4" max="5" width="36.140625" customWidth="1"/>
    <col min="6" max="7" width="13.5703125" bestFit="1" customWidth="1"/>
    <col min="8" max="10" width="10.7109375" customWidth="1"/>
  </cols>
  <sheetData>
    <row r="1" spans="1:10" ht="15.75" x14ac:dyDescent="0.25">
      <c r="B1" s="50" t="s">
        <v>1065</v>
      </c>
      <c r="C1" s="50" t="s">
        <v>36</v>
      </c>
      <c r="D1" s="115" t="s">
        <v>1199</v>
      </c>
      <c r="E1" s="115" t="s">
        <v>955</v>
      </c>
    </row>
    <row r="2" spans="1:10" ht="15.75" x14ac:dyDescent="0.25">
      <c r="B2" s="50" t="s">
        <v>1344</v>
      </c>
      <c r="C2" s="50" t="s">
        <v>1345</v>
      </c>
      <c r="D2" s="5">
        <f>'2 - General Input'!C6</f>
        <v>0</v>
      </c>
      <c r="E2" s="5"/>
    </row>
    <row r="3" spans="1:10" x14ac:dyDescent="0.2">
      <c r="B3" s="50" t="s">
        <v>1346</v>
      </c>
      <c r="C3" s="50" t="s">
        <v>1347</v>
      </c>
      <c r="D3" s="4"/>
      <c r="E3" s="4"/>
      <c r="F3" s="10"/>
      <c r="G3" s="10"/>
      <c r="H3" s="10"/>
      <c r="I3" s="10"/>
      <c r="J3" s="10"/>
    </row>
    <row r="4" spans="1:10" x14ac:dyDescent="0.2">
      <c r="B4" s="50" t="s">
        <v>1348</v>
      </c>
      <c r="C4" s="50" t="s">
        <v>35</v>
      </c>
      <c r="D4" s="10" t="s">
        <v>1204</v>
      </c>
      <c r="E4" s="10"/>
      <c r="F4" s="10"/>
      <c r="G4" s="10"/>
      <c r="H4" s="10"/>
      <c r="I4" s="10"/>
      <c r="J4" s="10"/>
    </row>
    <row r="5" spans="1:10" x14ac:dyDescent="0.2">
      <c r="B5" s="50" t="s">
        <v>1349</v>
      </c>
      <c r="C5" s="53" t="s">
        <v>1352</v>
      </c>
      <c r="D5" s="10" t="s">
        <v>1208</v>
      </c>
      <c r="E5" s="10"/>
      <c r="F5" s="10"/>
      <c r="G5" s="10"/>
      <c r="H5" s="10"/>
      <c r="I5" s="10"/>
      <c r="J5" s="10"/>
    </row>
    <row r="6" spans="1:10" x14ac:dyDescent="0.2">
      <c r="B6" s="50" t="s">
        <v>1351</v>
      </c>
      <c r="C6" s="50" t="s">
        <v>30</v>
      </c>
      <c r="D6" s="167" t="s">
        <v>956</v>
      </c>
      <c r="E6" s="167"/>
      <c r="F6" s="2" t="s">
        <v>788</v>
      </c>
      <c r="G6" s="10"/>
      <c r="H6" s="10"/>
      <c r="I6" s="10"/>
      <c r="J6" s="10"/>
    </row>
    <row r="7" spans="1:10" x14ac:dyDescent="0.2">
      <c r="B7" s="50" t="s">
        <v>32</v>
      </c>
      <c r="C7" s="50" t="s">
        <v>31</v>
      </c>
      <c r="D7" s="183" t="s">
        <v>957</v>
      </c>
      <c r="E7" s="183"/>
      <c r="F7" s="10"/>
      <c r="G7" s="10"/>
      <c r="H7" s="10"/>
      <c r="I7" s="10"/>
      <c r="J7" s="10"/>
    </row>
    <row r="8" spans="1:10" x14ac:dyDescent="0.2">
      <c r="B8" s="50" t="s">
        <v>33</v>
      </c>
      <c r="C8" s="50" t="s">
        <v>34</v>
      </c>
      <c r="F8" s="184" t="s">
        <v>1200</v>
      </c>
      <c r="G8" s="184"/>
      <c r="H8" s="184"/>
      <c r="I8" s="184"/>
      <c r="J8" s="184"/>
    </row>
    <row r="9" spans="1:10" x14ac:dyDescent="0.2">
      <c r="F9" s="3" t="str">
        <f>'2 - General Input'!C8</f>
        <v>Annual  سنوى</v>
      </c>
      <c r="G9" s="3" t="str">
        <f>'2 - General Input'!C8</f>
        <v>Annual  سنوى</v>
      </c>
      <c r="H9" s="3" t="str">
        <f>'2 - General Input'!C8</f>
        <v>Annual  سنوى</v>
      </c>
      <c r="I9" s="3" t="str">
        <f>'2 - General Input'!C8</f>
        <v>Annual  سنوى</v>
      </c>
      <c r="J9" s="3" t="str">
        <f>'2 - General Input'!C8</f>
        <v>Annual  سنوى</v>
      </c>
    </row>
    <row r="10" spans="1:10" x14ac:dyDescent="0.2">
      <c r="F10" s="3" t="s">
        <v>801</v>
      </c>
      <c r="G10" s="3" t="s">
        <v>801</v>
      </c>
      <c r="H10" s="3" t="s">
        <v>801</v>
      </c>
      <c r="I10" s="3" t="s">
        <v>801</v>
      </c>
      <c r="J10" s="3" t="s">
        <v>801</v>
      </c>
    </row>
    <row r="11" spans="1:10" x14ac:dyDescent="0.2">
      <c r="C11" s="3" t="s">
        <v>792</v>
      </c>
      <c r="D11" s="3" t="s">
        <v>1201</v>
      </c>
      <c r="E11" s="3" t="s">
        <v>116</v>
      </c>
      <c r="F11" s="3">
        <f>'2 - General Input'!C18</f>
        <v>2005</v>
      </c>
      <c r="G11" s="3">
        <f>'2 - General Input'!C17</f>
        <v>2006</v>
      </c>
      <c r="H11" s="3">
        <f>'2 - General Input'!C16</f>
        <v>2007</v>
      </c>
      <c r="I11" s="3">
        <f>'2 - General Input'!C15</f>
        <v>2008</v>
      </c>
      <c r="J11" s="3">
        <f>'2 - General Input'!C14</f>
        <v>2009</v>
      </c>
    </row>
    <row r="13" spans="1:10" x14ac:dyDescent="0.2">
      <c r="A13" s="182" t="s">
        <v>487</v>
      </c>
      <c r="B13" s="182" t="s">
        <v>790</v>
      </c>
      <c r="C13" s="27" t="s">
        <v>1210</v>
      </c>
      <c r="D13" t="str">
        <f>'3 - Balance Sheet'!B2</f>
        <v>Cash and Cash Equivalents</v>
      </c>
      <c r="E13" t="s">
        <v>958</v>
      </c>
      <c r="F13" s="23">
        <f>'3 - Balance Sheet'!D2/'3 - Balance Sheet'!$D$15</f>
        <v>2.7269930020935047E-2</v>
      </c>
      <c r="G13" s="23">
        <f>'3 - Balance Sheet'!E2/'3 - Balance Sheet'!$E$15</f>
        <v>7.6578575662896997E-2</v>
      </c>
      <c r="H13" s="23">
        <f>'3 - Balance Sheet'!F2/'3 - Balance Sheet'!$F$15</f>
        <v>3.5788927052075356E-2</v>
      </c>
      <c r="I13" s="23">
        <f>'3 - Balance Sheet'!G2/'3 - Balance Sheet'!$G$15</f>
        <v>7.3816161064659935E-2</v>
      </c>
      <c r="J13" s="23">
        <f>'3 - Balance Sheet'!H2/'3 - Balance Sheet'!$H$15</f>
        <v>3.0074877982737273E-2</v>
      </c>
    </row>
    <row r="14" spans="1:10" x14ac:dyDescent="0.2">
      <c r="A14" s="168"/>
      <c r="B14" s="168"/>
      <c r="C14" s="27" t="s">
        <v>1211</v>
      </c>
      <c r="D14" t="str">
        <f>'3 - Balance Sheet'!B3</f>
        <v>Short Term Marketable Securities</v>
      </c>
      <c r="E14" t="s">
        <v>959</v>
      </c>
      <c r="F14" s="23">
        <f>'3 - Balance Sheet'!D3/'3 - Balance Sheet'!$D$15</f>
        <v>0</v>
      </c>
      <c r="G14" s="23">
        <f>'3 - Balance Sheet'!E3/'3 - Balance Sheet'!$E$15</f>
        <v>0</v>
      </c>
      <c r="H14" s="23">
        <f>'3 - Balance Sheet'!F3/'3 - Balance Sheet'!$F$15</f>
        <v>0</v>
      </c>
      <c r="I14" s="23">
        <f>'3 - Balance Sheet'!G3/'3 - Balance Sheet'!$G$15</f>
        <v>0</v>
      </c>
      <c r="J14" s="23">
        <f>'3 - Balance Sheet'!H3/'3 - Balance Sheet'!$H$15</f>
        <v>0</v>
      </c>
    </row>
    <row r="15" spans="1:10" x14ac:dyDescent="0.2">
      <c r="A15" s="168"/>
      <c r="B15" s="168"/>
      <c r="C15" s="27" t="s">
        <v>1212</v>
      </c>
      <c r="D15" t="str">
        <f>'3 - Balance Sheet'!B4</f>
        <v>Accounts Receivable</v>
      </c>
      <c r="E15" t="s">
        <v>928</v>
      </c>
      <c r="F15" s="23">
        <f>'3 - Balance Sheet'!D4/'3 - Balance Sheet'!$D$15</f>
        <v>0.36828862169665533</v>
      </c>
      <c r="G15" s="23">
        <f>'3 - Balance Sheet'!E4/'3 - Balance Sheet'!$E$15</f>
        <v>0.15928323078136836</v>
      </c>
      <c r="H15" s="23">
        <f>'3 - Balance Sheet'!F4/'3 - Balance Sheet'!$F$15</f>
        <v>0.23417620141126547</v>
      </c>
      <c r="I15" s="23">
        <f>'3 - Balance Sheet'!G4/'3 - Balance Sheet'!$G$15</f>
        <v>0.23103550027477396</v>
      </c>
      <c r="J15" s="23">
        <f>'3 - Balance Sheet'!H4/'3 - Balance Sheet'!$H$15</f>
        <v>0.26797006227811176</v>
      </c>
    </row>
    <row r="16" spans="1:10" x14ac:dyDescent="0.2">
      <c r="A16" s="168"/>
      <c r="B16" s="168"/>
      <c r="C16" s="27" t="s">
        <v>1213</v>
      </c>
      <c r="D16" t="str">
        <f>'3 - Balance Sheet'!B5</f>
        <v xml:space="preserve">Inventory </v>
      </c>
      <c r="E16" t="s">
        <v>766</v>
      </c>
      <c r="F16" s="23">
        <f>'3 - Balance Sheet'!D5/'3 - Balance Sheet'!$D$15</f>
        <v>2.8711476115350573E-2</v>
      </c>
      <c r="G16" s="23">
        <f>'3 - Balance Sheet'!E5/'3 - Balance Sheet'!$E$15</f>
        <v>2.160870919328987E-2</v>
      </c>
      <c r="H16" s="23">
        <f>'3 - Balance Sheet'!F5/'3 - Balance Sheet'!$F$15</f>
        <v>3.3682759988574923E-2</v>
      </c>
      <c r="I16" s="23">
        <f>'3 - Balance Sheet'!G5/'3 - Balance Sheet'!$G$15</f>
        <v>5.1854447073787287E-2</v>
      </c>
      <c r="J16" s="23">
        <f>'3 - Balance Sheet'!H5/'3 - Balance Sheet'!$H$15</f>
        <v>0.12676205295274484</v>
      </c>
    </row>
    <row r="17" spans="1:10" x14ac:dyDescent="0.2">
      <c r="A17" s="168"/>
      <c r="B17" s="168"/>
      <c r="C17" s="27" t="s">
        <v>1214</v>
      </c>
      <c r="D17" s="61" t="str">
        <f>'3 - Balance Sheet'!B6</f>
        <v>Other Current Assets</v>
      </c>
      <c r="E17" s="61" t="s">
        <v>960</v>
      </c>
      <c r="F17" s="73">
        <f>'3 - Balance Sheet'!D6/'3 - Balance Sheet'!$D$15</f>
        <v>0.1269047827781839</v>
      </c>
      <c r="G17" s="73">
        <f>'3 - Balance Sheet'!E6/'3 - Balance Sheet'!$E$15</f>
        <v>0.1090759747945937</v>
      </c>
      <c r="H17" s="73">
        <f>'3 - Balance Sheet'!F6/'3 - Balance Sheet'!$F$15</f>
        <v>0.11027918916902081</v>
      </c>
      <c r="I17" s="73">
        <f>'3 - Balance Sheet'!G6/'3 - Balance Sheet'!$G$15</f>
        <v>0.10975181552181396</v>
      </c>
      <c r="J17" s="73">
        <f>'3 - Balance Sheet'!H6/'3 - Balance Sheet'!$H$15</f>
        <v>9.5030026815658281E-2</v>
      </c>
    </row>
    <row r="18" spans="1:10" ht="12.75" customHeight="1" x14ac:dyDescent="0.2">
      <c r="A18" s="168"/>
      <c r="B18" s="168"/>
      <c r="C18" s="27" t="s">
        <v>1215</v>
      </c>
      <c r="D18" t="s">
        <v>818</v>
      </c>
      <c r="E18" t="s">
        <v>961</v>
      </c>
      <c r="F18" s="23">
        <f>'3 - Balance Sheet'!D7/'3 - Balance Sheet'!D15</f>
        <v>0.55117481061112483</v>
      </c>
      <c r="G18" s="23">
        <f>'3 - Balance Sheet'!E7/'3 - Balance Sheet'!E15</f>
        <v>0.36654649043214893</v>
      </c>
      <c r="H18" s="23">
        <f>'3 - Balance Sheet'!F7/'3 - Balance Sheet'!F15</f>
        <v>0.41392707762093656</v>
      </c>
      <c r="I18" s="23">
        <f>'3 - Balance Sheet'!G7/'3 - Balance Sheet'!G15</f>
        <v>0.46645792393503516</v>
      </c>
      <c r="J18" s="23">
        <f>'3 - Balance Sheet'!H7/'3 - Balance Sheet'!H15</f>
        <v>0.51983702002925214</v>
      </c>
    </row>
    <row r="19" spans="1:10" x14ac:dyDescent="0.2">
      <c r="A19" s="168"/>
      <c r="B19" s="168"/>
      <c r="C19" s="27"/>
      <c r="F19" s="23"/>
      <c r="G19" s="23"/>
      <c r="H19" s="23"/>
      <c r="I19" s="23"/>
      <c r="J19" s="23"/>
    </row>
    <row r="20" spans="1:10" x14ac:dyDescent="0.2">
      <c r="A20" s="168"/>
      <c r="B20" s="168"/>
      <c r="C20" s="27" t="s">
        <v>1215</v>
      </c>
      <c r="D20" t="str">
        <f>'3 - Balance Sheet'!B10</f>
        <v>Net Fixed Assets</v>
      </c>
      <c r="E20" t="s">
        <v>962</v>
      </c>
      <c r="F20" s="23">
        <f>'3 - Balance Sheet'!D10/'3 - Balance Sheet'!D15</f>
        <v>0.44882518938887517</v>
      </c>
      <c r="G20" s="23">
        <f>'3 - Balance Sheet'!E10/'3 - Balance Sheet'!$E$15</f>
        <v>0.63345350956785107</v>
      </c>
      <c r="H20" s="23">
        <f>'3 - Balance Sheet'!F10/'3 - Balance Sheet'!$F$15</f>
        <v>0.5860729223790635</v>
      </c>
      <c r="I20" s="23">
        <f>'3 - Balance Sheet'!G10/'3 - Balance Sheet'!$G$15</f>
        <v>0.53354207606496484</v>
      </c>
      <c r="J20" s="23">
        <f>'3 - Balance Sheet'!H10/'3 - Balance Sheet'!$H$15</f>
        <v>0.48016297997074786</v>
      </c>
    </row>
    <row r="21" spans="1:10" x14ac:dyDescent="0.2">
      <c r="A21" s="168"/>
      <c r="B21" s="168"/>
      <c r="C21" s="27" t="s">
        <v>1216</v>
      </c>
      <c r="D21" t="str">
        <f>'3 - Balance Sheet'!B11</f>
        <v xml:space="preserve">Longterm Investments </v>
      </c>
      <c r="E21" t="s">
        <v>931</v>
      </c>
      <c r="F21" s="23">
        <f>'3 - Balance Sheet'!D11/'3 - Balance Sheet'!$D$15</f>
        <v>0</v>
      </c>
      <c r="G21" s="23">
        <f>'3 - Balance Sheet'!E11/'3 - Balance Sheet'!$E$15</f>
        <v>0</v>
      </c>
      <c r="H21" s="23">
        <f>'3 - Balance Sheet'!F11/'3 - Balance Sheet'!$F$15</f>
        <v>0</v>
      </c>
      <c r="I21" s="23">
        <f>'3 - Balance Sheet'!G11/'3 - Balance Sheet'!$G$15</f>
        <v>0</v>
      </c>
      <c r="J21" s="23">
        <f>'3 - Balance Sheet'!H11/'3 - Balance Sheet'!$H$15</f>
        <v>0</v>
      </c>
    </row>
    <row r="22" spans="1:10" x14ac:dyDescent="0.2">
      <c r="A22" s="168"/>
      <c r="B22" s="168"/>
      <c r="C22" s="27" t="s">
        <v>1217</v>
      </c>
      <c r="D22" t="str">
        <f>'3 - Balance Sheet'!B12</f>
        <v>Investments in Other Companies</v>
      </c>
      <c r="E22" t="s">
        <v>771</v>
      </c>
      <c r="F22" s="23">
        <f>'3 - Balance Sheet'!D12/'3 - Balance Sheet'!$D$15</f>
        <v>0</v>
      </c>
      <c r="G22" s="23">
        <f>'3 - Balance Sheet'!E12/'3 - Balance Sheet'!$E$15</f>
        <v>0</v>
      </c>
      <c r="H22" s="23">
        <f>'3 - Balance Sheet'!F12/'3 - Balance Sheet'!$F$15</f>
        <v>0</v>
      </c>
      <c r="I22" s="23">
        <f>'3 - Balance Sheet'!G12/'3 - Balance Sheet'!$G$15</f>
        <v>0</v>
      </c>
      <c r="J22" s="23">
        <f>'3 - Balance Sheet'!H12/'3 - Balance Sheet'!$H$15</f>
        <v>0</v>
      </c>
    </row>
    <row r="23" spans="1:10" x14ac:dyDescent="0.2">
      <c r="A23" s="168"/>
      <c r="B23" s="168"/>
      <c r="C23" s="27" t="s">
        <v>1218</v>
      </c>
      <c r="D23" s="61" t="str">
        <f>'3 - Balance Sheet'!B13</f>
        <v>Intangibles and Other Assets</v>
      </c>
      <c r="E23" s="61" t="s">
        <v>963</v>
      </c>
      <c r="F23" s="73">
        <f>'3 - Balance Sheet'!D13/'3 - Balance Sheet'!$D$15</f>
        <v>0</v>
      </c>
      <c r="G23" s="73">
        <f>'3 - Balance Sheet'!E13/'3 - Balance Sheet'!$E$15</f>
        <v>0</v>
      </c>
      <c r="H23" s="73">
        <f>'3 - Balance Sheet'!F13/'3 - Balance Sheet'!$F$15</f>
        <v>0</v>
      </c>
      <c r="I23" s="73">
        <f>'3 - Balance Sheet'!G13/'3 - Balance Sheet'!$G$15</f>
        <v>0</v>
      </c>
      <c r="J23" s="73">
        <f>'3 - Balance Sheet'!H13/'3 - Balance Sheet'!$H$15</f>
        <v>0</v>
      </c>
    </row>
    <row r="24" spans="1:10" x14ac:dyDescent="0.2">
      <c r="A24" s="168"/>
      <c r="B24" s="168"/>
      <c r="C24" s="27" t="s">
        <v>1219</v>
      </c>
      <c r="D24" t="s">
        <v>1202</v>
      </c>
      <c r="E24" t="s">
        <v>964</v>
      </c>
      <c r="F24" s="23">
        <f>SUM([0]!noncurrentassets5)/'3 - Balance Sheet'!D15</f>
        <v>0.44882518938887517</v>
      </c>
      <c r="G24" s="23">
        <f>SUM([0]!noncurrentassets4)/'3 - Balance Sheet'!E15</f>
        <v>0.63345350956785107</v>
      </c>
      <c r="H24" s="23">
        <f>SUM([0]!noncurrentassets3)/'3 - Balance Sheet'!F15</f>
        <v>0.5860729223790635</v>
      </c>
      <c r="I24" s="23">
        <f>SUM([0]!noncurrentassets2)/'3 - Balance Sheet'!G15</f>
        <v>0.53354207606496484</v>
      </c>
      <c r="J24" s="23">
        <f>SUM([0]!noncurrentassets1)/'3 - Balance Sheet'!H15</f>
        <v>0.48016297997074786</v>
      </c>
    </row>
    <row r="25" spans="1:10" x14ac:dyDescent="0.2">
      <c r="A25" s="168"/>
      <c r="B25" s="168"/>
      <c r="C25" s="27"/>
      <c r="F25" s="23"/>
      <c r="G25" s="23"/>
      <c r="H25" s="23"/>
      <c r="I25" s="23"/>
      <c r="J25" s="23"/>
    </row>
    <row r="26" spans="1:10" ht="13.5" thickBot="1" x14ac:dyDescent="0.25">
      <c r="A26" s="168"/>
      <c r="B26" s="168"/>
      <c r="C26" s="27" t="s">
        <v>1220</v>
      </c>
      <c r="D26" s="65" t="s">
        <v>826</v>
      </c>
      <c r="E26" s="65" t="s">
        <v>556</v>
      </c>
      <c r="F26" s="74">
        <f>F18+F24</f>
        <v>1</v>
      </c>
      <c r="G26" s="74">
        <f>G18+G24</f>
        <v>1</v>
      </c>
      <c r="H26" s="74">
        <f>H18+H24</f>
        <v>1</v>
      </c>
      <c r="I26" s="74">
        <f>I18+I24</f>
        <v>1</v>
      </c>
      <c r="J26" s="74">
        <f>J18+J24</f>
        <v>1</v>
      </c>
    </row>
    <row r="27" spans="1:10" ht="13.5" thickTop="1" x14ac:dyDescent="0.2">
      <c r="A27" s="168"/>
      <c r="B27" s="168"/>
      <c r="C27" s="27"/>
      <c r="F27" s="23"/>
      <c r="G27" s="23"/>
      <c r="H27" s="23"/>
      <c r="I27" s="23"/>
      <c r="J27" s="23"/>
    </row>
    <row r="28" spans="1:10" x14ac:dyDescent="0.2">
      <c r="A28" s="168"/>
      <c r="B28" s="168"/>
      <c r="C28" s="27" t="s">
        <v>1221</v>
      </c>
      <c r="D28" t="str">
        <f>'3 - Balance Sheet'!B16</f>
        <v>Accounts Payable</v>
      </c>
      <c r="E28" t="s">
        <v>936</v>
      </c>
      <c r="F28" s="23">
        <f>'3 - Balance Sheet'!D16/'3 - Balance Sheet'!$D$15</f>
        <v>0.36165076369722382</v>
      </c>
      <c r="G28" s="23">
        <f>'3 - Balance Sheet'!E16/'3 - Balance Sheet'!$E$15</f>
        <v>0.36663625057120969</v>
      </c>
      <c r="H28" s="23">
        <f>'3 - Balance Sheet'!F16/'3 - Balance Sheet'!$F$15</f>
        <v>7.547229404351781E-2</v>
      </c>
      <c r="I28" s="23">
        <f>'3 - Balance Sheet'!G16/'3 - Balance Sheet'!$G$15</f>
        <v>6.4995728314131473E-2</v>
      </c>
      <c r="J28" s="23">
        <f>'3 - Balance Sheet'!H16/'3 - Balance Sheet'!$H$15</f>
        <v>5.189893241908649E-2</v>
      </c>
    </row>
    <row r="29" spans="1:10" x14ac:dyDescent="0.2">
      <c r="A29" s="168"/>
      <c r="B29" s="168"/>
      <c r="C29" s="27" t="s">
        <v>59</v>
      </c>
      <c r="D29" t="str">
        <f>'3 - Balance Sheet'!B17</f>
        <v>Short Term Borrowings</v>
      </c>
      <c r="E29" t="s">
        <v>557</v>
      </c>
      <c r="F29" s="23">
        <f>'3 - Balance Sheet'!D17/'3 - Balance Sheet'!$D$15</f>
        <v>0.14625599104146603</v>
      </c>
      <c r="G29" s="23">
        <f>'3 - Balance Sheet'!E17/'3 - Balance Sheet'!$E$15</f>
        <v>9.1799753090213751E-2</v>
      </c>
      <c r="H29" s="23">
        <f>'3 - Balance Sheet'!F17/'3 - Balance Sheet'!$F$15</f>
        <v>0.38301093639446049</v>
      </c>
      <c r="I29" s="23">
        <f>'3 - Balance Sheet'!G17/'3 - Balance Sheet'!$G$15</f>
        <v>0.36561234407601062</v>
      </c>
      <c r="J29" s="23">
        <f>'3 - Balance Sheet'!H17/'3 - Balance Sheet'!$H$15</f>
        <v>0.12767285001021067</v>
      </c>
    </row>
    <row r="30" spans="1:10" x14ac:dyDescent="0.2">
      <c r="A30" s="168"/>
      <c r="B30" s="168"/>
      <c r="C30" s="27" t="s">
        <v>60</v>
      </c>
      <c r="D30" t="str">
        <f>'3 - Balance Sheet'!B18</f>
        <v>Short Term Portion of LT Debt</v>
      </c>
      <c r="E30" t="s">
        <v>965</v>
      </c>
      <c r="F30" s="23">
        <f>'3 - Balance Sheet'!D18/'3 - Balance Sheet'!$D$15</f>
        <v>0</v>
      </c>
      <c r="G30" s="23">
        <f>'3 - Balance Sheet'!E18/'3 - Balance Sheet'!$E$15</f>
        <v>0</v>
      </c>
      <c r="H30" s="23">
        <f>'3 - Balance Sheet'!F18/'3 - Balance Sheet'!$F$15</f>
        <v>0</v>
      </c>
      <c r="I30" s="23">
        <f>'3 - Balance Sheet'!G18/'3 - Balance Sheet'!$G$15</f>
        <v>0</v>
      </c>
      <c r="J30" s="23">
        <f>'3 - Balance Sheet'!H18/'3 - Balance Sheet'!$H$15</f>
        <v>0</v>
      </c>
    </row>
    <row r="31" spans="1:10" x14ac:dyDescent="0.2">
      <c r="A31" s="168"/>
      <c r="B31" s="168"/>
      <c r="C31" s="27" t="s">
        <v>61</v>
      </c>
      <c r="D31" s="61" t="str">
        <f>'3 - Balance Sheet'!B19</f>
        <v>Other Current Liabilities</v>
      </c>
      <c r="E31" s="61" t="s">
        <v>966</v>
      </c>
      <c r="F31" s="73">
        <f>'3 - Balance Sheet'!D19/'3 - Balance Sheet'!$D$15</f>
        <v>3.8843569001994045E-2</v>
      </c>
      <c r="G31" s="73">
        <f>'3 - Balance Sheet'!E19/'3 - Balance Sheet'!$E$15</f>
        <v>5.6741594614727379E-2</v>
      </c>
      <c r="H31" s="73">
        <f>'3 - Balance Sheet'!F19/'3 - Balance Sheet'!$F$15</f>
        <v>0.12421007893823616</v>
      </c>
      <c r="I31" s="73">
        <f>'3 - Balance Sheet'!G19/'3 - Balance Sheet'!$G$15</f>
        <v>0.17962149854697157</v>
      </c>
      <c r="J31" s="73">
        <f>'3 - Balance Sheet'!H19/'3 - Balance Sheet'!$H$15</f>
        <v>0.24577456540674791</v>
      </c>
    </row>
    <row r="32" spans="1:10" x14ac:dyDescent="0.2">
      <c r="A32" s="168"/>
      <c r="B32" s="168"/>
      <c r="C32" s="27" t="s">
        <v>62</v>
      </c>
      <c r="D32" t="str">
        <f>'3 - Balance Sheet'!B20</f>
        <v>Total Current Liabilities</v>
      </c>
      <c r="E32" t="s">
        <v>967</v>
      </c>
      <c r="F32" s="23">
        <f>'3 - Balance Sheet'!D20/'3 - Balance Sheet'!D15</f>
        <v>0.54675032374068389</v>
      </c>
      <c r="G32" s="23">
        <f>'3 - Balance Sheet'!E20/'3 - Balance Sheet'!E15</f>
        <v>0.51517759827615084</v>
      </c>
      <c r="H32" s="23">
        <f>'3 - Balance Sheet'!F20/'3 - Balance Sheet'!F15</f>
        <v>0.58269330937621444</v>
      </c>
      <c r="I32" s="23">
        <f>'3 - Balance Sheet'!G20/'3 - Balance Sheet'!G15</f>
        <v>0.61022957093711372</v>
      </c>
      <c r="J32" s="23">
        <f>'3 - Balance Sheet'!H20/'3 - Balance Sheet'!H15</f>
        <v>0.42534634783604508</v>
      </c>
    </row>
    <row r="33" spans="1:10" x14ac:dyDescent="0.2">
      <c r="A33" s="168"/>
      <c r="B33" s="168"/>
      <c r="C33" s="27"/>
      <c r="F33" s="23"/>
      <c r="G33" s="23"/>
      <c r="H33" s="23"/>
      <c r="I33" s="23"/>
      <c r="J33" s="23"/>
    </row>
    <row r="34" spans="1:10" x14ac:dyDescent="0.2">
      <c r="A34" s="168"/>
      <c r="B34" s="168"/>
      <c r="C34" s="27" t="s">
        <v>63</v>
      </c>
      <c r="D34" t="str">
        <f>'3 - Balance Sheet'!B21</f>
        <v>Longterm Debt / Borrowings</v>
      </c>
      <c r="E34" t="s">
        <v>968</v>
      </c>
      <c r="F34" s="23">
        <f>'3 - Balance Sheet'!D21/'3 - Balance Sheet'!$D$15</f>
        <v>0</v>
      </c>
      <c r="G34" s="23">
        <f>'3 - Balance Sheet'!E21/'3 - Balance Sheet'!$E$15</f>
        <v>9.9151865788093763E-2</v>
      </c>
      <c r="H34" s="23">
        <f>'3 - Balance Sheet'!F21/'3 - Balance Sheet'!$F$15</f>
        <v>0.11898124504294241</v>
      </c>
      <c r="I34" s="23">
        <f>'3 - Balance Sheet'!G21/'3 - Balance Sheet'!$G$15</f>
        <v>5.0457387470800821E-2</v>
      </c>
      <c r="J34" s="23">
        <f>'3 - Balance Sheet'!H21/'3 - Balance Sheet'!$H$15</f>
        <v>0.18420604472419502</v>
      </c>
    </row>
    <row r="35" spans="1:10" x14ac:dyDescent="0.2">
      <c r="A35" s="168"/>
      <c r="B35" s="168"/>
      <c r="C35" s="27" t="s">
        <v>64</v>
      </c>
      <c r="D35" s="61" t="str">
        <f>'3 - Balance Sheet'!B22</f>
        <v>Other Longterm Liabilities</v>
      </c>
      <c r="E35" s="61" t="s">
        <v>942</v>
      </c>
      <c r="F35" s="73">
        <f>'3 - Balance Sheet'!D22/'3 - Balance Sheet'!$D$15</f>
        <v>9.7188127563686954E-3</v>
      </c>
      <c r="G35" s="73">
        <f>'3 - Balance Sheet'!E22/'3 - Balance Sheet'!$E$15</f>
        <v>7.1685831378512496E-3</v>
      </c>
      <c r="H35" s="73">
        <f>'3 - Balance Sheet'!F22/'3 - Balance Sheet'!$F$15</f>
        <v>1.4554964561251764E-2</v>
      </c>
      <c r="I35" s="73">
        <f>'3 - Balance Sheet'!G22/'3 - Balance Sheet'!$G$15</f>
        <v>1.4301114562543751E-2</v>
      </c>
      <c r="J35" s="73">
        <f>'3 - Balance Sheet'!H22/'3 - Balance Sheet'!$H$15</f>
        <v>9.7977781789440922E-3</v>
      </c>
    </row>
    <row r="36" spans="1:10" x14ac:dyDescent="0.2">
      <c r="A36" s="168"/>
      <c r="B36" s="168"/>
      <c r="C36" s="27" t="s">
        <v>65</v>
      </c>
      <c r="D36" t="s">
        <v>58</v>
      </c>
      <c r="E36" t="s">
        <v>969</v>
      </c>
      <c r="F36" s="23">
        <f>SUM(F34:F35)</f>
        <v>9.7188127563686954E-3</v>
      </c>
      <c r="G36" s="23">
        <f>SUM(G34:G35)</f>
        <v>0.10632044892594501</v>
      </c>
      <c r="H36" s="23">
        <f>SUM(H34:H35)</f>
        <v>0.13353620960419418</v>
      </c>
      <c r="I36" s="23">
        <f>SUM(I34:I35)</f>
        <v>6.4758502033344573E-2</v>
      </c>
      <c r="J36" s="23">
        <f>SUM(J34:J35)</f>
        <v>0.19400382290313911</v>
      </c>
    </row>
    <row r="37" spans="1:10" x14ac:dyDescent="0.2">
      <c r="A37" s="168"/>
      <c r="B37" s="168"/>
      <c r="C37" s="27"/>
      <c r="F37" s="23"/>
      <c r="G37" s="23"/>
      <c r="H37" s="23"/>
      <c r="I37" s="23"/>
      <c r="J37" s="23"/>
    </row>
    <row r="38" spans="1:10" ht="13.5" thickBot="1" x14ac:dyDescent="0.25">
      <c r="A38" s="168"/>
      <c r="B38" s="168"/>
      <c r="C38" s="27" t="s">
        <v>66</v>
      </c>
      <c r="D38" s="65" t="s">
        <v>834</v>
      </c>
      <c r="E38" s="65" t="s">
        <v>970</v>
      </c>
      <c r="F38" s="74">
        <f>'3 - Balance Sheet'!D24/'3 - Balance Sheet'!D15</f>
        <v>0.55646913649705254</v>
      </c>
      <c r="G38" s="74">
        <f>'3 - Balance Sheet'!E24/'3 - Balance Sheet'!E15</f>
        <v>0.62149804720209578</v>
      </c>
      <c r="H38" s="74">
        <f>'3 - Balance Sheet'!F24/'3 - Balance Sheet'!F15</f>
        <v>0.71622951898040865</v>
      </c>
      <c r="I38" s="74">
        <f>'3 - Balance Sheet'!G24/'3 - Balance Sheet'!G15</f>
        <v>0.67498807297045826</v>
      </c>
      <c r="J38" s="74">
        <f>'3 - Balance Sheet'!H24/'3 - Balance Sheet'!H15</f>
        <v>0.61935017073918419</v>
      </c>
    </row>
    <row r="39" spans="1:10" ht="13.5" thickTop="1" x14ac:dyDescent="0.2">
      <c r="A39" s="168"/>
      <c r="B39" s="168"/>
      <c r="C39" s="27"/>
      <c r="F39" s="23"/>
      <c r="G39" s="23"/>
      <c r="H39" s="23"/>
      <c r="I39" s="23"/>
      <c r="J39" s="23"/>
    </row>
    <row r="40" spans="1:10" x14ac:dyDescent="0.2">
      <c r="A40" s="168"/>
      <c r="B40" s="168"/>
      <c r="C40" s="27" t="s">
        <v>67</v>
      </c>
      <c r="D40" t="str">
        <f>'3 - Balance Sheet'!B25</f>
        <v>Preferred Equity</v>
      </c>
      <c r="E40" t="s">
        <v>971</v>
      </c>
      <c r="F40" s="23" t="e">
        <f>'3 - Balance Sheet'!D25/'3 - Balance Sheet'!$C$32</f>
        <v>#DIV/0!</v>
      </c>
      <c r="G40" s="23">
        <f>'3 - Balance Sheet'!E25/'3 - Balance Sheet'!$D$32</f>
        <v>0</v>
      </c>
      <c r="H40" s="23">
        <f>'3 - Balance Sheet'!F25/'3 - Balance Sheet'!$E$32</f>
        <v>0</v>
      </c>
      <c r="I40" s="23">
        <f>'3 - Balance Sheet'!G25/'3 - Balance Sheet'!$F$32</f>
        <v>0</v>
      </c>
      <c r="J40" s="23">
        <f>'3 - Balance Sheet'!H25/'3 - Balance Sheet'!$G$32</f>
        <v>0</v>
      </c>
    </row>
    <row r="41" spans="1:10" x14ac:dyDescent="0.2">
      <c r="A41" s="168"/>
      <c r="B41" s="168"/>
      <c r="C41" s="27" t="s">
        <v>68</v>
      </c>
      <c r="D41" t="str">
        <f>'3 - Balance Sheet'!B26</f>
        <v>Common Equity</v>
      </c>
      <c r="E41" t="s">
        <v>972</v>
      </c>
      <c r="F41" s="23" t="e">
        <f>'3 - Balance Sheet'!D26/'3 - Balance Sheet'!$C$32</f>
        <v>#DIV/0!</v>
      </c>
      <c r="G41" s="23">
        <f>'3 - Balance Sheet'!E26/'3 - Balance Sheet'!$D$32</f>
        <v>8.4156251498331933E-2</v>
      </c>
      <c r="H41" s="23">
        <f>'3 - Balance Sheet'!F26/'3 - Balance Sheet'!$E$32</f>
        <v>4.8421279073265787E-2</v>
      </c>
      <c r="I41" s="23">
        <f>'3 - Balance Sheet'!G26/'3 - Balance Sheet'!$F$32</f>
        <v>0.14953510507809403</v>
      </c>
      <c r="J41" s="23">
        <f>'3 - Balance Sheet'!H26/'3 - Balance Sheet'!$G$32</f>
        <v>8.9105765986890961E-2</v>
      </c>
    </row>
    <row r="42" spans="1:10" x14ac:dyDescent="0.2">
      <c r="A42" s="168"/>
      <c r="B42" s="168"/>
      <c r="C42" s="27" t="s">
        <v>69</v>
      </c>
      <c r="D42" t="str">
        <f>'3 - Balance Sheet'!B27</f>
        <v>Additional Paid in Capital</v>
      </c>
      <c r="E42" t="s">
        <v>973</v>
      </c>
      <c r="F42" s="23" t="e">
        <f>'3 - Balance Sheet'!D27/'3 - Balance Sheet'!$C$32</f>
        <v>#DIV/0!</v>
      </c>
      <c r="G42" s="23">
        <f>'3 - Balance Sheet'!E27/'3 - Balance Sheet'!$D$32</f>
        <v>0</v>
      </c>
      <c r="H42" s="23">
        <f>'3 - Balance Sheet'!F27/'3 - Balance Sheet'!$E$32</f>
        <v>0</v>
      </c>
      <c r="I42" s="23">
        <f>'3 - Balance Sheet'!G27/'3 - Balance Sheet'!$F$32</f>
        <v>0</v>
      </c>
      <c r="J42" s="23">
        <f>'3 - Balance Sheet'!H27/'3 - Balance Sheet'!$G$32</f>
        <v>0</v>
      </c>
    </row>
    <row r="43" spans="1:10" x14ac:dyDescent="0.2">
      <c r="A43" s="168"/>
      <c r="B43" s="168"/>
      <c r="C43" s="27" t="s">
        <v>70</v>
      </c>
      <c r="D43" t="str">
        <f>'3 - Balance Sheet'!B28</f>
        <v>Retained Earnings</v>
      </c>
      <c r="E43" t="s">
        <v>948</v>
      </c>
      <c r="F43" s="23" t="e">
        <f>'3 - Balance Sheet'!D28/'3 - Balance Sheet'!$C$32</f>
        <v>#DIV/0!</v>
      </c>
      <c r="G43" s="23">
        <f>'3 - Balance Sheet'!E28/'3 - Balance Sheet'!$D$32</f>
        <v>0.5736806776764064</v>
      </c>
      <c r="H43" s="23">
        <f>'3 - Balance Sheet'!F28/'3 - Balance Sheet'!$E$32</f>
        <v>0.31913200273380088</v>
      </c>
      <c r="I43" s="23">
        <f>'3 - Balance Sheet'!G28/'3 - Balance Sheet'!$F$32</f>
        <v>0.3958919177606568</v>
      </c>
      <c r="J43" s="23">
        <f>'3 - Balance Sheet'!H28/'3 - Balance Sheet'!$G$32</f>
        <v>0.38760178332597006</v>
      </c>
    </row>
    <row r="44" spans="1:10" x14ac:dyDescent="0.2">
      <c r="A44" s="168"/>
      <c r="B44" s="168"/>
      <c r="C44" s="27" t="s">
        <v>71</v>
      </c>
      <c r="D44" t="str">
        <f>'3 - Balance Sheet'!B29</f>
        <v>Adj for Foreign Currency Transl</v>
      </c>
      <c r="E44" t="s">
        <v>974</v>
      </c>
      <c r="F44" s="23" t="e">
        <f>'3 - Balance Sheet'!D29/'3 - Balance Sheet'!$C$32</f>
        <v>#DIV/0!</v>
      </c>
      <c r="G44" s="23">
        <f>'3 - Balance Sheet'!E29/'3 - Balance Sheet'!$D$32</f>
        <v>0</v>
      </c>
      <c r="H44" s="23">
        <f>'3 - Balance Sheet'!F29/'3 - Balance Sheet'!$E$32</f>
        <v>0</v>
      </c>
      <c r="I44" s="23">
        <f>'3 - Balance Sheet'!G29/'3 - Balance Sheet'!$F$32</f>
        <v>0</v>
      </c>
      <c r="J44" s="23">
        <f>'3 - Balance Sheet'!H29/'3 - Balance Sheet'!$G$32</f>
        <v>0</v>
      </c>
    </row>
    <row r="45" spans="1:10" x14ac:dyDescent="0.2">
      <c r="A45" s="168"/>
      <c r="B45" s="168"/>
      <c r="C45" s="27" t="s">
        <v>72</v>
      </c>
      <c r="D45" s="61" t="str">
        <f>'3 - Balance Sheet'!B30</f>
        <v>Treasury Stock</v>
      </c>
      <c r="E45" s="61" t="s">
        <v>950</v>
      </c>
      <c r="F45" s="73" t="e">
        <f>'3 - Balance Sheet'!D30/'3 - Balance Sheet'!$C$32</f>
        <v>#DIV/0!</v>
      </c>
      <c r="G45" s="73">
        <f>'3 - Balance Sheet'!E30/'3 - Balance Sheet'!$D$32</f>
        <v>0</v>
      </c>
      <c r="H45" s="73">
        <f>'3 - Balance Sheet'!F30/'3 - Balance Sheet'!$E$32</f>
        <v>0</v>
      </c>
      <c r="I45" s="73">
        <f>'3 - Balance Sheet'!G30/'3 - Balance Sheet'!$F$32</f>
        <v>0</v>
      </c>
      <c r="J45" s="73">
        <f>'3 - Balance Sheet'!H30/'3 - Balance Sheet'!$G$32</f>
        <v>0</v>
      </c>
    </row>
    <row r="46" spans="1:10" ht="13.5" thickBot="1" x14ac:dyDescent="0.25">
      <c r="A46" s="168"/>
      <c r="B46" s="168"/>
      <c r="C46" s="27" t="s">
        <v>73</v>
      </c>
      <c r="D46" s="69" t="s">
        <v>1203</v>
      </c>
      <c r="E46" s="69" t="s">
        <v>975</v>
      </c>
      <c r="F46" s="75" t="e">
        <f>'3 - Balance Sheet'!D31/'3 - Balance Sheet'!C32</f>
        <v>#DIV/0!</v>
      </c>
      <c r="G46" s="75">
        <f>'3 - Balance Sheet'!E31/'3 - Balance Sheet'!D32</f>
        <v>0.65783692917473835</v>
      </c>
      <c r="H46" s="75">
        <f>'3 - Balance Sheet'!F31/'3 - Balance Sheet'!E32</f>
        <v>0.36755328180706665</v>
      </c>
      <c r="I46" s="75">
        <f>'3 - Balance Sheet'!G31/'3 - Balance Sheet'!F32</f>
        <v>0.54542702283875077</v>
      </c>
      <c r="J46" s="75">
        <f>'3 - Balance Sheet'!H31/'3 - Balance Sheet'!G32</f>
        <v>0.47670754931286102</v>
      </c>
    </row>
    <row r="47" spans="1:10" ht="13.5" thickTop="1" x14ac:dyDescent="0.2">
      <c r="A47" s="168"/>
      <c r="B47" s="168"/>
      <c r="C47" s="27"/>
      <c r="F47" s="23"/>
      <c r="G47" s="23"/>
      <c r="H47" s="23"/>
      <c r="I47" s="23"/>
      <c r="J47" s="23"/>
    </row>
    <row r="48" spans="1:10" ht="13.5" thickBot="1" x14ac:dyDescent="0.25">
      <c r="A48" s="168"/>
      <c r="B48" s="168"/>
      <c r="C48" s="27" t="s">
        <v>74</v>
      </c>
      <c r="D48" s="65" t="s">
        <v>57</v>
      </c>
      <c r="E48" s="65" t="s">
        <v>561</v>
      </c>
      <c r="F48" s="74" t="e">
        <f>F38+F46</f>
        <v>#DIV/0!</v>
      </c>
      <c r="G48" s="74">
        <f>G38+G46</f>
        <v>1.279334976376834</v>
      </c>
      <c r="H48" s="74">
        <f>H38+H46</f>
        <v>1.0837828007874752</v>
      </c>
      <c r="I48" s="74">
        <f>I38+I46</f>
        <v>1.220415095809209</v>
      </c>
      <c r="J48" s="74">
        <f>J38+J46</f>
        <v>1.0960577200520452</v>
      </c>
    </row>
    <row r="49" spans="1:10" ht="13.5" thickTop="1" x14ac:dyDescent="0.2">
      <c r="C49" s="27"/>
      <c r="F49" s="23"/>
      <c r="G49" s="23"/>
      <c r="H49" s="23"/>
      <c r="I49" s="23"/>
      <c r="J49" s="23"/>
    </row>
    <row r="50" spans="1:10" x14ac:dyDescent="0.2">
      <c r="C50" s="27"/>
      <c r="F50" s="23"/>
      <c r="G50" s="23"/>
      <c r="H50" s="23"/>
      <c r="I50" s="23"/>
      <c r="J50" s="23"/>
    </row>
    <row r="51" spans="1:10" x14ac:dyDescent="0.2">
      <c r="A51" s="182" t="s">
        <v>488</v>
      </c>
      <c r="B51" s="182" t="s">
        <v>789</v>
      </c>
      <c r="C51" s="27" t="s">
        <v>75</v>
      </c>
      <c r="D51" t="s">
        <v>795</v>
      </c>
      <c r="E51" t="s">
        <v>639</v>
      </c>
      <c r="F51" s="23">
        <v>1</v>
      </c>
      <c r="G51" s="23">
        <v>1</v>
      </c>
      <c r="H51" s="23">
        <v>1</v>
      </c>
      <c r="I51" s="23">
        <v>1</v>
      </c>
      <c r="J51" s="23">
        <v>1</v>
      </c>
    </row>
    <row r="52" spans="1:10" x14ac:dyDescent="0.2">
      <c r="A52" s="179"/>
      <c r="B52" s="179"/>
      <c r="C52" s="27"/>
      <c r="F52" s="23"/>
      <c r="G52" s="23"/>
      <c r="H52" s="23"/>
      <c r="I52" s="23"/>
      <c r="J52" s="23"/>
    </row>
    <row r="53" spans="1:10" x14ac:dyDescent="0.2">
      <c r="A53" s="179"/>
      <c r="B53" s="179"/>
      <c r="C53" s="27" t="s">
        <v>76</v>
      </c>
      <c r="D53" s="61" t="s">
        <v>796</v>
      </c>
      <c r="E53" s="61" t="s">
        <v>640</v>
      </c>
      <c r="F53" s="73">
        <f>('4 - Income Statement'!D5*-1)/'4 - Income Statement'!D4</f>
        <v>0.90358989452154337</v>
      </c>
      <c r="G53" s="73">
        <f>('4 - Income Statement'!E5*-1)/'4 - Income Statement'!E4</f>
        <v>0.78607710895758742</v>
      </c>
      <c r="H53" s="73">
        <f>('4 - Income Statement'!F5*-1)/'4 - Income Statement'!F4</f>
        <v>0.77315571778268855</v>
      </c>
      <c r="I53" s="73">
        <f>('4 - Income Statement'!G5*-1)/'4 - Income Statement'!G4</f>
        <v>0.77429153543170981</v>
      </c>
      <c r="J53" s="73">
        <f>('4 - Income Statement'!H5*-1)/'4 - Income Statement'!H4</f>
        <v>0.75266885813938456</v>
      </c>
    </row>
    <row r="54" spans="1:10" x14ac:dyDescent="0.2">
      <c r="A54" s="179"/>
      <c r="B54" s="179"/>
      <c r="C54" s="27"/>
      <c r="F54" s="23"/>
      <c r="G54" s="23"/>
      <c r="H54" s="23"/>
      <c r="I54" s="23"/>
      <c r="J54" s="23"/>
    </row>
    <row r="55" spans="1:10" x14ac:dyDescent="0.2">
      <c r="A55" s="179"/>
      <c r="B55" s="179"/>
      <c r="C55" s="27" t="s">
        <v>77</v>
      </c>
      <c r="D55" t="s">
        <v>1205</v>
      </c>
      <c r="E55" t="s">
        <v>976</v>
      </c>
      <c r="F55" s="23" t="e">
        <f>'7 - Ratio Analysis'!F63</f>
        <v>#REF!</v>
      </c>
      <c r="G55" s="23" t="e">
        <f>'7 - Ratio Analysis'!G63</f>
        <v>#REF!</v>
      </c>
      <c r="H55" s="23" t="e">
        <f>'7 - Ratio Analysis'!H63</f>
        <v>#REF!</v>
      </c>
      <c r="I55" s="23" t="e">
        <f>'7 - Ratio Analysis'!I63</f>
        <v>#REF!</v>
      </c>
      <c r="J55" s="23" t="e">
        <f>'7 - Ratio Analysis'!J63</f>
        <v>#REF!</v>
      </c>
    </row>
    <row r="56" spans="1:10" x14ac:dyDescent="0.2">
      <c r="A56" s="179"/>
      <c r="B56" s="179"/>
      <c r="C56" s="27"/>
      <c r="F56" s="23"/>
      <c r="G56" s="23"/>
      <c r="H56" s="23"/>
      <c r="I56" s="23"/>
      <c r="J56" s="23"/>
    </row>
    <row r="57" spans="1:10" x14ac:dyDescent="0.2">
      <c r="A57" s="179"/>
      <c r="B57" s="179"/>
      <c r="C57" s="27" t="s">
        <v>78</v>
      </c>
      <c r="D57" t="s">
        <v>1206</v>
      </c>
      <c r="E57" t="s">
        <v>977</v>
      </c>
      <c r="F57" s="23">
        <f>(('4 - Income Statement'!D6+'4 - Income Statement'!D8)*-1)/'4 - Income Statement'!D4</f>
        <v>4.6139699123403322E-2</v>
      </c>
      <c r="G57" s="23">
        <f>(('4 - Income Statement'!E6+'4 - Income Statement'!E8)*-1)/'4 - Income Statement'!E4</f>
        <v>7.903972166431808E-2</v>
      </c>
      <c r="H57" s="23">
        <f>(('4 - Income Statement'!F6+'4 - Income Statement'!F8)*-1)/'4 - Income Statement'!F4</f>
        <v>0.10628333724009181</v>
      </c>
      <c r="I57" s="23">
        <f>(('4 - Income Statement'!G6+'4 - Income Statement'!G8)*-1)/'4 - Income Statement'!G4</f>
        <v>9.3305087165422726E-2</v>
      </c>
      <c r="J57" s="23">
        <f>(('4 - Income Statement'!H6+'4 - Income Statement'!H8)*-1)/'4 - Income Statement'!H4</f>
        <v>9.232609516791962E-2</v>
      </c>
    </row>
    <row r="58" spans="1:10" x14ac:dyDescent="0.2">
      <c r="A58" s="179"/>
      <c r="B58" s="179"/>
      <c r="C58" s="27"/>
      <c r="F58" s="23"/>
      <c r="G58" s="23"/>
      <c r="H58" s="23"/>
      <c r="I58" s="23"/>
      <c r="J58" s="23"/>
    </row>
    <row r="59" spans="1:10" x14ac:dyDescent="0.2">
      <c r="A59" s="179"/>
      <c r="B59" s="179"/>
      <c r="C59" s="27" t="s">
        <v>79</v>
      </c>
      <c r="D59" t="s">
        <v>1209</v>
      </c>
      <c r="E59" t="s">
        <v>978</v>
      </c>
      <c r="F59" s="23">
        <f>SUM([0]!nonoperatingexpenses5)/'4 - Income Statement'!D4*-1</f>
        <v>4.8075559429430021E-3</v>
      </c>
      <c r="G59" s="23">
        <f>SUM([0]!nonoperatingexpenses4)/'4 - Income Statement'!E4*-1</f>
        <v>1.5022696192787647E-2</v>
      </c>
      <c r="H59" s="23">
        <f>SUM([0]!nonoperatingexpenses3)/'4 - Income Statement'!F4*-1</f>
        <v>1.7733100312782989E-2</v>
      </c>
      <c r="I59" s="23">
        <f>SUM([0]!nonoperatingexpenses2)/'4 - Income Statement'!G4*-1</f>
        <v>2.4951881660212498E-2</v>
      </c>
      <c r="J59" s="23">
        <f>SUM([0]!nonoperatingexpenses1)/'4 - Income Statement'!H4*-1</f>
        <v>2.1459369501477515E-2</v>
      </c>
    </row>
    <row r="60" spans="1:10" x14ac:dyDescent="0.2">
      <c r="A60" s="179"/>
      <c r="B60" s="179"/>
      <c r="C60" s="27"/>
      <c r="F60" s="23"/>
      <c r="G60" s="23"/>
      <c r="H60" s="23"/>
      <c r="I60" s="23"/>
      <c r="J60" s="23"/>
    </row>
    <row r="61" spans="1:10" x14ac:dyDescent="0.2">
      <c r="A61" s="179"/>
      <c r="B61" s="179"/>
      <c r="C61" s="27" t="s">
        <v>80</v>
      </c>
      <c r="D61" s="61" t="s">
        <v>807</v>
      </c>
      <c r="E61" s="61" t="s">
        <v>979</v>
      </c>
      <c r="F61" s="73">
        <f>'4 - Income Statement'!D16/'4 - Income Statement'!D4</f>
        <v>4.5462850412110345E-2</v>
      </c>
      <c r="G61" s="73">
        <f>'4 - Income Statement'!E16/'4 - Income Statement'!E4</f>
        <v>0.11986047318530689</v>
      </c>
      <c r="H61" s="73">
        <f>'4 - Income Statement'!F16/'4 - Income Statement'!F4</f>
        <v>0.1028278446644366</v>
      </c>
      <c r="I61" s="73">
        <f>'4 - Income Statement'!G16/'4 - Income Statement'!G4</f>
        <v>0.10745149574265495</v>
      </c>
      <c r="J61" s="73">
        <f>'4 - Income Statement'!H16/'4 - Income Statement'!H4</f>
        <v>0.13354567719121832</v>
      </c>
    </row>
    <row r="62" spans="1:10" x14ac:dyDescent="0.2">
      <c r="A62" s="179"/>
      <c r="B62" s="179"/>
      <c r="C62" s="27"/>
      <c r="F62" s="23"/>
      <c r="G62" s="23"/>
      <c r="H62" s="23"/>
      <c r="I62" s="23"/>
      <c r="J62" s="23"/>
    </row>
    <row r="63" spans="1:10" ht="13.5" thickBot="1" x14ac:dyDescent="0.25">
      <c r="A63" s="179"/>
      <c r="B63" s="179"/>
      <c r="C63" s="27" t="s">
        <v>81</v>
      </c>
      <c r="D63" s="65" t="s">
        <v>808</v>
      </c>
      <c r="E63" s="65" t="s">
        <v>637</v>
      </c>
      <c r="F63" s="74">
        <f>'4 - Income Statement'!D20/'4 - Income Statement'!D4</f>
        <v>4.5462850412110345E-2</v>
      </c>
      <c r="G63" s="74">
        <f>'4 - Income Statement'!E20/'4 - Income Statement'!E4</f>
        <v>0.11986047318530689</v>
      </c>
      <c r="H63" s="74">
        <f>'4 - Income Statement'!F20/'4 - Income Statement'!F4</f>
        <v>0.1028278446644366</v>
      </c>
      <c r="I63" s="74">
        <f>'4 - Income Statement'!G20/'4 - Income Statement'!G4</f>
        <v>0.10745149574265495</v>
      </c>
      <c r="J63" s="74">
        <f>'4 - Income Statement'!H20/'4 - Income Statement'!H4</f>
        <v>0.13354567719121832</v>
      </c>
    </row>
    <row r="64" spans="1:10" ht="13.5" thickTop="1" x14ac:dyDescent="0.2">
      <c r="F64" s="23"/>
      <c r="G64" s="23"/>
      <c r="H64" s="23"/>
      <c r="I64" s="23"/>
      <c r="J64" s="23"/>
    </row>
    <row r="65" spans="1:10" x14ac:dyDescent="0.2">
      <c r="F65" s="23"/>
      <c r="G65" s="23"/>
      <c r="H65" s="23"/>
      <c r="I65" s="23"/>
      <c r="J65" s="23"/>
    </row>
    <row r="66" spans="1:10" x14ac:dyDescent="0.2">
      <c r="A66" s="182" t="s">
        <v>486</v>
      </c>
      <c r="B66" s="182" t="s">
        <v>283</v>
      </c>
      <c r="C66" s="27" t="s">
        <v>266</v>
      </c>
      <c r="D66" t="s">
        <v>269</v>
      </c>
      <c r="E66" t="s">
        <v>980</v>
      </c>
      <c r="F66" s="23">
        <f>'3 - Balance Sheet'!D4/'4 - Income Statement'!D4</f>
        <v>0.15709667324185733</v>
      </c>
      <c r="G66" s="23">
        <f>'3 - Balance Sheet'!E4/'4 - Income Statement'!E4</f>
        <v>0.15483235018199043</v>
      </c>
      <c r="H66" s="23">
        <f>'3 - Balance Sheet'!F4/'4 - Income Statement'!F4</f>
        <v>0.26392583936873493</v>
      </c>
      <c r="I66" s="23">
        <f>'3 - Balance Sheet'!G4/'4 - Income Statement'!G4</f>
        <v>0.27865843843981764</v>
      </c>
      <c r="J66" s="23">
        <f>'3 - Balance Sheet'!H4/'4 - Income Statement'!H4</f>
        <v>0.28962248201965851</v>
      </c>
    </row>
    <row r="67" spans="1:10" x14ac:dyDescent="0.2">
      <c r="A67" s="179"/>
      <c r="B67" s="179"/>
      <c r="C67" s="27" t="s">
        <v>267</v>
      </c>
      <c r="D67" t="s">
        <v>270</v>
      </c>
      <c r="E67" t="s">
        <v>981</v>
      </c>
      <c r="F67" s="23">
        <f>'3 - Balance Sheet'!D5/'4 - Income Statement'!D4</f>
        <v>1.2247126617177221E-2</v>
      </c>
      <c r="G67" s="23">
        <f>'3 - Balance Sheet'!E5/'4 - Income Statement'!E4</f>
        <v>2.1004893059888941E-2</v>
      </c>
      <c r="H67" s="23">
        <f>'3 - Balance Sheet'!F5/'4 - Income Statement'!F4</f>
        <v>3.7961802474658378E-2</v>
      </c>
      <c r="I67" s="23">
        <f>'3 - Balance Sheet'!G5/'4 - Income Statement'!G4</f>
        <v>6.2543112337958964E-2</v>
      </c>
      <c r="J67" s="23">
        <f>'3 - Balance Sheet'!H5/'4 - Income Statement'!H4</f>
        <v>0.13700463436090388</v>
      </c>
    </row>
    <row r="68" spans="1:10" x14ac:dyDescent="0.2">
      <c r="A68" s="179"/>
      <c r="B68" s="179"/>
      <c r="C68" s="27" t="s">
        <v>277</v>
      </c>
      <c r="D68" t="s">
        <v>271</v>
      </c>
      <c r="E68" t="s">
        <v>982</v>
      </c>
      <c r="F68" s="23">
        <f>'3 - Balance Sheet'!D6/'4 - Income Statement'!D4</f>
        <v>5.4132324536906251E-2</v>
      </c>
      <c r="G68" s="23">
        <f>'3 - Balance Sheet'!E6/'4 - Income Statement'!E4</f>
        <v>0.10602804477904883</v>
      </c>
      <c r="H68" s="23">
        <f>'3 - Balance Sheet'!F6/'4 - Income Statement'!F4</f>
        <v>0.12428900712767794</v>
      </c>
      <c r="I68" s="23">
        <f>'3 - Balance Sheet'!G6/'4 - Income Statement'!G4</f>
        <v>0.13237476272205126</v>
      </c>
      <c r="J68" s="23">
        <f>'3 - Balance Sheet'!H6/'4 - Income Statement'!H4</f>
        <v>0.10270860856158322</v>
      </c>
    </row>
    <row r="69" spans="1:10" x14ac:dyDescent="0.2">
      <c r="A69" s="179"/>
      <c r="B69" s="179"/>
      <c r="C69" s="27" t="s">
        <v>278</v>
      </c>
      <c r="D69" t="s">
        <v>272</v>
      </c>
      <c r="E69" t="s">
        <v>983</v>
      </c>
      <c r="F69" s="23">
        <f>'3 - Balance Sheet'!D7/'4 - Income Statement'!D4</f>
        <v>0.23510834715126588</v>
      </c>
      <c r="G69" s="23">
        <f>'3 - Balance Sheet'!E7/'4 - Income Statement'!E4</f>
        <v>0.35630401446634025</v>
      </c>
      <c r="H69" s="23">
        <f>'3 - Balance Sheet'!F7/'4 - Income Statement'!F4</f>
        <v>0.46651218501359509</v>
      </c>
      <c r="I69" s="23">
        <f>'3 - Balance Sheet'!G7/'4 - Income Statement'!G4</f>
        <v>0.56260806900682392</v>
      </c>
      <c r="J69" s="23">
        <f>'3 - Balance Sheet'!H7/'4 - Income Statement'!H4</f>
        <v>0.56184070230323135</v>
      </c>
    </row>
    <row r="70" spans="1:10" x14ac:dyDescent="0.2">
      <c r="A70" s="179"/>
      <c r="B70" s="179"/>
      <c r="F70" s="23"/>
      <c r="G70" s="23"/>
      <c r="H70" s="23"/>
      <c r="I70" s="23"/>
      <c r="J70" s="23"/>
    </row>
    <row r="71" spans="1:10" x14ac:dyDescent="0.2">
      <c r="A71" s="179"/>
      <c r="B71" s="179"/>
      <c r="C71" s="27" t="s">
        <v>279</v>
      </c>
      <c r="D71" t="s">
        <v>273</v>
      </c>
      <c r="E71" t="s">
        <v>984</v>
      </c>
      <c r="F71" s="23">
        <f>'3 - Balance Sheet'!D16/'4 - Income Statement'!D4</f>
        <v>0.15426523792800328</v>
      </c>
      <c r="G71" s="23">
        <f>'3 - Balance Sheet'!E16/'4 - Income Statement'!E4</f>
        <v>0.35639126642133429</v>
      </c>
      <c r="H71" s="23">
        <f>'3 - Balance Sheet'!F16/'4 - Income Statement'!F4</f>
        <v>8.5060259900351987E-2</v>
      </c>
      <c r="I71" s="23">
        <f>'3 - Balance Sheet'!G16/'4 - Income Statement'!G4</f>
        <v>7.8393182587672069E-2</v>
      </c>
      <c r="J71" s="23">
        <f>'3 - Balance Sheet'!H16/'4 - Income Statement'!H4</f>
        <v>5.6092451125328999E-2</v>
      </c>
    </row>
    <row r="72" spans="1:10" x14ac:dyDescent="0.2">
      <c r="A72" s="179"/>
      <c r="B72" s="179"/>
      <c r="C72" s="27" t="s">
        <v>280</v>
      </c>
      <c r="D72" t="s">
        <v>274</v>
      </c>
      <c r="E72" t="s">
        <v>985</v>
      </c>
      <c r="F72" s="23">
        <f>'3 - Balance Sheet'!D17/'4 - Income Statement'!D4</f>
        <v>6.2386748546442716E-2</v>
      </c>
      <c r="G72" s="23">
        <f>'3 - Balance Sheet'!E17/'4 - Income Statement'!E4</f>
        <v>8.9234575713709213E-2</v>
      </c>
      <c r="H72" s="23">
        <f>'3 - Balance Sheet'!F17/'4 - Income Statement'!F4</f>
        <v>0.43166847128834751</v>
      </c>
      <c r="I72" s="23">
        <f>'3 - Balance Sheet'!G17/'4 - Income Statement'!G4</f>
        <v>0.44097536851857777</v>
      </c>
      <c r="J72" s="23">
        <f>'3 - Balance Sheet'!H17/'4 - Income Statement'!H4</f>
        <v>0.13798902531173213</v>
      </c>
    </row>
    <row r="73" spans="1:10" x14ac:dyDescent="0.2">
      <c r="A73" s="179"/>
      <c r="B73" s="179"/>
      <c r="C73" s="27" t="s">
        <v>281</v>
      </c>
      <c r="D73" t="s">
        <v>275</v>
      </c>
      <c r="E73" t="s">
        <v>986</v>
      </c>
      <c r="F73" s="23">
        <f>'3 - Balance Sheet'!D19/'4 - Income Statement'!D4</f>
        <v>1.6569057819222913E-2</v>
      </c>
      <c r="G73" s="23">
        <f>'3 - Balance Sheet'!E19/'4 - Income Statement'!E4</f>
        <v>5.5156053805380613E-2</v>
      </c>
      <c r="H73" s="23">
        <f>'3 - Balance Sheet'!F19/'4 - Income Statement'!F4</f>
        <v>0.13998967078750196</v>
      </c>
      <c r="I73" s="23">
        <f>'3 - Balance Sheet'!G19/'4 - Income Statement'!G4</f>
        <v>0.21664655966632937</v>
      </c>
      <c r="J73" s="23">
        <f>'3 - Balance Sheet'!H19/'4 - Income Statement'!H4</f>
        <v>0.26563355266354127</v>
      </c>
    </row>
    <row r="74" spans="1:10" x14ac:dyDescent="0.2">
      <c r="A74" s="179"/>
      <c r="B74" s="179"/>
      <c r="C74" s="27" t="s">
        <v>282</v>
      </c>
      <c r="D74" t="s">
        <v>276</v>
      </c>
      <c r="E74" t="s">
        <v>987</v>
      </c>
      <c r="F74" s="23">
        <f>'3 - Balance Sheet'!D20/'4 - Income Statement'!D4</f>
        <v>0.23322104429366891</v>
      </c>
      <c r="G74" s="23">
        <f>'3 - Balance Sheet'!E20/'4 - Income Statement'!E4</f>
        <v>0.5007818959404241</v>
      </c>
      <c r="H74" s="23">
        <f>'3 - Balance Sheet'!F20/'4 - Income Statement'!F4</f>
        <v>0.65671840197620146</v>
      </c>
      <c r="I74" s="23">
        <f>'3 - Balance Sheet'!G20/'4 - Income Statement'!G4</f>
        <v>0.7360151107725792</v>
      </c>
      <c r="J74" s="23">
        <f>'3 - Balance Sheet'!H20/'4 - Income Statement'!H4</f>
        <v>0.45971502910060241</v>
      </c>
    </row>
    <row r="75" spans="1:10" x14ac:dyDescent="0.2">
      <c r="F75" s="23"/>
      <c r="G75" s="23"/>
      <c r="H75" s="23"/>
      <c r="I75" s="23"/>
      <c r="J75" s="23"/>
    </row>
    <row r="76" spans="1:10" x14ac:dyDescent="0.2">
      <c r="F76" s="23"/>
      <c r="G76" s="23"/>
      <c r="H76" s="23"/>
      <c r="I76" s="23"/>
      <c r="J76" s="23"/>
    </row>
    <row r="77" spans="1:10" x14ac:dyDescent="0.2">
      <c r="F77" s="23"/>
      <c r="G77" s="23"/>
      <c r="H77" s="23"/>
      <c r="I77" s="23"/>
      <c r="J77" s="23"/>
    </row>
    <row r="78" spans="1:10" x14ac:dyDescent="0.2">
      <c r="D78" s="2" t="s">
        <v>1207</v>
      </c>
      <c r="E78" s="2"/>
      <c r="F78" s="23"/>
      <c r="G78" s="23"/>
      <c r="H78" s="23"/>
      <c r="I78" s="23"/>
      <c r="J78" s="23"/>
    </row>
    <row r="79" spans="1:10" x14ac:dyDescent="0.2">
      <c r="D79" s="2"/>
      <c r="E79" s="2"/>
      <c r="F79" s="23"/>
      <c r="G79" s="23"/>
      <c r="H79" s="23"/>
      <c r="I79" s="23"/>
      <c r="J79" s="23"/>
    </row>
    <row r="80" spans="1:10" x14ac:dyDescent="0.2">
      <c r="D80" s="2"/>
      <c r="E80" s="2"/>
      <c r="F80" s="23"/>
      <c r="G80" s="23"/>
      <c r="H80" s="23"/>
      <c r="I80" s="23"/>
      <c r="J80" s="23"/>
    </row>
    <row r="81" spans="4:10" x14ac:dyDescent="0.2">
      <c r="D81" s="2"/>
      <c r="E81" s="2"/>
      <c r="F81" s="23"/>
      <c r="G81" s="23"/>
      <c r="H81" s="23"/>
      <c r="I81" s="23"/>
      <c r="J81" s="23"/>
    </row>
    <row r="82" spans="4:10" x14ac:dyDescent="0.2">
      <c r="D82" s="2"/>
      <c r="E82" s="2"/>
      <c r="F82" s="23"/>
      <c r="G82" s="23"/>
      <c r="H82" s="23"/>
      <c r="I82" s="23"/>
      <c r="J82" s="23"/>
    </row>
    <row r="83" spans="4:10" x14ac:dyDescent="0.2">
      <c r="D83" s="2"/>
      <c r="E83" s="2"/>
      <c r="F83" s="23"/>
      <c r="G83" s="23"/>
      <c r="H83" s="23"/>
      <c r="I83" s="23"/>
      <c r="J83" s="23"/>
    </row>
    <row r="84" spans="4:10" x14ac:dyDescent="0.2">
      <c r="D84" s="2"/>
      <c r="E84" s="2"/>
      <c r="F84" s="23"/>
      <c r="G84" s="23"/>
      <c r="H84" s="23"/>
      <c r="I84" s="23"/>
      <c r="J84" s="23"/>
    </row>
    <row r="85" spans="4:10" x14ac:dyDescent="0.2">
      <c r="D85" s="2"/>
      <c r="E85" s="2"/>
      <c r="F85" s="23"/>
      <c r="G85" s="23"/>
      <c r="H85" s="23"/>
      <c r="I85" s="23"/>
      <c r="J85" s="23"/>
    </row>
    <row r="86" spans="4:10" x14ac:dyDescent="0.2">
      <c r="D86" s="2"/>
      <c r="E86" s="2"/>
      <c r="F86" s="23"/>
      <c r="G86" s="23"/>
      <c r="H86" s="23"/>
      <c r="I86" s="23"/>
      <c r="J86" s="23"/>
    </row>
    <row r="87" spans="4:10" x14ac:dyDescent="0.2">
      <c r="D87" s="2"/>
      <c r="E87" s="2"/>
      <c r="F87" s="23"/>
      <c r="G87" s="23"/>
      <c r="H87" s="23"/>
      <c r="I87" s="23"/>
      <c r="J87" s="23"/>
    </row>
    <row r="88" spans="4:10" x14ac:dyDescent="0.2">
      <c r="D88" s="2"/>
      <c r="E88" s="2"/>
      <c r="F88" s="23"/>
      <c r="G88" s="23"/>
      <c r="H88" s="23"/>
      <c r="I88" s="23"/>
      <c r="J88" s="23"/>
    </row>
    <row r="89" spans="4:10" x14ac:dyDescent="0.2">
      <c r="D89" s="2"/>
      <c r="E89" s="2"/>
      <c r="F89" s="23"/>
      <c r="G89" s="23"/>
      <c r="H89" s="23"/>
      <c r="I89" s="23"/>
      <c r="J89" s="23"/>
    </row>
    <row r="90" spans="4:10" x14ac:dyDescent="0.2">
      <c r="D90" s="2"/>
      <c r="E90" s="2"/>
      <c r="F90" s="23"/>
      <c r="G90" s="23"/>
      <c r="H90" s="23"/>
      <c r="I90" s="23"/>
      <c r="J90" s="23"/>
    </row>
    <row r="91" spans="4:10" x14ac:dyDescent="0.2">
      <c r="D91" s="2"/>
      <c r="E91" s="2"/>
      <c r="F91" s="23"/>
      <c r="G91" s="23"/>
      <c r="H91" s="23"/>
      <c r="I91" s="23"/>
      <c r="J91" s="23"/>
    </row>
    <row r="92" spans="4:10" x14ac:dyDescent="0.2">
      <c r="D92" s="2"/>
      <c r="E92" s="2"/>
      <c r="F92" s="23"/>
      <c r="G92" s="23"/>
      <c r="H92" s="23"/>
      <c r="I92" s="23"/>
      <c r="J92" s="23"/>
    </row>
    <row r="93" spans="4:10" x14ac:dyDescent="0.2">
      <c r="D93" s="2"/>
      <c r="E93" s="2"/>
      <c r="F93" s="23"/>
      <c r="G93" s="23"/>
      <c r="H93" s="23"/>
      <c r="I93" s="23"/>
      <c r="J93" s="23"/>
    </row>
    <row r="94" spans="4:10" x14ac:dyDescent="0.2">
      <c r="D94" s="2"/>
      <c r="E94" s="2"/>
      <c r="F94" s="23"/>
      <c r="G94" s="23"/>
      <c r="H94" s="23"/>
      <c r="I94" s="23"/>
      <c r="J94" s="23"/>
    </row>
    <row r="95" spans="4:10" x14ac:dyDescent="0.2">
      <c r="D95" s="2"/>
      <c r="E95" s="2"/>
      <c r="F95" s="23"/>
      <c r="G95" s="23"/>
      <c r="H95" s="23"/>
      <c r="I95" s="23"/>
      <c r="J95" s="23"/>
    </row>
    <row r="96" spans="4:10" x14ac:dyDescent="0.2">
      <c r="D96" s="2"/>
      <c r="E96" s="2"/>
      <c r="F96" s="23"/>
      <c r="G96" s="23"/>
      <c r="H96" s="23"/>
      <c r="I96" s="23"/>
      <c r="J96" s="23"/>
    </row>
    <row r="97" spans="4:10" x14ac:dyDescent="0.2">
      <c r="D97" s="2"/>
      <c r="E97" s="2"/>
      <c r="F97" s="23"/>
      <c r="G97" s="23"/>
      <c r="H97" s="23"/>
      <c r="I97" s="23"/>
      <c r="J97" s="23"/>
    </row>
    <row r="98" spans="4:10" x14ac:dyDescent="0.2">
      <c r="D98" s="2"/>
      <c r="E98" s="2"/>
      <c r="F98" s="23"/>
      <c r="G98" s="23"/>
      <c r="H98" s="23"/>
      <c r="I98" s="23"/>
      <c r="J98" s="23"/>
    </row>
    <row r="99" spans="4:10" x14ac:dyDescent="0.2">
      <c r="D99" s="2"/>
      <c r="E99" s="2"/>
      <c r="F99" s="23"/>
      <c r="G99" s="23"/>
      <c r="H99" s="23"/>
      <c r="I99" s="23"/>
      <c r="J99" s="23"/>
    </row>
    <row r="100" spans="4:10" x14ac:dyDescent="0.2">
      <c r="D100" s="2"/>
      <c r="E100" s="2"/>
      <c r="F100" s="23"/>
      <c r="G100" s="23"/>
      <c r="H100" s="23"/>
      <c r="I100" s="23"/>
      <c r="J100" s="23"/>
    </row>
    <row r="186" spans="4:5" x14ac:dyDescent="0.2">
      <c r="D186" s="2" t="s">
        <v>1333</v>
      </c>
      <c r="E186" s="2"/>
    </row>
    <row r="210" spans="4:10" ht="10.5" customHeight="1" x14ac:dyDescent="0.2"/>
    <row r="213" spans="4:10" x14ac:dyDescent="0.2">
      <c r="D213" t="str">
        <f t="shared" ref="D213:J213" si="0">D53</f>
        <v>Cost of Goods Sold</v>
      </c>
      <c r="F213" s="23">
        <f t="shared" si="0"/>
        <v>0.90358989452154337</v>
      </c>
      <c r="G213" s="23">
        <f t="shared" si="0"/>
        <v>0.78607710895758742</v>
      </c>
      <c r="H213" s="23">
        <f t="shared" si="0"/>
        <v>0.77315571778268855</v>
      </c>
      <c r="I213" s="23">
        <f t="shared" si="0"/>
        <v>0.77429153543170981</v>
      </c>
      <c r="J213" s="23">
        <f t="shared" si="0"/>
        <v>0.75266885813938456</v>
      </c>
    </row>
    <row r="214" spans="4:10" x14ac:dyDescent="0.2">
      <c r="D214" t="str">
        <f t="shared" ref="D214:J214" si="1">D57</f>
        <v>Operating Expenses</v>
      </c>
      <c r="F214" s="23">
        <f t="shared" si="1"/>
        <v>4.6139699123403322E-2</v>
      </c>
      <c r="G214" s="23">
        <f t="shared" si="1"/>
        <v>7.903972166431808E-2</v>
      </c>
      <c r="H214" s="23">
        <f t="shared" si="1"/>
        <v>0.10628333724009181</v>
      </c>
      <c r="I214" s="23">
        <f t="shared" si="1"/>
        <v>9.3305087165422726E-2</v>
      </c>
      <c r="J214" s="23">
        <f t="shared" si="1"/>
        <v>9.232609516791962E-2</v>
      </c>
    </row>
    <row r="215" spans="4:10" x14ac:dyDescent="0.2">
      <c r="D215" t="str">
        <f t="shared" ref="D215:J215" si="2">D59</f>
        <v>Non Operating Expenses</v>
      </c>
      <c r="F215" s="23">
        <f t="shared" si="2"/>
        <v>4.8075559429430021E-3</v>
      </c>
      <c r="G215" s="23">
        <f t="shared" si="2"/>
        <v>1.5022696192787647E-2</v>
      </c>
      <c r="H215" s="23">
        <f t="shared" si="2"/>
        <v>1.7733100312782989E-2</v>
      </c>
      <c r="I215" s="23">
        <f t="shared" si="2"/>
        <v>2.4951881660212498E-2</v>
      </c>
      <c r="J215" s="23">
        <f t="shared" si="2"/>
        <v>2.1459369501477515E-2</v>
      </c>
    </row>
  </sheetData>
  <customSheetViews>
    <customSheetView guid="{250789E3-B657-4A6D-AD7D-7EE7A7132AFA}" showRuler="0">
      <selection activeCell="C8" sqref="C8"/>
      <pageMargins left="0.75" right="0.75" top="1" bottom="1" header="0.5" footer="0.5"/>
      <pageSetup orientation="portrait" horizontalDpi="300" verticalDpi="300" r:id="rId1"/>
      <headerFooter alignWithMargins="0"/>
    </customSheetView>
  </customSheetViews>
  <mergeCells count="9">
    <mergeCell ref="F8:J8"/>
    <mergeCell ref="B51:B63"/>
    <mergeCell ref="B13:B48"/>
    <mergeCell ref="A66:A74"/>
    <mergeCell ref="A13:A48"/>
    <mergeCell ref="A51:A63"/>
    <mergeCell ref="B66:B74"/>
    <mergeCell ref="D6:E6"/>
    <mergeCell ref="D7:E7"/>
  </mergeCells>
  <phoneticPr fontId="0" type="noConversion"/>
  <conditionalFormatting sqref="F26:J26 F48:J48">
    <cfRule type="cellIs" dxfId="2" priority="1" stopIfTrue="1" operator="notEqual">
      <formula>1</formula>
    </cfRule>
  </conditionalFormatting>
  <hyperlinks>
    <hyperlink ref="B2" location="'3 - Balance Sheet'!A1" display="Wksh3" xr:uid="{00000000-0004-0000-0900-000000000000}"/>
    <hyperlink ref="C2" location="'4 - Income Statement'!A1" display="Wksh4" xr:uid="{00000000-0004-0000-0900-000001000000}"/>
    <hyperlink ref="C3" location="'6 - Key Financials'!A1" display="Wksh6" xr:uid="{00000000-0004-0000-0900-000002000000}"/>
    <hyperlink ref="B3" location="'5 - Cash Flow'!A1" display="Wksh5" xr:uid="{00000000-0004-0000-0900-000003000000}"/>
    <hyperlink ref="B4" location="'7 - Ratio Analysis'!A1" display="Wksh7" xr:uid="{00000000-0004-0000-0900-000004000000}"/>
    <hyperlink ref="B5" location="'9 - Horizontal Analysis'!A1" display="Wksh9" xr:uid="{00000000-0004-0000-0900-000005000000}"/>
    <hyperlink ref="C4" location="'8 - Benchmark Analysis'!A1" display="Wksh8" xr:uid="{00000000-0004-0000-0900-000006000000}"/>
    <hyperlink ref="C8" location="'16 - Final Budgets'!A1" display="Wksh16" xr:uid="{00000000-0004-0000-0900-000007000000}"/>
    <hyperlink ref="B8" location="'15 -Budget Analysis'!A1" display="Wksh15" xr:uid="{00000000-0004-0000-0900-000008000000}"/>
    <hyperlink ref="C7" location="'14 - Scenario Analysis'!A1" display="Wksh14" xr:uid="{00000000-0004-0000-0900-000009000000}"/>
    <hyperlink ref="B7" location="'13 - Pro Forma (Exp)'!A1" display="Wksh13" xr:uid="{00000000-0004-0000-0900-00000A000000}"/>
    <hyperlink ref="C6" location="'12 - Pro Forma (Linear) '!A1" display="Wksh12" xr:uid="{00000000-0004-0000-0900-00000B000000}"/>
    <hyperlink ref="B6" location="'11 - Pro Forma (Simple)'!A1" display="Wksh11" xr:uid="{00000000-0004-0000-0900-00000C000000}"/>
    <hyperlink ref="B1" location="'1 - Control Menu'!A1" display="Home" xr:uid="{00000000-0004-0000-0900-00000D000000}"/>
    <hyperlink ref="C1" location="'2 - General Input'!A1" display="Wksh2" xr:uid="{00000000-0004-0000-0900-00000E000000}"/>
  </hyperlinks>
  <pageMargins left="0.75" right="0.75" top="1" bottom="1" header="0.5" footer="0.5"/>
  <pageSetup scale="85" orientation="portrait" horizontalDpi="300" verticalDpi="300" r:id="rId2"/>
  <headerFooter alignWithMargins="0"/>
  <rowBreaks count="3" manualBreakCount="3">
    <brk id="49" min="1" max="8" man="1"/>
    <brk id="100" min="1" max="8" man="1"/>
    <brk id="165" min="1" max="8" man="1"/>
  </rowBreaks>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I136"/>
  <sheetViews>
    <sheetView topLeftCell="A97" zoomScaleNormal="100" workbookViewId="0">
      <selection activeCell="E125" sqref="E125"/>
    </sheetView>
  </sheetViews>
  <sheetFormatPr defaultRowHeight="12.75" x14ac:dyDescent="0.2"/>
  <cols>
    <col min="1" max="2" width="7.7109375" customWidth="1"/>
    <col min="3" max="3" width="53.7109375" customWidth="1"/>
    <col min="4" max="4" width="41" customWidth="1"/>
    <col min="5" max="5" width="15.5703125" bestFit="1" customWidth="1"/>
    <col min="6" max="6" width="14.7109375" bestFit="1" customWidth="1"/>
    <col min="7" max="7" width="16.5703125" bestFit="1" customWidth="1"/>
    <col min="8" max="8" width="15.42578125" bestFit="1" customWidth="1"/>
    <col min="9" max="9" width="15.5703125" bestFit="1" customWidth="1"/>
  </cols>
  <sheetData>
    <row r="1" spans="1:9" ht="15.75" x14ac:dyDescent="0.25">
      <c r="A1" s="132" t="s">
        <v>1065</v>
      </c>
      <c r="B1" s="133" t="s">
        <v>36</v>
      </c>
      <c r="C1" s="134" t="s">
        <v>1241</v>
      </c>
      <c r="D1" s="187" t="s">
        <v>721</v>
      </c>
      <c r="E1" s="187"/>
      <c r="F1" s="187"/>
      <c r="G1" s="187"/>
      <c r="H1" s="187"/>
      <c r="I1" s="188"/>
    </row>
    <row r="2" spans="1:9" ht="15.75" x14ac:dyDescent="0.25">
      <c r="A2" s="135" t="s">
        <v>1344</v>
      </c>
      <c r="B2" s="136" t="s">
        <v>1345</v>
      </c>
      <c r="C2" s="5">
        <f>'2 - General Input'!C6</f>
        <v>0</v>
      </c>
      <c r="D2" s="5"/>
      <c r="I2" s="137"/>
    </row>
    <row r="3" spans="1:9" x14ac:dyDescent="0.2">
      <c r="A3" s="135" t="s">
        <v>1346</v>
      </c>
      <c r="B3" s="136" t="s">
        <v>1347</v>
      </c>
      <c r="I3" s="137"/>
    </row>
    <row r="4" spans="1:9" x14ac:dyDescent="0.2">
      <c r="A4" s="135" t="s">
        <v>1348</v>
      </c>
      <c r="B4" s="136" t="s">
        <v>35</v>
      </c>
      <c r="C4" t="s">
        <v>788</v>
      </c>
      <c r="I4" s="137"/>
    </row>
    <row r="5" spans="1:9" x14ac:dyDescent="0.2">
      <c r="A5" s="135" t="s">
        <v>1349</v>
      </c>
      <c r="B5" s="136" t="s">
        <v>1350</v>
      </c>
      <c r="C5" t="s">
        <v>1276</v>
      </c>
      <c r="I5" s="137"/>
    </row>
    <row r="6" spans="1:9" x14ac:dyDescent="0.2">
      <c r="A6" s="138" t="s">
        <v>1352</v>
      </c>
      <c r="B6" s="136" t="s">
        <v>30</v>
      </c>
      <c r="C6" s="10" t="s">
        <v>1277</v>
      </c>
      <c r="D6" s="10"/>
      <c r="I6" s="137"/>
    </row>
    <row r="7" spans="1:9" x14ac:dyDescent="0.2">
      <c r="A7" s="135" t="s">
        <v>32</v>
      </c>
      <c r="B7" s="136" t="s">
        <v>31</v>
      </c>
      <c r="C7" s="10" t="s">
        <v>1278</v>
      </c>
      <c r="D7" s="10"/>
      <c r="I7" s="137"/>
    </row>
    <row r="8" spans="1:9" x14ac:dyDescent="0.2">
      <c r="A8" s="135" t="s">
        <v>33</v>
      </c>
      <c r="B8" s="136" t="s">
        <v>34</v>
      </c>
      <c r="C8" s="10" t="s">
        <v>1242</v>
      </c>
      <c r="D8" s="10"/>
      <c r="I8" s="137"/>
    </row>
    <row r="9" spans="1:9" ht="14.25" x14ac:dyDescent="0.2">
      <c r="A9" s="185" t="s">
        <v>988</v>
      </c>
      <c r="B9" s="186"/>
      <c r="C9" s="186"/>
      <c r="D9" s="186"/>
      <c r="E9" s="186"/>
      <c r="F9" s="186"/>
      <c r="G9" s="186"/>
      <c r="H9" s="186"/>
      <c r="I9" s="137"/>
    </row>
    <row r="10" spans="1:9" ht="14.25" x14ac:dyDescent="0.2">
      <c r="A10" s="185" t="s">
        <v>446</v>
      </c>
      <c r="B10" s="186"/>
      <c r="C10" s="186"/>
      <c r="D10" s="186"/>
      <c r="E10" s="186"/>
      <c r="F10" s="186"/>
      <c r="G10" s="186"/>
      <c r="H10" s="186"/>
      <c r="I10" s="137"/>
    </row>
    <row r="11" spans="1:9" x14ac:dyDescent="0.2">
      <c r="A11" s="139"/>
      <c r="B11" s="48" t="s">
        <v>788</v>
      </c>
      <c r="E11" s="3" t="str">
        <f>'2 - General Input'!$C$8</f>
        <v>Annual  سنوى</v>
      </c>
      <c r="F11" s="3" t="str">
        <f>'2 - General Input'!$C$8</f>
        <v>Annual  سنوى</v>
      </c>
      <c r="G11" s="3" t="str">
        <f>'2 - General Input'!$C$8</f>
        <v>Annual  سنوى</v>
      </c>
      <c r="H11" s="3" t="str">
        <f>'2 - General Input'!$C$8</f>
        <v>Annual  سنوى</v>
      </c>
      <c r="I11" s="140" t="str">
        <f>'2 - General Input'!$C$8</f>
        <v>Annual  سنوى</v>
      </c>
    </row>
    <row r="12" spans="1:9" x14ac:dyDescent="0.2">
      <c r="A12" s="139"/>
      <c r="B12" s="27"/>
      <c r="E12" s="3" t="s">
        <v>801</v>
      </c>
      <c r="F12" s="3" t="s">
        <v>801</v>
      </c>
      <c r="G12" s="3" t="s">
        <v>801</v>
      </c>
      <c r="H12" s="3" t="s">
        <v>801</v>
      </c>
      <c r="I12" s="140" t="s">
        <v>801</v>
      </c>
    </row>
    <row r="13" spans="1:9" x14ac:dyDescent="0.2">
      <c r="A13" s="139"/>
      <c r="B13" s="141" t="s">
        <v>792</v>
      </c>
      <c r="C13" s="12" t="s">
        <v>1237</v>
      </c>
      <c r="D13" s="12"/>
      <c r="E13" s="142">
        <f>+'2 - General Input'!C14+1</f>
        <v>2010</v>
      </c>
      <c r="F13" s="142">
        <f>+E13+1</f>
        <v>2011</v>
      </c>
      <c r="G13" s="142">
        <f>+F13+1</f>
        <v>2012</v>
      </c>
      <c r="H13" s="142">
        <f>+G13+1</f>
        <v>2013</v>
      </c>
      <c r="I13" s="143">
        <f>+H13+1</f>
        <v>2014</v>
      </c>
    </row>
    <row r="14" spans="1:9" x14ac:dyDescent="0.2">
      <c r="A14" s="139"/>
      <c r="B14" s="27"/>
      <c r="I14" s="137"/>
    </row>
    <row r="15" spans="1:9" x14ac:dyDescent="0.2">
      <c r="A15" s="139"/>
      <c r="B15" s="27" t="s">
        <v>788</v>
      </c>
      <c r="C15" s="4" t="s">
        <v>1240</v>
      </c>
      <c r="D15" s="4" t="s">
        <v>989</v>
      </c>
      <c r="F15" s="23"/>
      <c r="I15" s="137"/>
    </row>
    <row r="16" spans="1:9" x14ac:dyDescent="0.2">
      <c r="A16" s="139"/>
      <c r="B16" s="27"/>
      <c r="E16" s="41" t="s">
        <v>788</v>
      </c>
      <c r="F16" s="41"/>
      <c r="G16" s="41"/>
      <c r="H16" s="41"/>
      <c r="I16" s="137"/>
    </row>
    <row r="17" spans="1:9" x14ac:dyDescent="0.2">
      <c r="A17" s="139"/>
      <c r="B17" s="27" t="s">
        <v>1353</v>
      </c>
      <c r="C17" t="s">
        <v>1238</v>
      </c>
      <c r="D17" t="s">
        <v>990</v>
      </c>
      <c r="E17" s="15">
        <f>'4 - Income Statement'!H4*(1+E18)</f>
        <v>873864026.56000006</v>
      </c>
      <c r="F17" s="15">
        <f>E17*(1+F18)</f>
        <v>978727709.74720013</v>
      </c>
      <c r="G17" s="15">
        <f>F17*(1+G18)</f>
        <v>1096175034.9168642</v>
      </c>
      <c r="H17" s="15">
        <f>G17*(1+H18)</f>
        <v>1227716039.1068881</v>
      </c>
      <c r="I17" s="144">
        <f>H17*(1+I18)</f>
        <v>1375041963.7997148</v>
      </c>
    </row>
    <row r="18" spans="1:9" x14ac:dyDescent="0.2">
      <c r="A18" s="139"/>
      <c r="B18" s="27" t="s">
        <v>1187</v>
      </c>
      <c r="C18" s="39" t="s">
        <v>1275</v>
      </c>
      <c r="D18" s="12" t="s">
        <v>991</v>
      </c>
      <c r="E18" s="145">
        <v>0.12</v>
      </c>
      <c r="F18" s="145">
        <v>0.12</v>
      </c>
      <c r="G18" s="145">
        <v>0.12</v>
      </c>
      <c r="H18" s="145">
        <v>0.12</v>
      </c>
      <c r="I18" s="146">
        <v>0.12</v>
      </c>
    </row>
    <row r="19" spans="1:9" x14ac:dyDescent="0.2">
      <c r="A19" s="139"/>
      <c r="B19" s="27"/>
      <c r="I19" s="137"/>
    </row>
    <row r="20" spans="1:9" x14ac:dyDescent="0.2">
      <c r="A20" s="139"/>
      <c r="B20" s="27" t="s">
        <v>1354</v>
      </c>
      <c r="C20" t="s">
        <v>796</v>
      </c>
      <c r="D20" t="s">
        <v>640</v>
      </c>
      <c r="E20" s="18">
        <f>(E$17*E21)*-1</f>
        <v>-697305587.56579781</v>
      </c>
      <c r="F20" s="18">
        <f>(F$17*F21)*-1</f>
        <v>-780982258.07369363</v>
      </c>
      <c r="G20" s="18">
        <f>(G$17*G21)*-1</f>
        <v>-874700129.04253685</v>
      </c>
      <c r="H20" s="18">
        <f>(H$17*H21)*-1</f>
        <v>-979664144.52764142</v>
      </c>
      <c r="I20" s="147">
        <f>(I$17*I21)*-1</f>
        <v>-1097223841.8709586</v>
      </c>
    </row>
    <row r="21" spans="1:9" x14ac:dyDescent="0.2">
      <c r="A21" s="148"/>
      <c r="B21" s="27" t="s">
        <v>1217</v>
      </c>
      <c r="C21" s="2" t="s">
        <v>1275</v>
      </c>
      <c r="D21" s="12" t="s">
        <v>991</v>
      </c>
      <c r="E21" s="145">
        <f>AVERAGE('10 - Vertical Analysis'!$F$53:$J$53)</f>
        <v>0.79795662296658276</v>
      </c>
      <c r="F21" s="145">
        <f>AVERAGE('10 - Vertical Analysis'!$F$53:$J$53)</f>
        <v>0.79795662296658276</v>
      </c>
      <c r="G21" s="145">
        <f>AVERAGE('10 - Vertical Analysis'!$F$53:$J$53)</f>
        <v>0.79795662296658276</v>
      </c>
      <c r="H21" s="145">
        <f>AVERAGE('10 - Vertical Analysis'!$F$53:$J$53)</f>
        <v>0.79795662296658276</v>
      </c>
      <c r="I21" s="146">
        <f>AVERAGE('10 - Vertical Analysis'!$F$53:$J$53)</f>
        <v>0.79795662296658276</v>
      </c>
    </row>
    <row r="22" spans="1:9" x14ac:dyDescent="0.2">
      <c r="A22" s="148"/>
      <c r="B22" s="27"/>
      <c r="E22" t="s">
        <v>788</v>
      </c>
      <c r="F22" t="s">
        <v>788</v>
      </c>
      <c r="G22" t="s">
        <v>788</v>
      </c>
      <c r="H22" t="s">
        <v>788</v>
      </c>
      <c r="I22" s="149" t="s">
        <v>788</v>
      </c>
    </row>
    <row r="23" spans="1:9" x14ac:dyDescent="0.2">
      <c r="A23" s="148"/>
      <c r="B23" s="27" t="s">
        <v>1355</v>
      </c>
      <c r="C23" t="s">
        <v>1206</v>
      </c>
      <c r="D23" t="s">
        <v>992</v>
      </c>
      <c r="E23" s="18">
        <f>(E$17*E24)*-1</f>
        <v>-72896678.035555184</v>
      </c>
      <c r="F23" s="18">
        <f>(F$17*F24)*-1</f>
        <v>-81644279.399821803</v>
      </c>
      <c r="G23" s="18">
        <f>(G$17*G24)*-1</f>
        <v>-91441592.927800417</v>
      </c>
      <c r="H23" s="18">
        <f>(H$17*H24)*-1</f>
        <v>-102414584.07913649</v>
      </c>
      <c r="I23" s="147">
        <f>(I$17*I24)*-1</f>
        <v>-114704334.16863288</v>
      </c>
    </row>
    <row r="24" spans="1:9" x14ac:dyDescent="0.2">
      <c r="A24" s="148"/>
      <c r="B24" s="27" t="s">
        <v>1218</v>
      </c>
      <c r="C24" s="2" t="s">
        <v>1275</v>
      </c>
      <c r="D24" s="12" t="s">
        <v>991</v>
      </c>
      <c r="E24" s="23">
        <f>AVERAGE('10 - Vertical Analysis'!$F$57:$J$57)</f>
        <v>8.3418788072231104E-2</v>
      </c>
      <c r="F24" s="23">
        <f>AVERAGE('10 - Vertical Analysis'!$F$57:$J$57)</f>
        <v>8.3418788072231104E-2</v>
      </c>
      <c r="G24" s="23">
        <f>AVERAGE('10 - Vertical Analysis'!$F$57:$J$57)</f>
        <v>8.3418788072231104E-2</v>
      </c>
      <c r="H24" s="23">
        <f>AVERAGE('10 - Vertical Analysis'!$F$57:$J$57)</f>
        <v>8.3418788072231104E-2</v>
      </c>
      <c r="I24" s="149">
        <f>AVERAGE('10 - Vertical Analysis'!$F$57:$J$57)</f>
        <v>8.3418788072231104E-2</v>
      </c>
    </row>
    <row r="25" spans="1:9" x14ac:dyDescent="0.2">
      <c r="A25" s="148"/>
      <c r="B25" s="27"/>
      <c r="I25" s="137"/>
    </row>
    <row r="26" spans="1:9" x14ac:dyDescent="0.2">
      <c r="A26" s="148"/>
      <c r="B26" s="27" t="s">
        <v>1089</v>
      </c>
      <c r="C26" t="s">
        <v>1369</v>
      </c>
      <c r="D26" t="s">
        <v>993</v>
      </c>
      <c r="E26" s="18">
        <v>0</v>
      </c>
      <c r="F26" s="18">
        <v>0</v>
      </c>
      <c r="G26" s="18">
        <v>0</v>
      </c>
      <c r="H26" s="18">
        <v>0</v>
      </c>
      <c r="I26" s="147">
        <v>0</v>
      </c>
    </row>
    <row r="27" spans="1:9" x14ac:dyDescent="0.2">
      <c r="A27" s="148"/>
      <c r="B27" s="27"/>
      <c r="E27" s="18"/>
      <c r="F27" s="18"/>
      <c r="G27" s="18"/>
      <c r="H27" s="18"/>
      <c r="I27" s="147"/>
    </row>
    <row r="28" spans="1:9" x14ac:dyDescent="0.2">
      <c r="A28" s="148"/>
      <c r="B28" s="27" t="s">
        <v>1281</v>
      </c>
      <c r="C28" s="61" t="s">
        <v>8</v>
      </c>
      <c r="D28" s="61" t="s">
        <v>994</v>
      </c>
      <c r="E28" s="62">
        <v>0</v>
      </c>
      <c r="F28" s="62">
        <v>0</v>
      </c>
      <c r="G28" s="62">
        <v>0</v>
      </c>
      <c r="H28" s="62">
        <v>0</v>
      </c>
      <c r="I28" s="150">
        <v>0</v>
      </c>
    </row>
    <row r="29" spans="1:9" x14ac:dyDescent="0.2">
      <c r="A29" s="148"/>
      <c r="B29" s="27"/>
      <c r="C29" s="2" t="s">
        <v>788</v>
      </c>
      <c r="D29" s="2"/>
      <c r="I29" s="137"/>
    </row>
    <row r="30" spans="1:9" ht="13.5" thickBot="1" x14ac:dyDescent="0.25">
      <c r="A30" s="148"/>
      <c r="B30" s="27" t="s">
        <v>200</v>
      </c>
      <c r="C30" s="63" t="s">
        <v>808</v>
      </c>
      <c r="D30" s="63" t="s">
        <v>637</v>
      </c>
      <c r="E30" s="64">
        <f>E17+E20+E23+E26+E28</f>
        <v>103661760.95864707</v>
      </c>
      <c r="F30" s="64">
        <f>F17+F20+F23+F26+F28</f>
        <v>116101172.2736847</v>
      </c>
      <c r="G30" s="64">
        <f>G17+G20+G23+G26+G28</f>
        <v>130033312.94652689</v>
      </c>
      <c r="H30" s="64">
        <f>H17+H20+H23+H26+H28</f>
        <v>145637310.50011015</v>
      </c>
      <c r="I30" s="151">
        <f>I17+I20+I23+I26+I28</f>
        <v>163113787.76012337</v>
      </c>
    </row>
    <row r="31" spans="1:9" ht="13.5" thickTop="1" x14ac:dyDescent="0.2">
      <c r="A31" s="148"/>
      <c r="B31" s="27"/>
      <c r="C31" s="2" t="s">
        <v>788</v>
      </c>
      <c r="D31" s="2"/>
      <c r="E31" s="23" t="s">
        <v>788</v>
      </c>
      <c r="F31" s="23" t="s">
        <v>788</v>
      </c>
      <c r="G31" s="23" t="s">
        <v>788</v>
      </c>
      <c r="H31" s="23" t="s">
        <v>788</v>
      </c>
      <c r="I31" s="149" t="s">
        <v>788</v>
      </c>
    </row>
    <row r="32" spans="1:9" x14ac:dyDescent="0.2">
      <c r="A32" s="148"/>
      <c r="B32" s="27"/>
      <c r="I32" s="137"/>
    </row>
    <row r="33" spans="1:9" x14ac:dyDescent="0.2">
      <c r="A33" s="152" t="s">
        <v>788</v>
      </c>
      <c r="B33" s="27"/>
      <c r="I33" s="137"/>
    </row>
    <row r="34" spans="1:9" x14ac:dyDescent="0.2">
      <c r="A34" s="148"/>
      <c r="B34" s="27"/>
      <c r="C34" s="4" t="s">
        <v>1279</v>
      </c>
      <c r="D34" s="4" t="s">
        <v>995</v>
      </c>
      <c r="I34" s="137"/>
    </row>
    <row r="35" spans="1:9" x14ac:dyDescent="0.2">
      <c r="A35" s="148"/>
      <c r="B35" s="27"/>
      <c r="I35" s="137"/>
    </row>
    <row r="36" spans="1:9" x14ac:dyDescent="0.2">
      <c r="A36" s="148"/>
      <c r="B36" s="27"/>
      <c r="C36" s="1" t="s">
        <v>1335</v>
      </c>
      <c r="D36" s="1" t="s">
        <v>996</v>
      </c>
      <c r="I36" s="137"/>
    </row>
    <row r="37" spans="1:9" x14ac:dyDescent="0.2">
      <c r="A37" s="139" t="s">
        <v>788</v>
      </c>
      <c r="B37" s="27" t="s">
        <v>201</v>
      </c>
      <c r="C37" t="str">
        <f>'5 - Cash Flow'!B2</f>
        <v>Net Income</v>
      </c>
      <c r="D37" t="s">
        <v>637</v>
      </c>
      <c r="E37" s="18">
        <f>E30</f>
        <v>103661760.95864707</v>
      </c>
      <c r="F37" s="18">
        <f>F30</f>
        <v>116101172.2736847</v>
      </c>
      <c r="G37" s="18">
        <f>G30</f>
        <v>130033312.94652689</v>
      </c>
      <c r="H37" s="18">
        <f>H30</f>
        <v>145637310.50011015</v>
      </c>
      <c r="I37" s="147">
        <f>I30</f>
        <v>163113787.76012337</v>
      </c>
    </row>
    <row r="38" spans="1:9" x14ac:dyDescent="0.2">
      <c r="A38" s="139"/>
      <c r="B38" s="27" t="s">
        <v>202</v>
      </c>
      <c r="C38" t="str">
        <f>'5 - Cash Flow'!B3</f>
        <v>Depreciation and Amortization</v>
      </c>
      <c r="D38" t="s">
        <v>713</v>
      </c>
      <c r="E38" s="18">
        <v>0</v>
      </c>
      <c r="F38">
        <v>0</v>
      </c>
      <c r="G38">
        <v>0</v>
      </c>
      <c r="H38">
        <v>0</v>
      </c>
      <c r="I38" s="137">
        <v>0</v>
      </c>
    </row>
    <row r="39" spans="1:9" x14ac:dyDescent="0.2">
      <c r="A39" s="139"/>
      <c r="B39" s="27" t="s">
        <v>203</v>
      </c>
      <c r="C39" t="str">
        <f>'5 - Cash Flow'!B4</f>
        <v>(Increase) Decrease Defer Taxes</v>
      </c>
      <c r="D39" t="s">
        <v>997</v>
      </c>
      <c r="E39" s="18">
        <v>0</v>
      </c>
      <c r="F39" s="18">
        <v>0</v>
      </c>
      <c r="G39" s="18">
        <v>0</v>
      </c>
      <c r="H39" s="18">
        <v>0</v>
      </c>
      <c r="I39" s="147">
        <v>0</v>
      </c>
    </row>
    <row r="40" spans="1:9" x14ac:dyDescent="0.2">
      <c r="A40" s="139"/>
      <c r="B40" s="27" t="s">
        <v>204</v>
      </c>
      <c r="C40" t="str">
        <f>'5 - Cash Flow'!B5</f>
        <v>(Gain) Loss on Sale of Assets</v>
      </c>
      <c r="D40" t="s">
        <v>998</v>
      </c>
      <c r="E40" s="18">
        <v>0</v>
      </c>
      <c r="F40" s="18">
        <v>0</v>
      </c>
      <c r="G40" s="18">
        <v>0</v>
      </c>
      <c r="H40" s="18">
        <v>0</v>
      </c>
      <c r="I40" s="147">
        <v>0</v>
      </c>
    </row>
    <row r="41" spans="1:9" x14ac:dyDescent="0.2">
      <c r="A41" s="139"/>
      <c r="B41" s="27" t="s">
        <v>205</v>
      </c>
      <c r="C41" t="str">
        <f>'5 - Cash Flow'!B6</f>
        <v>(Increase) Decrease Current Assets</v>
      </c>
      <c r="D41" t="s">
        <v>999</v>
      </c>
      <c r="E41" s="18">
        <f>'3 - Balance Sheet'!H7-(E17*0.27)</f>
        <v>202424907.82879996</v>
      </c>
      <c r="F41" s="18">
        <f>(E17*0.27)-(F17*0.27)</f>
        <v>-28313194.46054402</v>
      </c>
      <c r="G41" s="18">
        <f>(F17*0.27)-(G17*0.27)</f>
        <v>-31710777.795809299</v>
      </c>
      <c r="H41" s="18">
        <f>(G17*0.27)-(H17*0.27)</f>
        <v>-35516071.131306469</v>
      </c>
      <c r="I41" s="147">
        <f>(H17*0.27)-(I17*0.27)</f>
        <v>-39777999.667063177</v>
      </c>
    </row>
    <row r="42" spans="1:9" x14ac:dyDescent="0.2">
      <c r="A42" s="139"/>
      <c r="B42" s="27" t="s">
        <v>206</v>
      </c>
      <c r="C42" s="61" t="str">
        <f>'5 - Cash Flow'!B7</f>
        <v>Increase (Decrease) Current Liab</v>
      </c>
      <c r="D42" s="61" t="s">
        <v>1000</v>
      </c>
      <c r="E42" s="62">
        <f>(E17*0.35)-'3 - Balance Sheet'!H20</f>
        <v>-52833685.703999996</v>
      </c>
      <c r="F42" s="62">
        <f>(F17*0.35)-(E17*0.35)</f>
        <v>36702289.11552</v>
      </c>
      <c r="G42" s="62">
        <f>(G17*0.35)-(F17*0.35)</f>
        <v>41106563.809382439</v>
      </c>
      <c r="H42" s="62">
        <f>(H17*0.35)-(G17*0.35)</f>
        <v>46039351.466508329</v>
      </c>
      <c r="I42" s="150">
        <f>(I17*0.35)-(H17*0.35)</f>
        <v>51564073.642489374</v>
      </c>
    </row>
    <row r="43" spans="1:9" x14ac:dyDescent="0.2">
      <c r="A43" s="139"/>
      <c r="B43" s="27"/>
      <c r="E43" s="18"/>
      <c r="F43" s="18" t="s">
        <v>788</v>
      </c>
      <c r="G43" s="18" t="s">
        <v>788</v>
      </c>
      <c r="H43" s="18" t="s">
        <v>788</v>
      </c>
      <c r="I43" s="147" t="s">
        <v>788</v>
      </c>
    </row>
    <row r="44" spans="1:9" x14ac:dyDescent="0.2">
      <c r="A44" s="139"/>
      <c r="B44" s="27" t="s">
        <v>207</v>
      </c>
      <c r="C44" t="s">
        <v>1107</v>
      </c>
      <c r="D44" t="s">
        <v>1001</v>
      </c>
      <c r="E44" s="18">
        <f>SUM(E37:E43)</f>
        <v>253252983.08344704</v>
      </c>
      <c r="F44" s="18">
        <f>SUM(F37:F43)</f>
        <v>124490266.92866068</v>
      </c>
      <c r="G44" s="18">
        <f>SUM(G37:G43)</f>
        <v>139429098.96010002</v>
      </c>
      <c r="H44" s="18">
        <f>SUM(H37:H43)</f>
        <v>156160590.83531201</v>
      </c>
      <c r="I44" s="147">
        <f>SUM(I37:I43)</f>
        <v>174899861.73554957</v>
      </c>
    </row>
    <row r="45" spans="1:9" x14ac:dyDescent="0.2">
      <c r="A45" s="139"/>
      <c r="B45" s="27"/>
      <c r="E45" s="18"/>
      <c r="F45" s="18" t="s">
        <v>788</v>
      </c>
      <c r="G45" s="18" t="s">
        <v>788</v>
      </c>
      <c r="H45" s="18" t="s">
        <v>788</v>
      </c>
      <c r="I45" s="147" t="s">
        <v>788</v>
      </c>
    </row>
    <row r="46" spans="1:9" x14ac:dyDescent="0.2">
      <c r="A46" s="139" t="s">
        <v>788</v>
      </c>
      <c r="B46" s="27"/>
      <c r="C46" s="1" t="s">
        <v>1336</v>
      </c>
      <c r="D46" s="1" t="s">
        <v>1002</v>
      </c>
      <c r="E46" s="18"/>
      <c r="F46" s="18" t="s">
        <v>788</v>
      </c>
      <c r="G46" s="18" t="s">
        <v>788</v>
      </c>
      <c r="H46" s="18" t="s">
        <v>788</v>
      </c>
      <c r="I46" s="147" t="s">
        <v>788</v>
      </c>
    </row>
    <row r="47" spans="1:9" x14ac:dyDescent="0.2">
      <c r="A47" s="139" t="s">
        <v>788</v>
      </c>
      <c r="B47" s="27" t="s">
        <v>208</v>
      </c>
      <c r="C47" t="s">
        <v>1337</v>
      </c>
      <c r="D47" t="s">
        <v>1003</v>
      </c>
      <c r="E47" s="18">
        <v>0</v>
      </c>
      <c r="F47" s="18">
        <v>0</v>
      </c>
      <c r="G47" s="18">
        <v>0</v>
      </c>
      <c r="H47" s="18">
        <v>0</v>
      </c>
      <c r="I47" s="147">
        <v>0</v>
      </c>
    </row>
    <row r="48" spans="1:9" x14ac:dyDescent="0.2">
      <c r="A48" s="139" t="s">
        <v>788</v>
      </c>
      <c r="B48" s="27" t="s">
        <v>209</v>
      </c>
      <c r="C48" t="s">
        <v>1338</v>
      </c>
      <c r="D48" t="s">
        <v>1004</v>
      </c>
      <c r="E48" s="18">
        <v>0</v>
      </c>
      <c r="F48" s="18">
        <v>0</v>
      </c>
      <c r="G48" s="18">
        <v>0</v>
      </c>
      <c r="H48" s="18">
        <v>0</v>
      </c>
      <c r="I48" s="147">
        <v>0</v>
      </c>
    </row>
    <row r="49" spans="1:9" x14ac:dyDescent="0.2">
      <c r="A49" s="139"/>
      <c r="B49" s="27" t="s">
        <v>210</v>
      </c>
      <c r="C49" s="61" t="s">
        <v>1339</v>
      </c>
      <c r="D49" s="61" t="s">
        <v>1005</v>
      </c>
      <c r="E49" s="62">
        <v>0</v>
      </c>
      <c r="F49" s="62">
        <v>0</v>
      </c>
      <c r="G49" s="62">
        <v>0</v>
      </c>
      <c r="H49" s="62">
        <v>0</v>
      </c>
      <c r="I49" s="150">
        <v>0</v>
      </c>
    </row>
    <row r="50" spans="1:9" x14ac:dyDescent="0.2">
      <c r="A50" s="139"/>
      <c r="B50" s="27" t="s">
        <v>211</v>
      </c>
      <c r="C50" s="2" t="s">
        <v>18</v>
      </c>
      <c r="D50" s="2" t="s">
        <v>1006</v>
      </c>
      <c r="E50" s="18">
        <f>SUM(E47:E49)</f>
        <v>0</v>
      </c>
      <c r="F50" s="18">
        <f>SUM(F47:F49)</f>
        <v>0</v>
      </c>
      <c r="G50" s="18">
        <f>SUM(G47:G49)</f>
        <v>0</v>
      </c>
      <c r="H50" s="18">
        <f>SUM(H47:H49)</f>
        <v>0</v>
      </c>
      <c r="I50" s="147">
        <f>SUM(I47:I49)</f>
        <v>0</v>
      </c>
    </row>
    <row r="51" spans="1:9" x14ac:dyDescent="0.2">
      <c r="A51" s="139"/>
      <c r="B51" s="27"/>
      <c r="E51" s="18"/>
      <c r="F51" s="18"/>
      <c r="G51" s="18"/>
      <c r="H51" s="18"/>
      <c r="I51" s="147"/>
    </row>
    <row r="52" spans="1:9" x14ac:dyDescent="0.2">
      <c r="A52" s="139"/>
      <c r="B52" s="27"/>
      <c r="C52" s="1" t="s">
        <v>1340</v>
      </c>
      <c r="D52" s="1" t="s">
        <v>1007</v>
      </c>
      <c r="E52" s="18"/>
      <c r="F52" s="18"/>
      <c r="G52" s="18"/>
      <c r="H52" s="18"/>
      <c r="I52" s="147"/>
    </row>
    <row r="53" spans="1:9" x14ac:dyDescent="0.2">
      <c r="A53" s="139"/>
      <c r="B53" s="27" t="s">
        <v>212</v>
      </c>
      <c r="C53" t="s">
        <v>853</v>
      </c>
      <c r="D53" t="s">
        <v>1008</v>
      </c>
      <c r="E53" s="18"/>
      <c r="F53" s="18"/>
      <c r="G53" s="18"/>
      <c r="H53" s="18"/>
      <c r="I53" s="147"/>
    </row>
    <row r="54" spans="1:9" x14ac:dyDescent="0.2">
      <c r="A54" s="139"/>
      <c r="B54" s="27" t="s">
        <v>213</v>
      </c>
      <c r="C54" t="s">
        <v>268</v>
      </c>
      <c r="D54" t="s">
        <v>562</v>
      </c>
      <c r="E54" s="18"/>
      <c r="F54" s="18"/>
      <c r="G54" s="18"/>
      <c r="H54" s="18"/>
      <c r="I54" s="147"/>
    </row>
    <row r="55" spans="1:9" x14ac:dyDescent="0.2">
      <c r="A55" s="139"/>
      <c r="B55" s="27" t="s">
        <v>214</v>
      </c>
      <c r="C55" s="61" t="s">
        <v>859</v>
      </c>
      <c r="D55" s="61" t="s">
        <v>1009</v>
      </c>
      <c r="E55" s="62"/>
      <c r="F55" s="62"/>
      <c r="G55" s="62"/>
      <c r="H55" s="62"/>
      <c r="I55" s="150"/>
    </row>
    <row r="56" spans="1:9" x14ac:dyDescent="0.2">
      <c r="A56" s="139"/>
      <c r="B56" s="27" t="s">
        <v>215</v>
      </c>
      <c r="C56" s="2" t="s">
        <v>19</v>
      </c>
      <c r="D56" s="2" t="s">
        <v>1010</v>
      </c>
      <c r="E56" s="18">
        <f>SUM(E53:E55)</f>
        <v>0</v>
      </c>
      <c r="F56" s="18">
        <f>SUM(F53:F55)</f>
        <v>0</v>
      </c>
      <c r="G56" s="18">
        <f>SUM(G53:G55)</f>
        <v>0</v>
      </c>
      <c r="H56" s="18">
        <f>SUM(H53:H55)</f>
        <v>0</v>
      </c>
      <c r="I56" s="147">
        <f>SUM(I53:I55)</f>
        <v>0</v>
      </c>
    </row>
    <row r="57" spans="1:9" x14ac:dyDescent="0.2">
      <c r="A57" s="139"/>
      <c r="B57" s="27"/>
      <c r="E57" s="18"/>
      <c r="F57" s="18"/>
      <c r="G57" s="18"/>
      <c r="H57" s="18"/>
      <c r="I57" s="147"/>
    </row>
    <row r="58" spans="1:9" x14ac:dyDescent="0.2">
      <c r="A58" s="139"/>
      <c r="B58" s="27"/>
      <c r="C58" s="1" t="s">
        <v>1341</v>
      </c>
      <c r="D58" s="1" t="s">
        <v>1011</v>
      </c>
      <c r="E58" s="18"/>
      <c r="F58" s="18"/>
      <c r="G58" s="18"/>
      <c r="H58" s="18"/>
      <c r="I58" s="147"/>
    </row>
    <row r="59" spans="1:9" x14ac:dyDescent="0.2">
      <c r="A59" s="139"/>
      <c r="B59" s="27" t="s">
        <v>216</v>
      </c>
      <c r="C59" t="s">
        <v>1342</v>
      </c>
      <c r="D59" t="s">
        <v>1012</v>
      </c>
      <c r="E59" s="18"/>
      <c r="F59" s="18"/>
      <c r="G59" s="18"/>
      <c r="H59" s="18"/>
      <c r="I59" s="147"/>
    </row>
    <row r="60" spans="1:9" x14ac:dyDescent="0.2">
      <c r="A60" s="139"/>
      <c r="B60" s="27" t="s">
        <v>217</v>
      </c>
      <c r="C60" t="s">
        <v>867</v>
      </c>
      <c r="D60" t="s">
        <v>1013</v>
      </c>
      <c r="E60" s="18"/>
      <c r="F60" s="18"/>
      <c r="G60" s="18"/>
      <c r="H60" s="18"/>
      <c r="I60" s="147"/>
    </row>
    <row r="61" spans="1:9" x14ac:dyDescent="0.2">
      <c r="A61" s="139"/>
      <c r="B61" s="27" t="s">
        <v>218</v>
      </c>
      <c r="C61" s="61" t="s">
        <v>868</v>
      </c>
      <c r="D61" s="61" t="s">
        <v>1014</v>
      </c>
      <c r="E61" s="62"/>
      <c r="F61" s="62"/>
      <c r="G61" s="62"/>
      <c r="H61" s="62"/>
      <c r="I61" s="150"/>
    </row>
    <row r="62" spans="1:9" x14ac:dyDescent="0.2">
      <c r="A62" s="139"/>
      <c r="B62" s="27" t="s">
        <v>219</v>
      </c>
      <c r="C62" s="2" t="s">
        <v>20</v>
      </c>
      <c r="D62" s="2" t="s">
        <v>1015</v>
      </c>
      <c r="E62" s="18">
        <f>SUM(E59:E61)</f>
        <v>0</v>
      </c>
      <c r="F62" s="18">
        <f>SUM(F59:F61)</f>
        <v>0</v>
      </c>
      <c r="G62" s="18">
        <f>SUM(G59:G61)</f>
        <v>0</v>
      </c>
      <c r="H62" s="18">
        <f>SUM(H59:H61)</f>
        <v>0</v>
      </c>
      <c r="I62" s="147">
        <f>SUM(I59:I61)</f>
        <v>0</v>
      </c>
    </row>
    <row r="63" spans="1:9" ht="13.5" thickBot="1" x14ac:dyDescent="0.25">
      <c r="A63" s="162"/>
      <c r="B63" s="159"/>
      <c r="C63" s="160"/>
      <c r="D63" s="160"/>
      <c r="E63" s="163"/>
      <c r="F63" s="163"/>
      <c r="G63" s="163"/>
      <c r="H63" s="163"/>
      <c r="I63" s="164"/>
    </row>
    <row r="64" spans="1:9" x14ac:dyDescent="0.2">
      <c r="A64" s="139"/>
      <c r="B64" s="27"/>
      <c r="C64" s="1" t="s">
        <v>10</v>
      </c>
      <c r="D64" s="1" t="s">
        <v>1016</v>
      </c>
      <c r="E64" s="18"/>
      <c r="F64" s="18"/>
      <c r="G64" s="18"/>
      <c r="H64" s="18"/>
      <c r="I64" s="147"/>
    </row>
    <row r="65" spans="1:9" x14ac:dyDescent="0.2">
      <c r="A65" s="139"/>
      <c r="B65" s="27" t="s">
        <v>220</v>
      </c>
      <c r="C65" t="s">
        <v>11</v>
      </c>
      <c r="D65" t="s">
        <v>1017</v>
      </c>
      <c r="E65" s="18"/>
      <c r="F65" s="18"/>
      <c r="G65" s="18"/>
      <c r="H65" s="18"/>
      <c r="I65" s="147"/>
    </row>
    <row r="66" spans="1:9" x14ac:dyDescent="0.2">
      <c r="A66" s="139"/>
      <c r="B66" s="27" t="s">
        <v>221</v>
      </c>
      <c r="C66" t="s">
        <v>866</v>
      </c>
      <c r="D66" t="s">
        <v>1018</v>
      </c>
      <c r="E66" s="18"/>
      <c r="F66" s="18"/>
      <c r="G66" s="18"/>
      <c r="H66" s="18"/>
      <c r="I66" s="147"/>
    </row>
    <row r="67" spans="1:9" x14ac:dyDescent="0.2">
      <c r="A67" s="139"/>
      <c r="B67" s="27" t="s">
        <v>222</v>
      </c>
      <c r="C67" t="s">
        <v>12</v>
      </c>
      <c r="D67" t="s">
        <v>1019</v>
      </c>
      <c r="E67" s="18"/>
      <c r="F67" s="18"/>
      <c r="G67" s="18"/>
      <c r="H67" s="18"/>
      <c r="I67" s="147"/>
    </row>
    <row r="68" spans="1:9" x14ac:dyDescent="0.2">
      <c r="A68" s="139"/>
      <c r="B68" s="27" t="s">
        <v>223</v>
      </c>
      <c r="C68" t="s">
        <v>868</v>
      </c>
      <c r="D68" t="s">
        <v>1020</v>
      </c>
      <c r="E68" s="18"/>
      <c r="F68" s="18"/>
      <c r="G68" s="18"/>
      <c r="H68" s="18"/>
      <c r="I68" s="147"/>
    </row>
    <row r="69" spans="1:9" x14ac:dyDescent="0.2">
      <c r="A69" s="139"/>
      <c r="B69" s="27" t="s">
        <v>224</v>
      </c>
      <c r="C69" s="2" t="s">
        <v>21</v>
      </c>
      <c r="D69" s="2" t="s">
        <v>1021</v>
      </c>
      <c r="E69" s="18">
        <f>SUM(E65:E68)</f>
        <v>0</v>
      </c>
      <c r="F69" s="18">
        <f>SUM(F65:F68)</f>
        <v>0</v>
      </c>
      <c r="G69" s="18">
        <f>SUM(G65:G68)</f>
        <v>0</v>
      </c>
      <c r="H69" s="18">
        <f>SUM(H65:H68)</f>
        <v>0</v>
      </c>
      <c r="I69" s="147">
        <f>SUM(I65:I68)</f>
        <v>0</v>
      </c>
    </row>
    <row r="70" spans="1:9" x14ac:dyDescent="0.2">
      <c r="A70" s="139"/>
      <c r="B70" s="27"/>
      <c r="E70" s="18"/>
      <c r="F70" s="18"/>
      <c r="G70" s="18"/>
      <c r="H70" s="18"/>
      <c r="I70" s="147"/>
    </row>
    <row r="71" spans="1:9" x14ac:dyDescent="0.2">
      <c r="A71" s="139"/>
      <c r="B71" s="27" t="s">
        <v>225</v>
      </c>
      <c r="C71" t="s">
        <v>13</v>
      </c>
      <c r="D71" t="s">
        <v>1022</v>
      </c>
      <c r="E71" s="18">
        <f>E44+E50+E56+E62+E69</f>
        <v>253252983.08344704</v>
      </c>
      <c r="F71" s="18">
        <f>F44+F50+F56+F62+F69</f>
        <v>124490266.92866068</v>
      </c>
      <c r="G71" s="18">
        <f>G44+G50+G56+G62+G69</f>
        <v>139429098.96010002</v>
      </c>
      <c r="H71" s="18">
        <f>H44+H50+H56+H62+H69</f>
        <v>156160590.83531201</v>
      </c>
      <c r="I71" s="147">
        <f>I44+I50+I56+I62+I69</f>
        <v>174899861.73554957</v>
      </c>
    </row>
    <row r="72" spans="1:9" x14ac:dyDescent="0.2">
      <c r="A72" s="139"/>
      <c r="B72" s="27"/>
      <c r="E72" s="18"/>
      <c r="F72" s="18"/>
      <c r="G72" s="18"/>
      <c r="H72" s="18"/>
      <c r="I72" s="147"/>
    </row>
    <row r="73" spans="1:9" x14ac:dyDescent="0.2">
      <c r="A73" s="139"/>
      <c r="B73" s="27" t="s">
        <v>226</v>
      </c>
      <c r="C73" t="s">
        <v>871</v>
      </c>
      <c r="D73" t="s">
        <v>1023</v>
      </c>
      <c r="E73" s="18">
        <f>'3 - Balance Sheet'!H2</f>
        <v>25361545</v>
      </c>
      <c r="F73" s="18">
        <f>E74</f>
        <v>278614528.08344704</v>
      </c>
      <c r="G73" s="18">
        <f>F74</f>
        <v>403104795.01210773</v>
      </c>
      <c r="H73" s="18">
        <f>G74</f>
        <v>542533893.97220778</v>
      </c>
      <c r="I73" s="147">
        <f>H74</f>
        <v>698694484.80751979</v>
      </c>
    </row>
    <row r="74" spans="1:9" ht="13.5" thickBot="1" x14ac:dyDescent="0.25">
      <c r="A74" s="139"/>
      <c r="B74" s="27" t="s">
        <v>227</v>
      </c>
      <c r="C74" s="65" t="s">
        <v>14</v>
      </c>
      <c r="D74" s="65" t="s">
        <v>1024</v>
      </c>
      <c r="E74" s="76">
        <f>SUM(E71:E73)</f>
        <v>278614528.08344704</v>
      </c>
      <c r="F74" s="76">
        <f>SUM(F71:F73)</f>
        <v>403104795.01210773</v>
      </c>
      <c r="G74" s="76">
        <f>SUM(G71:G73)</f>
        <v>542533893.97220778</v>
      </c>
      <c r="H74" s="76">
        <f>SUM(H71:H73)</f>
        <v>698694484.80751979</v>
      </c>
      <c r="I74" s="153">
        <f>SUM(I71:I73)</f>
        <v>873594346.54306936</v>
      </c>
    </row>
    <row r="75" spans="1:9" ht="13.5" thickTop="1" x14ac:dyDescent="0.2">
      <c r="A75" s="139"/>
      <c r="B75" s="27"/>
      <c r="E75" s="18"/>
      <c r="F75" s="18"/>
      <c r="G75" s="18"/>
      <c r="H75" s="18"/>
      <c r="I75" s="147"/>
    </row>
    <row r="76" spans="1:9" x14ac:dyDescent="0.2">
      <c r="A76" s="139"/>
      <c r="B76" s="27"/>
      <c r="E76" s="18"/>
      <c r="F76" s="18"/>
      <c r="G76" s="18"/>
      <c r="H76" s="18"/>
      <c r="I76" s="147"/>
    </row>
    <row r="77" spans="1:9" x14ac:dyDescent="0.2">
      <c r="A77" s="148"/>
      <c r="B77" s="27"/>
      <c r="C77" s="4" t="s">
        <v>17</v>
      </c>
      <c r="D77" s="4" t="s">
        <v>1025</v>
      </c>
      <c r="E77" s="18"/>
      <c r="F77" s="18"/>
      <c r="G77" s="18"/>
      <c r="H77" s="18"/>
      <c r="I77" s="147"/>
    </row>
    <row r="78" spans="1:9" x14ac:dyDescent="0.2">
      <c r="A78" s="148"/>
      <c r="B78" s="27"/>
      <c r="E78" s="18"/>
      <c r="F78" s="18"/>
      <c r="G78" s="18"/>
      <c r="H78" s="18"/>
      <c r="I78" s="147"/>
    </row>
    <row r="79" spans="1:9" x14ac:dyDescent="0.2">
      <c r="A79" s="148"/>
      <c r="B79" s="27" t="s">
        <v>228</v>
      </c>
      <c r="C79" t="str">
        <f>'3 - Balance Sheet'!B2</f>
        <v>Cash and Cash Equivalents</v>
      </c>
      <c r="D79" t="str">
        <f>'3 - Balance Sheet'!C2</f>
        <v>النقديه و النقديه المقاربه</v>
      </c>
      <c r="E79" s="18">
        <f>E74</f>
        <v>278614528.08344704</v>
      </c>
      <c r="F79" s="18">
        <f>F74</f>
        <v>403104795.01210773</v>
      </c>
      <c r="G79" s="18">
        <f>G74</f>
        <v>542533893.97220778</v>
      </c>
      <c r="H79" s="18">
        <f>H74</f>
        <v>698694484.80751979</v>
      </c>
      <c r="I79" s="147">
        <f>I74</f>
        <v>873594346.54306936</v>
      </c>
    </row>
    <row r="80" spans="1:9" x14ac:dyDescent="0.2">
      <c r="A80" s="148"/>
      <c r="B80" s="27" t="s">
        <v>229</v>
      </c>
      <c r="C80" t="str">
        <f>'3 - Balance Sheet'!B3</f>
        <v>Short Term Marketable Securities</v>
      </c>
      <c r="D80" t="str">
        <f>'3 - Balance Sheet'!C3</f>
        <v>اسهم متداوله قصيره الاجل</v>
      </c>
      <c r="E80" s="18">
        <v>0</v>
      </c>
      <c r="F80" s="18">
        <v>0</v>
      </c>
      <c r="G80" s="18">
        <v>0</v>
      </c>
      <c r="H80" s="18">
        <v>0</v>
      </c>
      <c r="I80" s="147">
        <v>0</v>
      </c>
    </row>
    <row r="81" spans="1:9" x14ac:dyDescent="0.2">
      <c r="A81" s="148"/>
      <c r="B81" s="27" t="s">
        <v>230</v>
      </c>
      <c r="C81" t="str">
        <f>'3 - Balance Sheet'!B4</f>
        <v>Accounts Receivable</v>
      </c>
      <c r="D81" t="str">
        <f>'3 - Balance Sheet'!C4</f>
        <v>ذمم مدينه</v>
      </c>
      <c r="E81" s="18">
        <f>E17*0.1</f>
        <v>87386402.656000018</v>
      </c>
      <c r="F81" s="18">
        <f>F17*0.1</f>
        <v>97872770.974720016</v>
      </c>
      <c r="G81" s="18">
        <f>G17*0.1</f>
        <v>109617503.49168642</v>
      </c>
      <c r="H81" s="18">
        <f>H17*0.1</f>
        <v>122771603.91068882</v>
      </c>
      <c r="I81" s="147">
        <f>I17*0.1</f>
        <v>137504196.37997147</v>
      </c>
    </row>
    <row r="82" spans="1:9" x14ac:dyDescent="0.2">
      <c r="A82" s="148"/>
      <c r="B82" s="27" t="s">
        <v>231</v>
      </c>
      <c r="C82" t="str">
        <f>'3 - Balance Sheet'!B5</f>
        <v xml:space="preserve">Inventory </v>
      </c>
      <c r="D82" t="str">
        <f>'3 - Balance Sheet'!C5</f>
        <v>مخزون</v>
      </c>
      <c r="E82" s="18">
        <f>E17*0.08</f>
        <v>69909122.124800012</v>
      </c>
      <c r="F82" s="18">
        <f>F17*0.08</f>
        <v>78298216.779776007</v>
      </c>
      <c r="G82" s="18">
        <f>G17*0.08</f>
        <v>87694002.793349132</v>
      </c>
      <c r="H82" s="18">
        <f>H17*0.08</f>
        <v>98217283.128551051</v>
      </c>
      <c r="I82" s="147">
        <f>I17*0.08</f>
        <v>110003357.10397719</v>
      </c>
    </row>
    <row r="83" spans="1:9" x14ac:dyDescent="0.2">
      <c r="A83" s="148"/>
      <c r="B83" s="27" t="s">
        <v>232</v>
      </c>
      <c r="C83" s="61" t="str">
        <f>'3 - Balance Sheet'!B6</f>
        <v>Other Current Assets</v>
      </c>
      <c r="D83" s="61" t="str">
        <f>'3 - Balance Sheet'!C6</f>
        <v>اصول متداوله اخرى</v>
      </c>
      <c r="E83" s="62">
        <f>E17*0.065</f>
        <v>56801161.726400003</v>
      </c>
      <c r="F83" s="62">
        <f>F17*0.065</f>
        <v>63617301.133568011</v>
      </c>
      <c r="G83" s="62">
        <f>G17*0.065</f>
        <v>71251377.269596174</v>
      </c>
      <c r="H83" s="62">
        <f>H17*0.065</f>
        <v>79801542.541947722</v>
      </c>
      <c r="I83" s="150">
        <f>I17*0.065</f>
        <v>89377727.646981463</v>
      </c>
    </row>
    <row r="84" spans="1:9" x14ac:dyDescent="0.2">
      <c r="A84" s="148"/>
      <c r="B84" s="27" t="s">
        <v>233</v>
      </c>
      <c r="C84" s="2" t="s">
        <v>817</v>
      </c>
      <c r="D84" s="2" t="str">
        <f>'3 - Balance Sheet'!C7</f>
        <v>مجموع الاصول المتداولة</v>
      </c>
      <c r="E84" s="18">
        <f>SUM(E79:E83)</f>
        <v>492711214.5906471</v>
      </c>
      <c r="F84" s="18">
        <f>SUM(F79:F83)</f>
        <v>642893083.90017176</v>
      </c>
      <c r="G84" s="18">
        <f>SUM(G79:G83)</f>
        <v>811096777.52683961</v>
      </c>
      <c r="H84" s="18">
        <f>SUM(H79:H83)</f>
        <v>999484914.38870728</v>
      </c>
      <c r="I84" s="147">
        <f>SUM(I79:I83)</f>
        <v>1210479627.6739995</v>
      </c>
    </row>
    <row r="85" spans="1:9" x14ac:dyDescent="0.2">
      <c r="A85" s="148"/>
      <c r="B85" s="27"/>
      <c r="I85" s="137"/>
    </row>
    <row r="86" spans="1:9" x14ac:dyDescent="0.2">
      <c r="A86" s="148"/>
      <c r="B86" s="27" t="s">
        <v>234</v>
      </c>
      <c r="C86" t="str">
        <f>'3 - Balance Sheet'!B8</f>
        <v>Fixed Assets</v>
      </c>
      <c r="D86" t="str">
        <f>'3 - Balance Sheet'!C8</f>
        <v>اصول ثابته</v>
      </c>
      <c r="E86" s="18">
        <f>'3 - Balance Sheet'!H8+(E53*-1)</f>
        <v>587705103</v>
      </c>
      <c r="F86" s="18">
        <f>E86+(F53*-1)</f>
        <v>587705103</v>
      </c>
      <c r="G86" s="18">
        <f>F86+(G53*-1)</f>
        <v>587705103</v>
      </c>
      <c r="H86" s="18">
        <f>G86+(H53*-1)</f>
        <v>587705103</v>
      </c>
      <c r="I86" s="147">
        <f>H86+(I53*-1)</f>
        <v>587705103</v>
      </c>
    </row>
    <row r="87" spans="1:9" x14ac:dyDescent="0.2">
      <c r="A87" s="148"/>
      <c r="B87" s="27" t="s">
        <v>235</v>
      </c>
      <c r="C87" t="str">
        <f>'3 - Balance Sheet'!B9</f>
        <v>Accumulated Depreciation</v>
      </c>
      <c r="D87" t="str">
        <f>'3 - Balance Sheet'!C9</f>
        <v>استهلاك متراكم</v>
      </c>
      <c r="E87" s="18">
        <f>'3 - Balance Sheet'!H9+(E38*-1)</f>
        <v>-182793235</v>
      </c>
      <c r="F87" s="18">
        <f>E87+(F38*-1)</f>
        <v>-182793235</v>
      </c>
      <c r="G87" s="18">
        <f>F87+(G38*-1)</f>
        <v>-182793235</v>
      </c>
      <c r="H87" s="18">
        <f>G87+(H38*-1)</f>
        <v>-182793235</v>
      </c>
      <c r="I87" s="147">
        <f>H87+(I38*-1)</f>
        <v>-182793235</v>
      </c>
    </row>
    <row r="88" spans="1:9" x14ac:dyDescent="0.2">
      <c r="A88" s="148"/>
      <c r="B88" s="27" t="s">
        <v>236</v>
      </c>
      <c r="C88" t="str">
        <f>'3 - Balance Sheet'!B10</f>
        <v>Net Fixed Assets</v>
      </c>
      <c r="D88" t="str">
        <f>'3 - Balance Sheet'!C10</f>
        <v>صافي الاصول الثابته</v>
      </c>
      <c r="E88" s="18">
        <f>SUM(E86:E87)</f>
        <v>404911868</v>
      </c>
      <c r="F88" s="18">
        <f>SUM(F86:F87)</f>
        <v>404911868</v>
      </c>
      <c r="G88" s="18">
        <f>SUM(G86:G87)</f>
        <v>404911868</v>
      </c>
      <c r="H88" s="18">
        <f>SUM(H86:H87)</f>
        <v>404911868</v>
      </c>
      <c r="I88" s="147">
        <f>SUM(I86:I87)</f>
        <v>404911868</v>
      </c>
    </row>
    <row r="89" spans="1:9" x14ac:dyDescent="0.2">
      <c r="A89" s="148"/>
      <c r="B89" s="27" t="s">
        <v>237</v>
      </c>
      <c r="C89" t="str">
        <f>'3 - Balance Sheet'!B11</f>
        <v xml:space="preserve">Longterm Investments </v>
      </c>
      <c r="D89" t="str">
        <f>'3 - Balance Sheet'!C11</f>
        <v>استثمارات طويله الاجل</v>
      </c>
      <c r="E89" s="18">
        <v>0</v>
      </c>
      <c r="F89" s="18">
        <v>0</v>
      </c>
      <c r="G89" s="18">
        <v>0</v>
      </c>
      <c r="H89" s="18">
        <v>0</v>
      </c>
      <c r="I89" s="147">
        <v>0</v>
      </c>
    </row>
    <row r="90" spans="1:9" x14ac:dyDescent="0.2">
      <c r="A90" s="148"/>
      <c r="B90" s="27" t="s">
        <v>238</v>
      </c>
      <c r="C90" t="str">
        <f>'3 - Balance Sheet'!B12</f>
        <v>Investments in Other Companies</v>
      </c>
      <c r="D90" t="str">
        <f>'3 - Balance Sheet'!C12</f>
        <v>استثمارات في شركات اخرى</v>
      </c>
      <c r="E90" s="18">
        <v>0</v>
      </c>
      <c r="F90" s="18">
        <v>0</v>
      </c>
      <c r="G90" s="18">
        <v>0</v>
      </c>
      <c r="H90" s="18">
        <v>0</v>
      </c>
      <c r="I90" s="147">
        <v>0</v>
      </c>
    </row>
    <row r="91" spans="1:9" x14ac:dyDescent="0.2">
      <c r="A91" s="148"/>
      <c r="B91" s="27" t="s">
        <v>239</v>
      </c>
      <c r="C91" s="61" t="str">
        <f>'3 - Balance Sheet'!B13</f>
        <v>Intangibles and Other Assets</v>
      </c>
      <c r="D91" s="61" t="str">
        <f>'3 - Balance Sheet'!C13</f>
        <v>اصول غير ملموسه</v>
      </c>
      <c r="E91" s="61">
        <v>0</v>
      </c>
      <c r="F91" s="61">
        <v>0</v>
      </c>
      <c r="G91" s="61">
        <v>0</v>
      </c>
      <c r="H91" s="61">
        <v>0</v>
      </c>
      <c r="I91" s="154">
        <v>0</v>
      </c>
    </row>
    <row r="92" spans="1:9" x14ac:dyDescent="0.2">
      <c r="A92" s="148"/>
      <c r="B92" s="27" t="s">
        <v>240</v>
      </c>
      <c r="C92" s="2" t="s">
        <v>15</v>
      </c>
      <c r="D92" s="2" t="str">
        <f>'3 - Balance Sheet'!C14</f>
        <v>مجموع الاصول غير المتداوله</v>
      </c>
      <c r="E92" s="18">
        <f>SUM(E88:E91)</f>
        <v>404911868</v>
      </c>
      <c r="F92" s="18">
        <f>SUM(F88:F91)</f>
        <v>404911868</v>
      </c>
      <c r="G92" s="18">
        <f>SUM(G88:G91)</f>
        <v>404911868</v>
      </c>
      <c r="H92" s="18">
        <f>SUM(H88:H91)</f>
        <v>404911868</v>
      </c>
      <c r="I92" s="147">
        <f>SUM(I88:I91)</f>
        <v>404911868</v>
      </c>
    </row>
    <row r="93" spans="1:9" x14ac:dyDescent="0.2">
      <c r="A93" s="148"/>
      <c r="B93" s="27"/>
      <c r="E93" s="18"/>
      <c r="F93" s="18"/>
      <c r="G93" s="18"/>
      <c r="H93" s="18"/>
      <c r="I93" s="147"/>
    </row>
    <row r="94" spans="1:9" ht="13.5" thickBot="1" x14ac:dyDescent="0.25">
      <c r="A94" s="148"/>
      <c r="B94" s="27" t="s">
        <v>241</v>
      </c>
      <c r="C94" s="66" t="s">
        <v>826</v>
      </c>
      <c r="D94" s="66" t="str">
        <f>'3 - Balance Sheet'!C15</f>
        <v>مجموع الاصول</v>
      </c>
      <c r="E94" s="127">
        <f>E84+E92</f>
        <v>897623082.5906471</v>
      </c>
      <c r="F94" s="127">
        <f>F84+F92</f>
        <v>1047804951.9001718</v>
      </c>
      <c r="G94" s="127">
        <f>G84+G92</f>
        <v>1216008645.5268397</v>
      </c>
      <c r="H94" s="127">
        <f>H84+H92</f>
        <v>1404396782.3887072</v>
      </c>
      <c r="I94" s="155">
        <f>I84+I92</f>
        <v>1615391495.6739995</v>
      </c>
    </row>
    <row r="95" spans="1:9" ht="13.5" thickTop="1" x14ac:dyDescent="0.2">
      <c r="A95" s="148"/>
      <c r="B95" s="27"/>
      <c r="E95" s="18"/>
      <c r="F95" s="18"/>
      <c r="G95" s="18"/>
      <c r="H95" s="18"/>
      <c r="I95" s="147"/>
    </row>
    <row r="96" spans="1:9" x14ac:dyDescent="0.2">
      <c r="A96" s="148"/>
      <c r="B96" s="27" t="s">
        <v>242</v>
      </c>
      <c r="C96" t="str">
        <f>'3 - Balance Sheet'!B16</f>
        <v>Accounts Payable</v>
      </c>
      <c r="D96" t="str">
        <f>'3 - Balance Sheet'!C16</f>
        <v xml:space="preserve">ذمم دائنه </v>
      </c>
      <c r="E96" s="18">
        <f>E17*0.17</f>
        <v>148556884.51520002</v>
      </c>
      <c r="F96" s="18">
        <f>F17*0.17</f>
        <v>166383710.65702403</v>
      </c>
      <c r="G96" s="18">
        <f>G17*0.17</f>
        <v>186349755.93586692</v>
      </c>
      <c r="H96" s="18">
        <f>H17*0.17</f>
        <v>208711726.64817098</v>
      </c>
      <c r="I96" s="147">
        <f>I17*0.17</f>
        <v>233757133.84595153</v>
      </c>
    </row>
    <row r="97" spans="1:9" x14ac:dyDescent="0.2">
      <c r="A97" s="148"/>
      <c r="B97" s="27" t="s">
        <v>243</v>
      </c>
      <c r="C97" t="str">
        <f>'3 - Balance Sheet'!B17</f>
        <v>Short Term Borrowings</v>
      </c>
      <c r="D97" t="str">
        <f>'3 - Balance Sheet'!C17</f>
        <v>قروض قصيرة الاجل</v>
      </c>
      <c r="E97" s="18">
        <f>E17*0.12</f>
        <v>104863683.18720001</v>
      </c>
      <c r="F97" s="18">
        <f>F17*0.12</f>
        <v>117447325.16966401</v>
      </c>
      <c r="G97" s="18">
        <f>G17*0.12</f>
        <v>131541004.19002369</v>
      </c>
      <c r="H97" s="18">
        <f>H17*0.12</f>
        <v>147325924.69282657</v>
      </c>
      <c r="I97" s="147">
        <f>I17*0.12</f>
        <v>165005035.65596578</v>
      </c>
    </row>
    <row r="98" spans="1:9" x14ac:dyDescent="0.2">
      <c r="A98" s="148"/>
      <c r="B98" s="27" t="s">
        <v>244</v>
      </c>
      <c r="C98" t="str">
        <f>'3 - Balance Sheet'!B18</f>
        <v>Short Term Portion of LT Debt</v>
      </c>
      <c r="D98" t="str">
        <f>'3 - Balance Sheet'!C18</f>
        <v>ديون طويلة اجل استحقت الان</v>
      </c>
      <c r="E98">
        <v>0</v>
      </c>
      <c r="F98">
        <v>0</v>
      </c>
      <c r="G98">
        <v>0</v>
      </c>
      <c r="H98">
        <v>0</v>
      </c>
      <c r="I98" s="137">
        <v>0</v>
      </c>
    </row>
    <row r="99" spans="1:9" x14ac:dyDescent="0.2">
      <c r="A99" s="148"/>
      <c r="B99" s="27" t="s">
        <v>245</v>
      </c>
      <c r="C99" s="61" t="str">
        <f>'3 - Balance Sheet'!B19</f>
        <v>Other Current Liabilities</v>
      </c>
      <c r="D99" s="61" t="str">
        <f>'3 - Balance Sheet'!C19</f>
        <v>التزامات قصيره اخرى</v>
      </c>
      <c r="E99" s="62">
        <f>E17*0.06</f>
        <v>52431841.593600005</v>
      </c>
      <c r="F99" s="62">
        <f>F17*0.06</f>
        <v>58723662.584832005</v>
      </c>
      <c r="G99" s="62">
        <f>G17*0.06</f>
        <v>65770502.095011845</v>
      </c>
      <c r="H99" s="62">
        <f>H17*0.06</f>
        <v>73662962.346413285</v>
      </c>
      <c r="I99" s="150">
        <f>I17*0.06</f>
        <v>82502517.827982888</v>
      </c>
    </row>
    <row r="100" spans="1:9" x14ac:dyDescent="0.2">
      <c r="A100" s="148"/>
      <c r="B100" s="27" t="s">
        <v>246</v>
      </c>
      <c r="C100" s="2" t="s">
        <v>831</v>
      </c>
      <c r="D100" s="2" t="str">
        <f>'3 - Balance Sheet'!C20</f>
        <v>مجموع الالتزامات المتداولة</v>
      </c>
      <c r="E100" s="18">
        <f>SUM(E96:E99)</f>
        <v>305852409.296</v>
      </c>
      <c r="F100" s="18">
        <f>SUM(F96:F99)</f>
        <v>342554698.41152006</v>
      </c>
      <c r="G100" s="18">
        <f>SUM(G96:G99)</f>
        <v>383661262.22090244</v>
      </c>
      <c r="H100" s="18">
        <f>SUM(H96:H99)</f>
        <v>429700613.68741083</v>
      </c>
      <c r="I100" s="147">
        <f>SUM(I96:I99)</f>
        <v>481264687.32990021</v>
      </c>
    </row>
    <row r="101" spans="1:9" x14ac:dyDescent="0.2">
      <c r="A101" s="148"/>
      <c r="B101" s="27"/>
      <c r="E101" s="18"/>
      <c r="F101" s="18"/>
      <c r="G101" s="18"/>
      <c r="H101" s="18"/>
      <c r="I101" s="147"/>
    </row>
    <row r="102" spans="1:9" x14ac:dyDescent="0.2">
      <c r="A102" s="148"/>
      <c r="B102" s="27" t="s">
        <v>247</v>
      </c>
      <c r="C102" t="str">
        <f>'3 - Balance Sheet'!B21</f>
        <v>Longterm Debt / Borrowings</v>
      </c>
      <c r="D102" t="str">
        <f>'3 - Balance Sheet'!C21</f>
        <v>دين طويل الاجل , قروض</v>
      </c>
      <c r="E102" s="18">
        <f>'3 - Balance Sheet'!H21+E59+E65</f>
        <v>155337285</v>
      </c>
      <c r="F102" s="18">
        <f>E102+F59+F65</f>
        <v>155337285</v>
      </c>
      <c r="G102" s="18">
        <f>F102+G59+G65</f>
        <v>155337285</v>
      </c>
      <c r="H102" s="18">
        <f>G102+H59+H65</f>
        <v>155337285</v>
      </c>
      <c r="I102" s="147">
        <f>H102+I59+I65</f>
        <v>155337285</v>
      </c>
    </row>
    <row r="103" spans="1:9" x14ac:dyDescent="0.2">
      <c r="A103" s="148"/>
      <c r="B103" s="27" t="s">
        <v>248</v>
      </c>
      <c r="C103" s="61" t="str">
        <f>'3 - Balance Sheet'!B22</f>
        <v>Other Longterm Liabilities</v>
      </c>
      <c r="D103" s="61" t="str">
        <f>'3 - Balance Sheet'!C22</f>
        <v>التزمات اخرى طويله الاجل</v>
      </c>
      <c r="E103" s="62">
        <f>+'3 - Balance Sheet'!D22</f>
        <v>1732280</v>
      </c>
      <c r="F103" s="62">
        <f>+'3 - Balance Sheet'!E22</f>
        <v>2220692</v>
      </c>
      <c r="G103" s="62">
        <f>+'3 - Balance Sheet'!F22</f>
        <v>5840086</v>
      </c>
      <c r="H103" s="62">
        <f>+'3 - Balance Sheet'!G22</f>
        <v>9629757</v>
      </c>
      <c r="I103" s="150">
        <f>+'3 - Balance Sheet'!H22</f>
        <v>8262271</v>
      </c>
    </row>
    <row r="104" spans="1:9" x14ac:dyDescent="0.2">
      <c r="A104" s="148"/>
      <c r="B104" s="27" t="s">
        <v>249</v>
      </c>
      <c r="C104" s="2" t="s">
        <v>16</v>
      </c>
      <c r="D104" s="2" t="str">
        <f>'3 - Balance Sheet'!C23</f>
        <v>مجموع الالتزامات غير متداولة</v>
      </c>
      <c r="E104" s="18">
        <f>SUM(E102:E103)</f>
        <v>157069565</v>
      </c>
      <c r="F104" s="18">
        <f>SUM(F102:F103)</f>
        <v>157557977</v>
      </c>
      <c r="G104" s="18">
        <f>SUM(G102:G103)</f>
        <v>161177371</v>
      </c>
      <c r="H104" s="18">
        <f>SUM(H102:H103)</f>
        <v>164967042</v>
      </c>
      <c r="I104" s="147">
        <f>SUM(I102:I103)</f>
        <v>163599556</v>
      </c>
    </row>
    <row r="105" spans="1:9" x14ac:dyDescent="0.2">
      <c r="A105" s="148"/>
      <c r="B105" s="27"/>
      <c r="E105" s="18"/>
      <c r="F105" s="18"/>
      <c r="G105" s="18"/>
      <c r="H105" s="18"/>
      <c r="I105" s="147"/>
    </row>
    <row r="106" spans="1:9" ht="13.5" thickBot="1" x14ac:dyDescent="0.25">
      <c r="A106" s="148"/>
      <c r="B106" s="27" t="s">
        <v>250</v>
      </c>
      <c r="C106" s="66" t="s">
        <v>834</v>
      </c>
      <c r="D106" s="66" t="str">
        <f>'3 - Balance Sheet'!C24</f>
        <v>مجموع الالتزامات</v>
      </c>
      <c r="E106" s="76">
        <f>E100+E104</f>
        <v>462921974.296</v>
      </c>
      <c r="F106" s="76">
        <f>F100+F104</f>
        <v>500112675.41152006</v>
      </c>
      <c r="G106" s="76">
        <f>G100+G104</f>
        <v>544838633.22090244</v>
      </c>
      <c r="H106" s="76">
        <f>H100+H104</f>
        <v>594667655.68741083</v>
      </c>
      <c r="I106" s="153">
        <f>I100+I104</f>
        <v>644864243.32990026</v>
      </c>
    </row>
    <row r="107" spans="1:9" ht="13.5" thickTop="1" x14ac:dyDescent="0.2">
      <c r="A107" s="148"/>
      <c r="B107" s="27"/>
      <c r="E107" s="18"/>
      <c r="F107" s="18"/>
      <c r="G107" s="18"/>
      <c r="H107" s="18"/>
      <c r="I107" s="147"/>
    </row>
    <row r="108" spans="1:9" x14ac:dyDescent="0.2">
      <c r="A108" s="148"/>
      <c r="B108" s="27" t="s">
        <v>251</v>
      </c>
      <c r="C108" t="str">
        <f>'3 - Balance Sheet'!B25</f>
        <v>Preferred Equity</v>
      </c>
      <c r="D108" t="str">
        <f>'3 - Balance Sheet'!C25</f>
        <v xml:space="preserve">حقوق ملكيه ممتازه </v>
      </c>
      <c r="E108" s="18">
        <v>0</v>
      </c>
      <c r="F108" s="18">
        <v>0</v>
      </c>
      <c r="G108" s="18">
        <v>0</v>
      </c>
      <c r="H108" s="18">
        <v>0</v>
      </c>
      <c r="I108" s="147">
        <v>0</v>
      </c>
    </row>
    <row r="109" spans="1:9" x14ac:dyDescent="0.2">
      <c r="A109" s="148"/>
      <c r="B109" s="27" t="s">
        <v>252</v>
      </c>
      <c r="C109" t="str">
        <f>'3 - Balance Sheet'!B26</f>
        <v>Common Equity</v>
      </c>
      <c r="D109" t="str">
        <f>'3 - Balance Sheet'!C26</f>
        <v>حقوق ملكيه عاديه</v>
      </c>
      <c r="E109" s="18">
        <v>60000000</v>
      </c>
      <c r="F109" s="18">
        <v>60000000</v>
      </c>
      <c r="G109" s="18">
        <v>60000000</v>
      </c>
      <c r="H109" s="18">
        <v>60000000</v>
      </c>
      <c r="I109" s="147">
        <v>60000000</v>
      </c>
    </row>
    <row r="110" spans="1:9" x14ac:dyDescent="0.2">
      <c r="A110" s="148"/>
      <c r="B110" s="27" t="s">
        <v>253</v>
      </c>
      <c r="C110" t="str">
        <f>'3 - Balance Sheet'!B27</f>
        <v>Additional Paid in Capital</v>
      </c>
      <c r="D110" t="str">
        <f>'3 - Balance Sheet'!C27</f>
        <v>اضافات إلى راس المال العامل</v>
      </c>
      <c r="E110" s="18">
        <v>0</v>
      </c>
      <c r="F110" s="18">
        <v>0</v>
      </c>
      <c r="G110" s="18">
        <v>0</v>
      </c>
      <c r="H110" s="18">
        <v>0</v>
      </c>
      <c r="I110" s="147">
        <v>0</v>
      </c>
    </row>
    <row r="111" spans="1:9" x14ac:dyDescent="0.2">
      <c r="A111" s="148"/>
      <c r="B111" s="27" t="s">
        <v>254</v>
      </c>
      <c r="C111" t="str">
        <f>'3 - Balance Sheet'!B28</f>
        <v>Retained Earnings</v>
      </c>
      <c r="D111" t="str">
        <f>'3 - Balance Sheet'!C28</f>
        <v>ارباح محتجزه</v>
      </c>
      <c r="E111" s="18">
        <f>'3 - Balance Sheet'!H28+E30+E66</f>
        <v>364656172.95864707</v>
      </c>
      <c r="F111" s="18">
        <f>E111+F30+F66</f>
        <v>480757345.23233175</v>
      </c>
      <c r="G111" s="18">
        <f>F111+G30+G66</f>
        <v>610790658.17885864</v>
      </c>
      <c r="H111" s="18">
        <f>G111+H30+H66</f>
        <v>756427968.67896879</v>
      </c>
      <c r="I111" s="147">
        <f>H111+I30+I66</f>
        <v>919541756.43909216</v>
      </c>
    </row>
    <row r="112" spans="1:9" x14ac:dyDescent="0.2">
      <c r="A112" s="148"/>
      <c r="B112" s="27" t="s">
        <v>255</v>
      </c>
      <c r="C112" t="str">
        <f>'3 - Balance Sheet'!B29</f>
        <v>Adj for Foreign Currency Transl</v>
      </c>
      <c r="D112" t="str">
        <f>'3 - Balance Sheet'!C29</f>
        <v>تعديلات على فروق العمله الاجنبيه</v>
      </c>
      <c r="E112" s="18">
        <v>0</v>
      </c>
      <c r="F112" s="18">
        <v>0</v>
      </c>
      <c r="G112" s="18">
        <v>0</v>
      </c>
      <c r="H112" s="18">
        <v>0</v>
      </c>
      <c r="I112" s="147">
        <v>0</v>
      </c>
    </row>
    <row r="113" spans="1:9" x14ac:dyDescent="0.2">
      <c r="A113" s="148"/>
      <c r="B113" s="27" t="s">
        <v>256</v>
      </c>
      <c r="C113" t="str">
        <f>'3 - Balance Sheet'!B30</f>
        <v>Treasury Stock</v>
      </c>
      <c r="D113" t="str">
        <f>'3 - Balance Sheet'!C30</f>
        <v>اسهم خزينه</v>
      </c>
      <c r="E113" s="18">
        <v>0</v>
      </c>
      <c r="F113" s="18">
        <v>0</v>
      </c>
      <c r="G113" s="18">
        <v>0</v>
      </c>
      <c r="H113" s="18">
        <v>0</v>
      </c>
      <c r="I113" s="147">
        <v>0</v>
      </c>
    </row>
    <row r="114" spans="1:9" ht="13.5" thickBot="1" x14ac:dyDescent="0.25">
      <c r="A114" s="148"/>
      <c r="B114" s="27" t="s">
        <v>257</v>
      </c>
      <c r="C114" s="66" t="s">
        <v>1203</v>
      </c>
      <c r="D114" s="66" t="str">
        <f>'3 - Balance Sheet'!C31</f>
        <v>مجموع حقوق الملكيه للمساهمين</v>
      </c>
      <c r="E114" s="76">
        <f>SUM(E108:E113)</f>
        <v>424656172.95864707</v>
      </c>
      <c r="F114" s="76">
        <f>SUM(F108:F113)</f>
        <v>540757345.23233175</v>
      </c>
      <c r="G114" s="76">
        <f>SUM(G108:G113)</f>
        <v>670790658.17885864</v>
      </c>
      <c r="H114" s="76">
        <f>SUM(H108:H113)</f>
        <v>816427968.67896879</v>
      </c>
      <c r="I114" s="153">
        <f>SUM(I108:I113)</f>
        <v>979541756.43909216</v>
      </c>
    </row>
    <row r="115" spans="1:9" ht="13.5" thickTop="1" x14ac:dyDescent="0.2">
      <c r="A115" s="148"/>
      <c r="B115" s="27"/>
      <c r="E115" s="18"/>
      <c r="F115" s="18"/>
      <c r="G115" s="18"/>
      <c r="H115" s="18"/>
      <c r="I115" s="147"/>
    </row>
    <row r="116" spans="1:9" x14ac:dyDescent="0.2">
      <c r="A116" s="148"/>
      <c r="B116" s="27" t="s">
        <v>258</v>
      </c>
      <c r="C116" s="2" t="s">
        <v>87</v>
      </c>
      <c r="D116" s="2" t="s">
        <v>477</v>
      </c>
      <c r="E116" s="18">
        <f>E94-E106-E114</f>
        <v>10044935.336000025</v>
      </c>
      <c r="F116" s="18">
        <f>F94-F106-F114</f>
        <v>6934931.2563199997</v>
      </c>
      <c r="G116" s="18">
        <f>G94-G106-G114</f>
        <v>379354.12707865238</v>
      </c>
      <c r="H116" s="18">
        <f>H94-H106-H114</f>
        <v>-6698841.9776724577</v>
      </c>
      <c r="I116" s="147">
        <f>I94-I106-I114</f>
        <v>-9014504.0949928761</v>
      </c>
    </row>
    <row r="117" spans="1:9" x14ac:dyDescent="0.2">
      <c r="A117" s="148"/>
      <c r="B117" s="27"/>
      <c r="E117" s="156">
        <f>+E116+E114+E106</f>
        <v>897623082.5906471</v>
      </c>
      <c r="F117" s="156">
        <f>+F116+F114+F106</f>
        <v>1047804951.9001718</v>
      </c>
      <c r="G117" s="156">
        <f>+G116+G114+G106</f>
        <v>1216008645.5268397</v>
      </c>
      <c r="H117" s="156">
        <f>+H116+H114+H106</f>
        <v>1404396782.3887072</v>
      </c>
      <c r="I117" s="157">
        <f>+I116+I114+I106</f>
        <v>1615391495.6739995</v>
      </c>
    </row>
    <row r="118" spans="1:9" x14ac:dyDescent="0.2">
      <c r="A118" s="148"/>
      <c r="B118" s="27"/>
      <c r="E118" s="156">
        <f>+E117-E94</f>
        <v>0</v>
      </c>
      <c r="F118" s="156">
        <f>+F117-F94</f>
        <v>0</v>
      </c>
      <c r="G118" s="156">
        <f>+G117-G94</f>
        <v>0</v>
      </c>
      <c r="H118" s="156">
        <f>+H117-H94</f>
        <v>0</v>
      </c>
      <c r="I118" s="157">
        <f>+I117-I94</f>
        <v>0</v>
      </c>
    </row>
    <row r="119" spans="1:9" x14ac:dyDescent="0.2">
      <c r="A119" s="148"/>
      <c r="B119" s="27"/>
      <c r="C119" s="1" t="s">
        <v>286</v>
      </c>
      <c r="D119" s="117" t="s">
        <v>478</v>
      </c>
      <c r="I119" s="137"/>
    </row>
    <row r="120" spans="1:9" x14ac:dyDescent="0.2">
      <c r="A120" s="148"/>
      <c r="B120" s="27"/>
      <c r="C120" t="s">
        <v>287</v>
      </c>
      <c r="D120" t="s">
        <v>479</v>
      </c>
      <c r="E120" s="87">
        <f>'3 - Balance Sheet'!H7/'4 - Income Statement'!H4</f>
        <v>0.56184070230323135</v>
      </c>
      <c r="I120" s="137"/>
    </row>
    <row r="121" spans="1:9" x14ac:dyDescent="0.2">
      <c r="A121" s="148"/>
      <c r="B121" s="27"/>
      <c r="C121" t="s">
        <v>288</v>
      </c>
      <c r="D121" t="s">
        <v>480</v>
      </c>
      <c r="E121" s="15">
        <f>E17-'4 - Income Statement'!H4</f>
        <v>93628288.560000062</v>
      </c>
      <c r="I121" s="137"/>
    </row>
    <row r="122" spans="1:9" x14ac:dyDescent="0.2">
      <c r="A122" s="148"/>
      <c r="B122" s="27"/>
      <c r="C122" t="s">
        <v>289</v>
      </c>
      <c r="D122" t="s">
        <v>481</v>
      </c>
      <c r="E122" s="87">
        <f>'3 - Balance Sheet'!H20/'4 - Income Statement'!H4</f>
        <v>0.45971502910060241</v>
      </c>
      <c r="I122" s="137"/>
    </row>
    <row r="123" spans="1:9" x14ac:dyDescent="0.2">
      <c r="A123" s="148"/>
      <c r="B123" s="27"/>
      <c r="C123" t="s">
        <v>290</v>
      </c>
      <c r="D123" t="s">
        <v>482</v>
      </c>
      <c r="E123" s="87">
        <f>'4 - Income Statement'!H20/'4 - Income Statement'!H4</f>
        <v>0.13354567719121832</v>
      </c>
      <c r="I123" s="137"/>
    </row>
    <row r="124" spans="1:9" x14ac:dyDescent="0.2">
      <c r="A124" s="148"/>
      <c r="B124" s="27"/>
      <c r="C124" t="s">
        <v>291</v>
      </c>
      <c r="E124" s="23" t="e">
        <f>1-'3 - Balance Sheet'!#REF!</f>
        <v>#REF!</v>
      </c>
      <c r="I124" s="137"/>
    </row>
    <row r="125" spans="1:9" x14ac:dyDescent="0.2">
      <c r="A125" s="148"/>
      <c r="B125" s="27"/>
      <c r="C125" s="2" t="s">
        <v>292</v>
      </c>
      <c r="D125" s="2" t="s">
        <v>483</v>
      </c>
      <c r="E125" s="18" t="e">
        <f>(E120*E121)-(E122*E121)-(E123*E17*E124)</f>
        <v>#REF!</v>
      </c>
      <c r="I125" s="137"/>
    </row>
    <row r="126" spans="1:9" ht="13.5" thickBot="1" x14ac:dyDescent="0.25">
      <c r="A126" s="158"/>
      <c r="B126" s="159"/>
      <c r="C126" s="160"/>
      <c r="D126" s="160"/>
      <c r="E126" s="160"/>
      <c r="F126" s="160"/>
      <c r="G126" s="160"/>
      <c r="H126" s="160"/>
      <c r="I126" s="161"/>
    </row>
    <row r="127" spans="1:9" x14ac:dyDescent="0.2">
      <c r="B127" s="27"/>
      <c r="E127" s="40" t="s">
        <v>788</v>
      </c>
    </row>
    <row r="128" spans="1:9" x14ac:dyDescent="0.2">
      <c r="B128" s="27"/>
      <c r="E128" t="s">
        <v>788</v>
      </c>
    </row>
    <row r="129" spans="2:5" x14ac:dyDescent="0.2">
      <c r="B129" s="27"/>
      <c r="E129" t="s">
        <v>788</v>
      </c>
    </row>
    <row r="130" spans="2:5" x14ac:dyDescent="0.2">
      <c r="B130" s="27"/>
    </row>
    <row r="131" spans="2:5" x14ac:dyDescent="0.2">
      <c r="B131" s="27"/>
    </row>
    <row r="132" spans="2:5" x14ac:dyDescent="0.2">
      <c r="B132" s="27"/>
    </row>
    <row r="133" spans="2:5" x14ac:dyDescent="0.2">
      <c r="B133" s="27"/>
    </row>
    <row r="134" spans="2:5" x14ac:dyDescent="0.2">
      <c r="B134" s="27"/>
    </row>
    <row r="135" spans="2:5" x14ac:dyDescent="0.2">
      <c r="B135" s="27"/>
    </row>
    <row r="136" spans="2:5" x14ac:dyDescent="0.2">
      <c r="B136" s="27"/>
    </row>
  </sheetData>
  <customSheetViews>
    <customSheetView guid="{250789E3-B657-4A6D-AD7D-7EE7A7132AFA}" showRuler="0">
      <selection activeCell="D16" sqref="D16"/>
      <pageMargins left="0.75" right="0.75" top="1" bottom="1" header="0.5" footer="0.5"/>
      <pageSetup orientation="portrait" horizontalDpi="300" verticalDpi="300" r:id="rId1"/>
      <headerFooter alignWithMargins="0"/>
    </customSheetView>
  </customSheetViews>
  <mergeCells count="3">
    <mergeCell ref="A9:H9"/>
    <mergeCell ref="A10:H10"/>
    <mergeCell ref="D1:I1"/>
  </mergeCells>
  <phoneticPr fontId="0" type="noConversion"/>
  <hyperlinks>
    <hyperlink ref="A2" location="'3 - Balance Sheet'!A1" display="Wksh3" xr:uid="{00000000-0004-0000-0A00-000000000000}"/>
    <hyperlink ref="B2" location="'4 - Income Statement'!A1" display="Wksh4" xr:uid="{00000000-0004-0000-0A00-000001000000}"/>
    <hyperlink ref="B3" location="'6 - Key Financials'!A1" display="Wksh6" xr:uid="{00000000-0004-0000-0A00-000002000000}"/>
    <hyperlink ref="A3" location="'5 - Cash Flow'!A1" display="Wksh5" xr:uid="{00000000-0004-0000-0A00-000003000000}"/>
    <hyperlink ref="A4" location="'7 - Ratio Analysis'!A1" display="Wksh7" xr:uid="{00000000-0004-0000-0A00-000004000000}"/>
    <hyperlink ref="A5" location="'9 - Horizontal Analysis'!A1" display="Wksh9" xr:uid="{00000000-0004-0000-0A00-000005000000}"/>
    <hyperlink ref="B5" location="'10 - Vertical Analysis'!A1" display="Wksh10" xr:uid="{00000000-0004-0000-0A00-000006000000}"/>
    <hyperlink ref="B4" location="'8 - Benchmark Analysis'!A1" display="Wksh8" xr:uid="{00000000-0004-0000-0A00-000007000000}"/>
    <hyperlink ref="B8" location="'16 - Final Budgets'!A1" display="Wksh16" xr:uid="{00000000-0004-0000-0A00-000008000000}"/>
    <hyperlink ref="A8" location="'15 -Budget Analysis'!A1" display="Wksh15" xr:uid="{00000000-0004-0000-0A00-000009000000}"/>
    <hyperlink ref="B7" location="'14 - Scenario Analysis'!A1" display="Wksh14" xr:uid="{00000000-0004-0000-0A00-00000A000000}"/>
    <hyperlink ref="A7" location="'13 - Pro Forma (Exp)'!A1" display="Wksh13" xr:uid="{00000000-0004-0000-0A00-00000B000000}"/>
    <hyperlink ref="B6" location="'12 - Pro Forma (Linear) '!A1" display="Wksh12" xr:uid="{00000000-0004-0000-0A00-00000C000000}"/>
    <hyperlink ref="A1" location="'1 - Control Menu'!A1" display="Home" xr:uid="{00000000-0004-0000-0A00-00000D000000}"/>
    <hyperlink ref="B1" location="'2 - General Input'!A1" display="Wksh2" xr:uid="{00000000-0004-0000-0A00-00000E000000}"/>
  </hyperlinks>
  <printOptions horizontalCentered="1"/>
  <pageMargins left="0.2" right="0.2" top="0.35" bottom="0.33" header="0.2" footer="0.2"/>
  <pageSetup scale="65" orientation="landscape" horizontalDpi="300" verticalDpi="300" r:id="rId2"/>
  <headerFooter alignWithMargins="0"/>
  <rowBreaks count="1" manualBreakCount="1">
    <brk id="63" max="16383" man="1"/>
  </rowBreaks>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J155"/>
  <sheetViews>
    <sheetView view="pageBreakPreview" zoomScaleNormal="100" zoomScaleSheetLayoutView="100" workbookViewId="0">
      <selection activeCell="D134" sqref="D134"/>
    </sheetView>
  </sheetViews>
  <sheetFormatPr defaultRowHeight="12.75" x14ac:dyDescent="0.2"/>
  <cols>
    <col min="1" max="2" width="7.7109375" customWidth="1"/>
    <col min="3" max="3" width="32.28515625" customWidth="1"/>
    <col min="4" max="4" width="12.28515625" bestFit="1" customWidth="1"/>
    <col min="5" max="8" width="13.42578125" bestFit="1" customWidth="1"/>
    <col min="9" max="9" width="11.7109375" bestFit="1" customWidth="1"/>
  </cols>
  <sheetData>
    <row r="1" spans="1:4" ht="15.75" x14ac:dyDescent="0.25">
      <c r="A1" s="50" t="s">
        <v>1065</v>
      </c>
      <c r="B1" s="50" t="s">
        <v>36</v>
      </c>
      <c r="C1" s="5" t="s">
        <v>1274</v>
      </c>
    </row>
    <row r="2" spans="1:4" ht="15.75" x14ac:dyDescent="0.25">
      <c r="A2" s="50" t="s">
        <v>1344</v>
      </c>
      <c r="B2" s="50" t="s">
        <v>1345</v>
      </c>
      <c r="C2" s="5">
        <f>'2 - General Input'!C6</f>
        <v>0</v>
      </c>
    </row>
    <row r="3" spans="1:4" x14ac:dyDescent="0.2">
      <c r="A3" s="50" t="s">
        <v>1346</v>
      </c>
      <c r="B3" s="50" t="s">
        <v>1347</v>
      </c>
    </row>
    <row r="4" spans="1:4" x14ac:dyDescent="0.2">
      <c r="A4" s="50" t="s">
        <v>1348</v>
      </c>
      <c r="B4" s="50" t="s">
        <v>35</v>
      </c>
      <c r="C4" t="s">
        <v>1276</v>
      </c>
    </row>
    <row r="5" spans="1:4" x14ac:dyDescent="0.2">
      <c r="A5" s="50" t="s">
        <v>1349</v>
      </c>
      <c r="B5" s="50" t="s">
        <v>1350</v>
      </c>
      <c r="C5" s="10" t="s">
        <v>1293</v>
      </c>
    </row>
    <row r="6" spans="1:4" x14ac:dyDescent="0.2">
      <c r="A6" s="50" t="s">
        <v>1351</v>
      </c>
      <c r="B6" s="53" t="s">
        <v>1352</v>
      </c>
      <c r="C6" s="10" t="s">
        <v>1361</v>
      </c>
    </row>
    <row r="7" spans="1:4" x14ac:dyDescent="0.2">
      <c r="A7" s="50" t="s">
        <v>32</v>
      </c>
      <c r="B7" s="50" t="s">
        <v>31</v>
      </c>
      <c r="C7" s="10" t="s">
        <v>1362</v>
      </c>
    </row>
    <row r="8" spans="1:4" x14ac:dyDescent="0.2">
      <c r="A8" s="50" t="s">
        <v>33</v>
      </c>
      <c r="B8" s="50" t="s">
        <v>34</v>
      </c>
      <c r="C8" s="10" t="s">
        <v>1363</v>
      </c>
    </row>
    <row r="9" spans="1:4" x14ac:dyDescent="0.2">
      <c r="A9" s="26"/>
      <c r="B9" s="26"/>
      <c r="C9" s="10" t="s">
        <v>1364</v>
      </c>
    </row>
    <row r="10" spans="1:4" x14ac:dyDescent="0.2">
      <c r="A10" s="26"/>
      <c r="B10" s="26"/>
      <c r="C10" s="10" t="s">
        <v>1365</v>
      </c>
    </row>
    <row r="11" spans="1:4" x14ac:dyDescent="0.2">
      <c r="A11" s="26"/>
      <c r="B11" s="26"/>
      <c r="C11" s="10" t="s">
        <v>451</v>
      </c>
    </row>
    <row r="12" spans="1:4" x14ac:dyDescent="0.2">
      <c r="A12" s="26"/>
      <c r="B12" s="26"/>
      <c r="C12" s="12" t="s">
        <v>788</v>
      </c>
      <c r="D12" s="2" t="s">
        <v>788</v>
      </c>
    </row>
    <row r="13" spans="1:4" x14ac:dyDescent="0.2">
      <c r="A13" s="26"/>
      <c r="B13" s="26"/>
      <c r="C13" s="10"/>
    </row>
    <row r="14" spans="1:4" x14ac:dyDescent="0.2">
      <c r="A14" s="26"/>
      <c r="B14" s="26"/>
      <c r="C14" s="10" t="s">
        <v>154</v>
      </c>
    </row>
    <row r="15" spans="1:4" x14ac:dyDescent="0.2">
      <c r="A15" s="26"/>
      <c r="B15" s="26"/>
      <c r="C15" s="10" t="s">
        <v>155</v>
      </c>
    </row>
    <row r="16" spans="1:4" x14ac:dyDescent="0.2">
      <c r="A16" s="26"/>
      <c r="B16" s="26"/>
      <c r="C16" s="10"/>
    </row>
    <row r="17" spans="1:3" x14ac:dyDescent="0.2">
      <c r="A17" s="26"/>
      <c r="B17" s="26"/>
      <c r="C17" s="10"/>
    </row>
    <row r="18" spans="1:3" x14ac:dyDescent="0.2">
      <c r="A18" s="26"/>
      <c r="B18" s="26"/>
      <c r="C18" s="10"/>
    </row>
    <row r="19" spans="1:3" x14ac:dyDescent="0.2">
      <c r="A19" s="26"/>
      <c r="B19" s="26"/>
      <c r="C19" s="10"/>
    </row>
    <row r="20" spans="1:3" x14ac:dyDescent="0.2">
      <c r="A20" s="26"/>
      <c r="B20" s="26"/>
      <c r="C20" s="10"/>
    </row>
    <row r="21" spans="1:3" x14ac:dyDescent="0.2">
      <c r="A21" s="26"/>
      <c r="B21" s="26"/>
      <c r="C21" s="10"/>
    </row>
    <row r="22" spans="1:3" x14ac:dyDescent="0.2">
      <c r="A22" s="26"/>
      <c r="B22" s="26"/>
      <c r="C22" s="10"/>
    </row>
    <row r="23" spans="1:3" x14ac:dyDescent="0.2">
      <c r="A23" s="26"/>
      <c r="B23" s="26"/>
      <c r="C23" s="10"/>
    </row>
    <row r="24" spans="1:3" x14ac:dyDescent="0.2">
      <c r="A24" s="26"/>
      <c r="B24" s="26"/>
      <c r="C24" s="10"/>
    </row>
    <row r="25" spans="1:3" x14ac:dyDescent="0.2">
      <c r="A25" s="26"/>
      <c r="B25" s="26"/>
      <c r="C25" s="10"/>
    </row>
    <row r="26" spans="1:3" x14ac:dyDescent="0.2">
      <c r="A26" s="26"/>
      <c r="B26" s="26"/>
      <c r="C26" s="10"/>
    </row>
    <row r="27" spans="1:3" x14ac:dyDescent="0.2">
      <c r="A27" s="26"/>
      <c r="B27" s="26"/>
      <c r="C27" s="10"/>
    </row>
    <row r="28" spans="1:3" x14ac:dyDescent="0.2">
      <c r="A28" s="26"/>
      <c r="B28" s="26"/>
      <c r="C28" s="10"/>
    </row>
    <row r="29" spans="1:3" x14ac:dyDescent="0.2">
      <c r="A29" s="26"/>
      <c r="B29" s="26"/>
      <c r="C29" s="10"/>
    </row>
    <row r="30" spans="1:3" x14ac:dyDescent="0.2">
      <c r="A30" s="26"/>
      <c r="B30" s="26"/>
      <c r="C30" s="10"/>
    </row>
    <row r="31" spans="1:3" x14ac:dyDescent="0.2">
      <c r="A31" s="26"/>
      <c r="B31" s="26"/>
      <c r="C31" s="10"/>
    </row>
    <row r="32" spans="1:3" x14ac:dyDescent="0.2">
      <c r="A32" s="26"/>
      <c r="B32" s="26"/>
      <c r="C32" s="10" t="s">
        <v>454</v>
      </c>
    </row>
    <row r="33" spans="1:10" x14ac:dyDescent="0.2">
      <c r="A33" s="26"/>
      <c r="B33" s="26"/>
      <c r="C33" s="10"/>
      <c r="D33" s="26"/>
      <c r="E33" s="26" t="s">
        <v>467</v>
      </c>
      <c r="F33" s="26" t="s">
        <v>455</v>
      </c>
      <c r="G33" s="26" t="s">
        <v>297</v>
      </c>
      <c r="H33" s="26" t="s">
        <v>453</v>
      </c>
      <c r="I33" s="26" t="s">
        <v>461</v>
      </c>
    </row>
    <row r="34" spans="1:10" x14ac:dyDescent="0.2">
      <c r="A34" s="26"/>
      <c r="B34" s="26"/>
      <c r="C34" s="10" t="s">
        <v>460</v>
      </c>
      <c r="D34" s="96" t="s">
        <v>452</v>
      </c>
      <c r="E34" s="96" t="s">
        <v>470</v>
      </c>
      <c r="F34" s="96" t="s">
        <v>472</v>
      </c>
      <c r="G34" s="96" t="s">
        <v>466</v>
      </c>
      <c r="H34" s="96" t="s">
        <v>473</v>
      </c>
      <c r="I34" s="96" t="s">
        <v>468</v>
      </c>
    </row>
    <row r="35" spans="1:10" x14ac:dyDescent="0.2">
      <c r="A35" s="26"/>
      <c r="B35" s="26"/>
      <c r="C35" s="10"/>
      <c r="D35">
        <f>'4 - Income Statement'!D1</f>
        <v>2005</v>
      </c>
      <c r="E35">
        <v>1</v>
      </c>
      <c r="F35" s="15">
        <f>'4 - Income Statement'!D4</f>
        <v>417855564</v>
      </c>
      <c r="G35" s="15">
        <f>($H$35*E35)+$I$35</f>
        <v>293343803.19999993</v>
      </c>
      <c r="H35" s="18">
        <f>SLOPE(F35:F39,E35:E39)</f>
        <v>96435393.900000006</v>
      </c>
      <c r="I35" s="18">
        <f>INTERCEPT(F35:F39,E35:E39)</f>
        <v>196908409.29999995</v>
      </c>
      <c r="J35" t="s">
        <v>788</v>
      </c>
    </row>
    <row r="36" spans="1:10" x14ac:dyDescent="0.2">
      <c r="A36" s="26"/>
      <c r="B36" s="26"/>
      <c r="C36" s="10" t="s">
        <v>465</v>
      </c>
      <c r="D36">
        <f>'4 - Income Statement'!E1</f>
        <v>2006</v>
      </c>
      <c r="E36">
        <v>2</v>
      </c>
      <c r="F36" s="15">
        <f>'4 - Income Statement'!E4</f>
        <v>318686269</v>
      </c>
      <c r="G36" s="15">
        <f t="shared" ref="G36:G44" si="0">($H$35*E36)+$I$35</f>
        <v>389779197.09999996</v>
      </c>
    </row>
    <row r="37" spans="1:10" x14ac:dyDescent="0.2">
      <c r="A37" s="26"/>
      <c r="B37" s="26"/>
      <c r="C37" s="10"/>
      <c r="D37">
        <f>'4 - Income Statement'!F1</f>
        <v>2007</v>
      </c>
      <c r="E37">
        <v>3</v>
      </c>
      <c r="F37" s="15">
        <f>'4 - Income Statement'!F4</f>
        <v>356015524</v>
      </c>
      <c r="G37" s="15">
        <f t="shared" si="0"/>
        <v>486214591</v>
      </c>
    </row>
    <row r="38" spans="1:10" x14ac:dyDescent="0.2">
      <c r="A38" s="26"/>
      <c r="B38" s="26"/>
      <c r="C38" s="10" t="s">
        <v>469</v>
      </c>
      <c r="D38">
        <f>'4 - Income Statement'!G1</f>
        <v>2008</v>
      </c>
      <c r="E38">
        <v>4</v>
      </c>
      <c r="F38" s="15">
        <f>'4 - Income Statement'!G4</f>
        <v>558279860</v>
      </c>
      <c r="G38" s="15">
        <f t="shared" si="0"/>
        <v>582649984.89999998</v>
      </c>
    </row>
    <row r="39" spans="1:10" x14ac:dyDescent="0.2">
      <c r="A39" s="26"/>
      <c r="B39" s="26"/>
      <c r="C39" s="10" t="s">
        <v>462</v>
      </c>
      <c r="D39">
        <f>'4 - Income Statement'!H1</f>
        <v>2009</v>
      </c>
      <c r="E39">
        <v>5</v>
      </c>
      <c r="F39" s="15">
        <f>'4 - Income Statement'!H4</f>
        <v>780235738</v>
      </c>
      <c r="G39" s="15">
        <f t="shared" si="0"/>
        <v>679085378.79999995</v>
      </c>
    </row>
    <row r="40" spans="1:10" x14ac:dyDescent="0.2">
      <c r="A40" s="26"/>
      <c r="B40" s="26"/>
      <c r="C40" s="10" t="s">
        <v>471</v>
      </c>
      <c r="D40">
        <f>+D39+1</f>
        <v>2010</v>
      </c>
      <c r="E40">
        <v>6</v>
      </c>
      <c r="F40" s="15" t="s">
        <v>788</v>
      </c>
      <c r="G40" s="15">
        <f t="shared" si="0"/>
        <v>775520772.70000005</v>
      </c>
    </row>
    <row r="41" spans="1:10" x14ac:dyDescent="0.2">
      <c r="A41" s="26"/>
      <c r="B41" s="26"/>
      <c r="C41" s="10" t="s">
        <v>788</v>
      </c>
      <c r="D41">
        <f>+D40+1</f>
        <v>2011</v>
      </c>
      <c r="E41">
        <v>7</v>
      </c>
      <c r="F41" s="15" t="s">
        <v>788</v>
      </c>
      <c r="G41" s="15">
        <f t="shared" si="0"/>
        <v>871956166.60000002</v>
      </c>
    </row>
    <row r="42" spans="1:10" x14ac:dyDescent="0.2">
      <c r="A42" s="26"/>
      <c r="B42" s="26"/>
      <c r="C42" s="10" t="s">
        <v>788</v>
      </c>
      <c r="D42">
        <f>+D41+1</f>
        <v>2012</v>
      </c>
      <c r="E42">
        <v>8</v>
      </c>
      <c r="F42" s="15"/>
      <c r="G42" s="15">
        <f t="shared" si="0"/>
        <v>968391560.5</v>
      </c>
    </row>
    <row r="43" spans="1:10" x14ac:dyDescent="0.2">
      <c r="A43" s="26"/>
      <c r="B43" s="26"/>
      <c r="C43" s="10"/>
      <c r="D43">
        <f>+D42+1</f>
        <v>2013</v>
      </c>
      <c r="E43">
        <v>9</v>
      </c>
      <c r="F43" s="15"/>
      <c r="G43" s="15">
        <f t="shared" si="0"/>
        <v>1064826954.4</v>
      </c>
    </row>
    <row r="44" spans="1:10" x14ac:dyDescent="0.2">
      <c r="A44" s="26"/>
      <c r="B44" s="26"/>
      <c r="C44" s="10"/>
      <c r="D44">
        <f>+D43+1</f>
        <v>2014</v>
      </c>
      <c r="E44">
        <v>10</v>
      </c>
      <c r="F44" s="15" t="s">
        <v>788</v>
      </c>
      <c r="G44" s="15">
        <f t="shared" si="0"/>
        <v>1161262348.3</v>
      </c>
    </row>
    <row r="45" spans="1:10" x14ac:dyDescent="0.2">
      <c r="A45" s="26"/>
      <c r="B45" s="26"/>
      <c r="C45" s="10"/>
    </row>
    <row r="46" spans="1:10" x14ac:dyDescent="0.2">
      <c r="A46" s="26"/>
      <c r="B46" s="26"/>
      <c r="C46" s="10" t="s">
        <v>503</v>
      </c>
      <c r="G46" s="97">
        <f>RSQ(F35:F39,E35:E39)</f>
        <v>0.65800834001447928</v>
      </c>
      <c r="H46" t="s">
        <v>788</v>
      </c>
    </row>
    <row r="47" spans="1:10" x14ac:dyDescent="0.2">
      <c r="A47" s="26"/>
      <c r="B47" s="26"/>
      <c r="C47" s="10"/>
    </row>
    <row r="48" spans="1:10" x14ac:dyDescent="0.2">
      <c r="A48" s="26"/>
      <c r="B48" s="26"/>
      <c r="C48" t="s">
        <v>788</v>
      </c>
    </row>
    <row r="49" spans="1:8" x14ac:dyDescent="0.2">
      <c r="A49" s="26"/>
      <c r="B49" s="48" t="s">
        <v>788</v>
      </c>
      <c r="D49" s="3" t="str">
        <f>'2 - General Input'!$C$8</f>
        <v>Annual  سنوى</v>
      </c>
      <c r="E49" s="3" t="str">
        <f>'2 - General Input'!$C$8</f>
        <v>Annual  سنوى</v>
      </c>
      <c r="F49" s="3" t="str">
        <f>'2 - General Input'!$C$8</f>
        <v>Annual  سنوى</v>
      </c>
      <c r="G49" s="3" t="str">
        <f>'2 - General Input'!$C$8</f>
        <v>Annual  سنوى</v>
      </c>
      <c r="H49" s="3" t="str">
        <f>'2 - General Input'!$C$8</f>
        <v>Annual  سنوى</v>
      </c>
    </row>
    <row r="50" spans="1:8" x14ac:dyDescent="0.2">
      <c r="A50" s="26"/>
      <c r="B50" s="26"/>
      <c r="D50" s="3" t="s">
        <v>801</v>
      </c>
      <c r="E50" s="3" t="s">
        <v>801</v>
      </c>
      <c r="F50" s="3" t="s">
        <v>801</v>
      </c>
      <c r="G50" s="3" t="s">
        <v>801</v>
      </c>
      <c r="H50" s="3" t="s">
        <v>801</v>
      </c>
    </row>
    <row r="51" spans="1:8" x14ac:dyDescent="0.2">
      <c r="A51" s="26"/>
      <c r="B51" s="26"/>
      <c r="D51" s="131">
        <f>'11 - Pro Forma (Simple)'!E13</f>
        <v>2010</v>
      </c>
      <c r="E51" s="131">
        <f>'11 - Pro Forma (Simple)'!F13</f>
        <v>2011</v>
      </c>
      <c r="F51" s="131">
        <f>'11 - Pro Forma (Simple)'!G13</f>
        <v>2012</v>
      </c>
      <c r="G51" s="131">
        <f>'11 - Pro Forma (Simple)'!H13</f>
        <v>2013</v>
      </c>
      <c r="H51" s="131">
        <f>'11 - Pro Forma (Simple)'!I13</f>
        <v>2014</v>
      </c>
    </row>
    <row r="52" spans="1:8" x14ac:dyDescent="0.2">
      <c r="A52" s="26"/>
      <c r="B52" s="26"/>
    </row>
    <row r="53" spans="1:8" x14ac:dyDescent="0.2">
      <c r="A53" s="26"/>
      <c r="B53" s="26"/>
      <c r="C53" s="4" t="s">
        <v>1240</v>
      </c>
    </row>
    <row r="54" spans="1:8" x14ac:dyDescent="0.2">
      <c r="A54" s="26"/>
      <c r="B54" s="26"/>
      <c r="C54" s="4"/>
    </row>
    <row r="55" spans="1:8" x14ac:dyDescent="0.2">
      <c r="A55" s="26"/>
      <c r="B55" s="27" t="s">
        <v>1356</v>
      </c>
      <c r="C55" t="s">
        <v>1238</v>
      </c>
      <c r="D55" s="18">
        <f>TREND('4 - Income Statement'!D4:H4,'4 - Income Statement'!D1:H1,D51:H51)</f>
        <v>775520772.69998169</v>
      </c>
      <c r="E55" s="18">
        <f>TREND('4 - Income Statement'!D4:H4,'4 - Income Statement'!D1:H1,E51:H51)</f>
        <v>871956166.6000061</v>
      </c>
      <c r="F55" s="18">
        <f>TREND('4 - Income Statement'!D4:H4,'4 - Income Statement'!D1:H1,F51:H51)</f>
        <v>968391560.5</v>
      </c>
      <c r="G55" s="18">
        <f>TREND('4 - Income Statement'!D4:H4,'4 - Income Statement'!D1:H1,G51:H51)</f>
        <v>1064826954.3999939</v>
      </c>
      <c r="H55" s="18">
        <f>TREND('4 - Income Statement'!D4:H4,'4 - Income Statement'!D1:H1,H51)</f>
        <v>1161262348.2999878</v>
      </c>
    </row>
    <row r="56" spans="1:8" x14ac:dyDescent="0.2">
      <c r="A56" s="26"/>
      <c r="B56" s="27"/>
      <c r="D56" s="18"/>
      <c r="E56" s="18"/>
      <c r="F56" s="18"/>
      <c r="G56" s="18"/>
      <c r="H56" s="18"/>
    </row>
    <row r="57" spans="1:8" x14ac:dyDescent="0.2">
      <c r="B57" s="27" t="s">
        <v>1357</v>
      </c>
      <c r="C57" t="s">
        <v>796</v>
      </c>
      <c r="D57" s="18">
        <f>TREND('4 - Income Statement'!D5:H5,'4 - Income Statement'!D1:H1,D51:H51)</f>
        <v>-564914862.1000061</v>
      </c>
      <c r="E57" s="18">
        <f>TREND('4 - Income Statement'!D5:H5,'4 - Income Statement'!D1:H1,E51:H51)</f>
        <v>-625028616.3999939</v>
      </c>
      <c r="F57" s="18">
        <f>TREND('4 - Income Statement'!D5:H5,'4 - Income Statement'!D1:H1,F51:H51)</f>
        <v>-685142370.69999695</v>
      </c>
      <c r="G57" s="18">
        <f>TREND('4 - Income Statement'!D5:H5,'4 - Income Statement'!D1:H1,G51:H51)</f>
        <v>-745256125</v>
      </c>
      <c r="H57" s="18">
        <f>TREND('4 - Income Statement'!D5:H5,'4 - Income Statement'!D1:H1,H51)</f>
        <v>-805369879.30000305</v>
      </c>
    </row>
    <row r="58" spans="1:8" x14ac:dyDescent="0.2">
      <c r="B58" s="27"/>
      <c r="D58" s="18"/>
      <c r="E58" s="18"/>
      <c r="F58" s="18"/>
      <c r="G58" s="18"/>
      <c r="H58" s="18"/>
    </row>
    <row r="59" spans="1:8" x14ac:dyDescent="0.2">
      <c r="B59" s="27" t="s">
        <v>1358</v>
      </c>
      <c r="C59" s="61" t="s">
        <v>1206</v>
      </c>
      <c r="D59" s="62">
        <f>TREND('4 - Income Statement'!D8:H8,'4 - Income Statement'!D1:H1,D51:H51)</f>
        <v>-81010994.900001526</v>
      </c>
      <c r="E59" s="62">
        <f>TREND('4 - Income Statement'!D8:H8,'4 - Income Statement'!D1:H1,E51:H51)</f>
        <v>-94252420.400001526</v>
      </c>
      <c r="F59" s="62">
        <f>TREND('4 - Income Statement'!D8:H8,'4 - Income Statement'!D1:H1,F51:H51)</f>
        <v>-107493845.90000153</v>
      </c>
      <c r="G59" s="62">
        <f>TREND('4 - Income Statement'!D8:H8,'4 - Income Statement'!D1:H1,G51:H51)</f>
        <v>-120735271.40000153</v>
      </c>
      <c r="H59" s="62">
        <f>TREND('4 - Income Statement'!D8:H8,'4 - Income Statement'!D1:H1,H51)</f>
        <v>-133976696.90000153</v>
      </c>
    </row>
    <row r="60" spans="1:8" x14ac:dyDescent="0.2">
      <c r="B60" s="27"/>
      <c r="D60" s="18"/>
      <c r="E60" s="18"/>
      <c r="F60" s="18"/>
      <c r="G60" s="18"/>
      <c r="H60" s="18"/>
    </row>
    <row r="61" spans="1:8" x14ac:dyDescent="0.2">
      <c r="B61" s="27" t="s">
        <v>1359</v>
      </c>
      <c r="C61" t="s">
        <v>800</v>
      </c>
      <c r="D61" s="18">
        <f>SUM(D55:D59)</f>
        <v>129594915.69997406</v>
      </c>
      <c r="E61" s="18">
        <f>SUM(E55:E59)</f>
        <v>152675129.80001068</v>
      </c>
      <c r="F61" s="18">
        <f>SUM(F55:F59)</f>
        <v>175755343.90000153</v>
      </c>
      <c r="G61" s="18">
        <f>SUM(G55:G59)</f>
        <v>198835557.99999237</v>
      </c>
      <c r="H61" s="18">
        <f>SUM(H55:H59)</f>
        <v>221915772.09998322</v>
      </c>
    </row>
    <row r="62" spans="1:8" x14ac:dyDescent="0.2">
      <c r="B62" s="27"/>
      <c r="D62" s="18"/>
      <c r="E62" s="18"/>
      <c r="F62" s="18"/>
      <c r="G62" s="18"/>
      <c r="H62" s="18"/>
    </row>
    <row r="63" spans="1:8" x14ac:dyDescent="0.2">
      <c r="B63" s="27" t="s">
        <v>1360</v>
      </c>
      <c r="C63" t="s">
        <v>1209</v>
      </c>
      <c r="D63" s="18">
        <f>TREND('4 - Income Statement'!D27:H27,'4 - Income Statement'!D1:H1,D51:H51)</f>
        <v>-20340113.599999428</v>
      </c>
      <c r="E63" s="18">
        <f>TREND('4 - Income Statement'!D27:H27,'4 - Income Statement'!D1:H1,E51:H51)</f>
        <v>-24201274.800000191</v>
      </c>
      <c r="F63" s="18">
        <f>TREND('4 - Income Statement'!D27:H27,'4 - Income Statement'!D1:H1,F51:H51)</f>
        <v>-28062436</v>
      </c>
      <c r="G63" s="18">
        <f>TREND('4 - Income Statement'!D27:H27,'4 - Income Statement'!D1:H1,G51:H51)</f>
        <v>-31923597.199999809</v>
      </c>
      <c r="H63" s="18">
        <f>TREND('4 - Income Statement'!D27:H27,'4 - Income Statement'!D1:H1,H51)</f>
        <v>-35784758.399999619</v>
      </c>
    </row>
    <row r="64" spans="1:8" x14ac:dyDescent="0.2">
      <c r="B64" s="27"/>
      <c r="D64" s="18"/>
      <c r="E64" s="18"/>
      <c r="F64" s="18"/>
      <c r="G64" s="18"/>
      <c r="H64" s="18"/>
    </row>
    <row r="65" spans="2:8" x14ac:dyDescent="0.2">
      <c r="B65" s="27" t="s">
        <v>1281</v>
      </c>
      <c r="C65" s="61" t="s">
        <v>1280</v>
      </c>
      <c r="D65" s="62">
        <f>AVERAGE('4 - Income Statement'!$D$28:$H$28)</f>
        <v>0</v>
      </c>
      <c r="E65" s="62">
        <f>AVERAGE('4 - Income Statement'!$D$28:$H$28)</f>
        <v>0</v>
      </c>
      <c r="F65" s="62">
        <f>AVERAGE('4 - Income Statement'!$D$28:$H$28)</f>
        <v>0</v>
      </c>
      <c r="G65" s="62">
        <f>AVERAGE('4 - Income Statement'!$D$28:$H$28)</f>
        <v>0</v>
      </c>
      <c r="H65" s="62">
        <f>AVERAGE('4 - Income Statement'!$D$28:$H$28)</f>
        <v>0</v>
      </c>
    </row>
    <row r="66" spans="2:8" x14ac:dyDescent="0.2">
      <c r="B66" s="27"/>
      <c r="D66" s="18"/>
      <c r="E66" s="18"/>
      <c r="F66" s="18"/>
      <c r="G66" s="18"/>
      <c r="H66" s="18"/>
    </row>
    <row r="67" spans="2:8" ht="13.5" thickBot="1" x14ac:dyDescent="0.25">
      <c r="B67" s="27"/>
      <c r="C67" s="63" t="s">
        <v>808</v>
      </c>
      <c r="D67" s="64">
        <f>SUM(D61:D65)</f>
        <v>109254802.09997463</v>
      </c>
      <c r="E67" s="64">
        <f>SUM(E61:E65)</f>
        <v>128473855.00001049</v>
      </c>
      <c r="F67" s="64">
        <f>SUM(F61:F65)</f>
        <v>147692907.90000153</v>
      </c>
      <c r="G67" s="64">
        <f>SUM(G61:G65)</f>
        <v>166911960.79999256</v>
      </c>
      <c r="H67" s="64">
        <f>SUM(H61:H65)</f>
        <v>186131013.6999836</v>
      </c>
    </row>
    <row r="68" spans="2:8" ht="13.5" thickTop="1" x14ac:dyDescent="0.2">
      <c r="B68" s="27"/>
      <c r="D68" s="18"/>
      <c r="E68" s="18"/>
      <c r="F68" s="18"/>
      <c r="G68" s="18"/>
      <c r="H68" s="18"/>
    </row>
    <row r="69" spans="2:8" x14ac:dyDescent="0.2">
      <c r="B69" s="27"/>
      <c r="D69" s="18"/>
      <c r="E69" s="18"/>
      <c r="F69" s="18"/>
      <c r="G69" s="18"/>
      <c r="H69" s="18"/>
    </row>
    <row r="70" spans="2:8" x14ac:dyDescent="0.2">
      <c r="B70" s="27"/>
      <c r="C70" s="4" t="s">
        <v>1279</v>
      </c>
      <c r="D70" s="18"/>
      <c r="E70" s="18"/>
      <c r="F70" s="18"/>
      <c r="G70" s="18"/>
      <c r="H70" s="18"/>
    </row>
    <row r="71" spans="2:8" x14ac:dyDescent="0.2">
      <c r="B71" s="27"/>
      <c r="D71" s="18"/>
      <c r="E71" s="18"/>
      <c r="F71" s="18"/>
      <c r="G71" s="18"/>
      <c r="H71" s="18"/>
    </row>
    <row r="72" spans="2:8" x14ac:dyDescent="0.2">
      <c r="B72" s="27"/>
      <c r="C72" s="1" t="s">
        <v>1335</v>
      </c>
      <c r="D72" s="18"/>
      <c r="E72" s="18"/>
      <c r="F72" s="18"/>
      <c r="G72" s="18"/>
      <c r="H72" s="18"/>
    </row>
    <row r="73" spans="2:8" x14ac:dyDescent="0.2">
      <c r="B73" s="27"/>
      <c r="C73" t="s">
        <v>808</v>
      </c>
      <c r="D73" s="18">
        <f>D67</f>
        <v>109254802.09997463</v>
      </c>
      <c r="E73" s="18">
        <f>E67</f>
        <v>128473855.00001049</v>
      </c>
      <c r="F73" s="18">
        <f>F67</f>
        <v>147692907.90000153</v>
      </c>
      <c r="G73" s="18">
        <f>G67</f>
        <v>166911960.79999256</v>
      </c>
      <c r="H73" s="18">
        <f>H67</f>
        <v>186131013.6999836</v>
      </c>
    </row>
    <row r="74" spans="2:8" x14ac:dyDescent="0.2">
      <c r="B74" s="27"/>
      <c r="C74" t="s">
        <v>843</v>
      </c>
      <c r="D74" s="18">
        <f>'11 - Pro Forma (Simple)'!E38</f>
        <v>0</v>
      </c>
      <c r="E74" s="18">
        <f>'11 - Pro Forma (Simple)'!F38</f>
        <v>0</v>
      </c>
      <c r="F74" s="18">
        <f>'11 - Pro Forma (Simple)'!G38</f>
        <v>0</v>
      </c>
      <c r="G74" s="18">
        <f>'11 - Pro Forma (Simple)'!H38</f>
        <v>0</v>
      </c>
      <c r="H74" s="18">
        <f>'11 - Pro Forma (Simple)'!I38</f>
        <v>0</v>
      </c>
    </row>
    <row r="75" spans="2:8" x14ac:dyDescent="0.2">
      <c r="B75" s="27"/>
      <c r="C75" t="s">
        <v>854</v>
      </c>
      <c r="D75" s="18">
        <f>'11 - Pro Forma (Simple)'!E39</f>
        <v>0</v>
      </c>
      <c r="E75" s="18">
        <f>'11 - Pro Forma (Simple)'!F39</f>
        <v>0</v>
      </c>
      <c r="F75" s="18">
        <f>'11 - Pro Forma (Simple)'!G39</f>
        <v>0</v>
      </c>
      <c r="G75" s="18">
        <f>'11 - Pro Forma (Simple)'!H39</f>
        <v>0</v>
      </c>
      <c r="H75" s="18">
        <f>'11 - Pro Forma (Simple)'!I39</f>
        <v>0</v>
      </c>
    </row>
    <row r="76" spans="2:8" x14ac:dyDescent="0.2">
      <c r="B76" s="27"/>
      <c r="C76" t="s">
        <v>855</v>
      </c>
      <c r="D76" s="18">
        <f>'11 - Pro Forma (Simple)'!E40</f>
        <v>0</v>
      </c>
      <c r="E76" s="18">
        <f>'11 - Pro Forma (Simple)'!F40</f>
        <v>0</v>
      </c>
      <c r="F76" s="18">
        <f>'11 - Pro Forma (Simple)'!G40</f>
        <v>0</v>
      </c>
      <c r="G76" s="18">
        <f>'11 - Pro Forma (Simple)'!H40</f>
        <v>0</v>
      </c>
      <c r="H76" s="18">
        <f>'11 - Pro Forma (Simple)'!I40</f>
        <v>0</v>
      </c>
    </row>
    <row r="77" spans="2:8" x14ac:dyDescent="0.2">
      <c r="B77" s="27"/>
      <c r="C77" t="s">
        <v>856</v>
      </c>
      <c r="D77" s="18">
        <f>'3 - Balance Sheet'!H7-(D55*0.27)</f>
        <v>228977586.37100494</v>
      </c>
      <c r="E77" s="18">
        <f>(D55*0.27)-(E55*0.27)</f>
        <v>-26037556.353006601</v>
      </c>
      <c r="F77" s="18">
        <f>(E55*0.27)-(F55*0.27)</f>
        <v>-26037556.352998346</v>
      </c>
      <c r="G77" s="18">
        <f>(F55*0.27)-(G55*0.27)</f>
        <v>-26037556.352998346</v>
      </c>
      <c r="H77" s="18">
        <f>(G55*0.27)-(H55*0.27)</f>
        <v>-26037556.352998376</v>
      </c>
    </row>
    <row r="78" spans="2:8" x14ac:dyDescent="0.2">
      <c r="B78" s="27"/>
      <c r="C78" s="61" t="s">
        <v>857</v>
      </c>
      <c r="D78" s="62">
        <f>(D55*0.35)-'3 - Balance Sheet'!H20</f>
        <v>-87253824.555006444</v>
      </c>
      <c r="E78" s="62">
        <f>(E55*0.35)-(D55*0.35)</f>
        <v>33752387.865008533</v>
      </c>
      <c r="F78" s="62">
        <f>(F55*0.35)-(E55*0.35)</f>
        <v>33752387.864997864</v>
      </c>
      <c r="G78" s="62">
        <f>(G55*0.35)-(F55*0.35)</f>
        <v>33752387.864997864</v>
      </c>
      <c r="H78" s="62">
        <f>(H55*0.35)-(G55*0.35)</f>
        <v>33752387.864997864</v>
      </c>
    </row>
    <row r="79" spans="2:8" x14ac:dyDescent="0.2">
      <c r="B79" s="27"/>
      <c r="D79" s="18"/>
      <c r="E79" s="18"/>
      <c r="F79" s="18"/>
      <c r="G79" s="18"/>
      <c r="H79" s="18"/>
    </row>
    <row r="80" spans="2:8" x14ac:dyDescent="0.2">
      <c r="B80" s="27"/>
      <c r="C80" t="s">
        <v>1107</v>
      </c>
      <c r="D80" s="18">
        <f>SUM(D73:D79)</f>
        <v>250978563.91597313</v>
      </c>
      <c r="E80" s="18">
        <f>SUM(E73:E79)</f>
        <v>136188686.51201242</v>
      </c>
      <c r="F80" s="18">
        <f>SUM(F73:F79)</f>
        <v>155407739.41200104</v>
      </c>
      <c r="G80" s="18">
        <f>SUM(G73:G79)</f>
        <v>174626792.31199208</v>
      </c>
      <c r="H80" s="18">
        <f>SUM(H73:H79)</f>
        <v>193845845.21198308</v>
      </c>
    </row>
    <row r="81" spans="2:8" x14ac:dyDescent="0.2">
      <c r="B81" s="27"/>
      <c r="D81" s="18"/>
      <c r="E81" s="18"/>
      <c r="F81" s="18"/>
      <c r="G81" s="18"/>
      <c r="H81" s="18"/>
    </row>
    <row r="82" spans="2:8" x14ac:dyDescent="0.2">
      <c r="B82" s="27"/>
      <c r="C82" s="1" t="s">
        <v>1336</v>
      </c>
      <c r="D82" s="18"/>
      <c r="E82" s="18"/>
      <c r="F82" s="18"/>
      <c r="G82" s="18"/>
      <c r="H82" s="18"/>
    </row>
    <row r="83" spans="2:8" x14ac:dyDescent="0.2">
      <c r="B83" s="27"/>
      <c r="C83" t="s">
        <v>1337</v>
      </c>
      <c r="D83" s="18">
        <f>'11 - Pro Forma (Simple)'!E47</f>
        <v>0</v>
      </c>
      <c r="E83" s="18">
        <f>'11 - Pro Forma (Simple)'!F47</f>
        <v>0</v>
      </c>
      <c r="F83" s="18">
        <f>'11 - Pro Forma (Simple)'!G47</f>
        <v>0</v>
      </c>
      <c r="G83" s="18">
        <f>'11 - Pro Forma (Simple)'!H47</f>
        <v>0</v>
      </c>
      <c r="H83" s="18">
        <f>'11 - Pro Forma (Simple)'!I47</f>
        <v>0</v>
      </c>
    </row>
    <row r="84" spans="2:8" x14ac:dyDescent="0.2">
      <c r="B84" s="27"/>
      <c r="C84" t="s">
        <v>1338</v>
      </c>
      <c r="D84" s="18">
        <f>'11 - Pro Forma (Simple)'!E48</f>
        <v>0</v>
      </c>
      <c r="E84" s="18">
        <f>'11 - Pro Forma (Simple)'!F48</f>
        <v>0</v>
      </c>
      <c r="F84" s="18">
        <f>'11 - Pro Forma (Simple)'!G48</f>
        <v>0</v>
      </c>
      <c r="G84" s="18">
        <f>'11 - Pro Forma (Simple)'!H48</f>
        <v>0</v>
      </c>
      <c r="H84" s="18">
        <f>'11 - Pro Forma (Simple)'!I48</f>
        <v>0</v>
      </c>
    </row>
    <row r="85" spans="2:8" x14ac:dyDescent="0.2">
      <c r="B85" s="27"/>
      <c r="C85" s="61" t="s">
        <v>1339</v>
      </c>
      <c r="D85" s="62">
        <f>'11 - Pro Forma (Simple)'!E49</f>
        <v>0</v>
      </c>
      <c r="E85" s="62">
        <f>'11 - Pro Forma (Simple)'!F49</f>
        <v>0</v>
      </c>
      <c r="F85" s="62">
        <f>'11 - Pro Forma (Simple)'!G49</f>
        <v>0</v>
      </c>
      <c r="G85" s="62">
        <f>'11 - Pro Forma (Simple)'!H49</f>
        <v>0</v>
      </c>
      <c r="H85" s="62">
        <f>'11 - Pro Forma (Simple)'!I49</f>
        <v>0</v>
      </c>
    </row>
    <row r="86" spans="2:8" x14ac:dyDescent="0.2">
      <c r="B86" s="27"/>
      <c r="C86" s="2" t="s">
        <v>18</v>
      </c>
      <c r="D86" s="18">
        <f>SUM(D83:D85)</f>
        <v>0</v>
      </c>
      <c r="E86" s="18">
        <f>SUM(E83:E85)</f>
        <v>0</v>
      </c>
      <c r="F86" s="18">
        <f>SUM(F83:F85)</f>
        <v>0</v>
      </c>
      <c r="G86" s="18">
        <f>SUM(G83:G85)</f>
        <v>0</v>
      </c>
      <c r="H86" s="18">
        <f>SUM(H83:H85)</f>
        <v>0</v>
      </c>
    </row>
    <row r="87" spans="2:8" x14ac:dyDescent="0.2">
      <c r="B87" s="27"/>
      <c r="D87" s="18"/>
      <c r="E87" s="18"/>
      <c r="F87" s="18"/>
      <c r="G87" s="18"/>
      <c r="H87" s="18"/>
    </row>
    <row r="88" spans="2:8" x14ac:dyDescent="0.2">
      <c r="B88" s="27"/>
      <c r="C88" s="1" t="s">
        <v>1340</v>
      </c>
      <c r="D88" s="18"/>
      <c r="E88" s="18"/>
      <c r="F88" s="18"/>
      <c r="G88" s="18"/>
      <c r="H88" s="18"/>
    </row>
    <row r="89" spans="2:8" x14ac:dyDescent="0.2">
      <c r="B89" s="27"/>
      <c r="C89" t="s">
        <v>853</v>
      </c>
      <c r="D89" s="18">
        <f>'11 - Pro Forma (Simple)'!E53</f>
        <v>0</v>
      </c>
      <c r="E89" s="18">
        <f>'11 - Pro Forma (Simple)'!F53</f>
        <v>0</v>
      </c>
      <c r="F89" s="18">
        <f>'11 - Pro Forma (Simple)'!G53</f>
        <v>0</v>
      </c>
      <c r="G89" s="18">
        <f>'11 - Pro Forma (Simple)'!H53</f>
        <v>0</v>
      </c>
      <c r="H89" s="18">
        <f>'11 - Pro Forma (Simple)'!I53</f>
        <v>0</v>
      </c>
    </row>
    <row r="90" spans="2:8" x14ac:dyDescent="0.2">
      <c r="B90" s="27"/>
      <c r="C90" t="s">
        <v>9</v>
      </c>
      <c r="D90" s="18">
        <f>'11 - Pro Forma (Simple)'!E54</f>
        <v>0</v>
      </c>
      <c r="E90" s="18">
        <f>'11 - Pro Forma (Simple)'!F54</f>
        <v>0</v>
      </c>
      <c r="F90" s="18">
        <f>'11 - Pro Forma (Simple)'!G54</f>
        <v>0</v>
      </c>
      <c r="G90" s="18">
        <f>'11 - Pro Forma (Simple)'!H54</f>
        <v>0</v>
      </c>
      <c r="H90" s="18">
        <f>'11 - Pro Forma (Simple)'!I54</f>
        <v>0</v>
      </c>
    </row>
    <row r="91" spans="2:8" x14ac:dyDescent="0.2">
      <c r="B91" s="27"/>
      <c r="C91" s="61" t="s">
        <v>859</v>
      </c>
      <c r="D91" s="62">
        <f>'11 - Pro Forma (Simple)'!E55</f>
        <v>0</v>
      </c>
      <c r="E91" s="62">
        <f>'11 - Pro Forma (Simple)'!F55</f>
        <v>0</v>
      </c>
      <c r="F91" s="62">
        <f>'11 - Pro Forma (Simple)'!G55</f>
        <v>0</v>
      </c>
      <c r="G91" s="62">
        <f>'11 - Pro Forma (Simple)'!H55</f>
        <v>0</v>
      </c>
      <c r="H91" s="62">
        <f>'11 - Pro Forma (Simple)'!I55</f>
        <v>0</v>
      </c>
    </row>
    <row r="92" spans="2:8" x14ac:dyDescent="0.2">
      <c r="B92" s="27"/>
      <c r="C92" s="2" t="s">
        <v>19</v>
      </c>
      <c r="D92" s="18">
        <f>SUM(D89:D91)</f>
        <v>0</v>
      </c>
      <c r="E92" s="18">
        <f>SUM(E89:E91)</f>
        <v>0</v>
      </c>
      <c r="F92" s="18">
        <f>SUM(F89:F91)</f>
        <v>0</v>
      </c>
      <c r="G92" s="18">
        <f>SUM(G89:G91)</f>
        <v>0</v>
      </c>
      <c r="H92" s="18">
        <f>SUM(H89:H91)</f>
        <v>0</v>
      </c>
    </row>
    <row r="93" spans="2:8" x14ac:dyDescent="0.2">
      <c r="B93" s="27"/>
      <c r="D93" s="18"/>
      <c r="E93" s="18"/>
      <c r="F93" s="18"/>
      <c r="G93" s="18"/>
      <c r="H93" s="18"/>
    </row>
    <row r="94" spans="2:8" x14ac:dyDescent="0.2">
      <c r="B94" s="27"/>
      <c r="C94" s="1" t="s">
        <v>1341</v>
      </c>
      <c r="D94" s="18"/>
      <c r="E94" s="18"/>
      <c r="F94" s="18"/>
      <c r="G94" s="18"/>
      <c r="H94" s="18"/>
    </row>
    <row r="95" spans="2:8" x14ac:dyDescent="0.2">
      <c r="B95" s="27"/>
      <c r="C95" t="s">
        <v>1342</v>
      </c>
      <c r="D95" s="18">
        <f>'11 - Pro Forma (Simple)'!E59</f>
        <v>0</v>
      </c>
      <c r="E95" s="18">
        <f>'11 - Pro Forma (Simple)'!F59</f>
        <v>0</v>
      </c>
      <c r="F95" s="18">
        <f>'11 - Pro Forma (Simple)'!G59</f>
        <v>0</v>
      </c>
      <c r="G95" s="18">
        <f>'11 - Pro Forma (Simple)'!H59</f>
        <v>0</v>
      </c>
      <c r="H95" s="18">
        <f>'11 - Pro Forma (Simple)'!I59</f>
        <v>0</v>
      </c>
    </row>
    <row r="96" spans="2:8" x14ac:dyDescent="0.2">
      <c r="B96" s="27"/>
      <c r="C96" t="s">
        <v>867</v>
      </c>
      <c r="D96" s="18">
        <f>'11 - Pro Forma (Simple)'!E60</f>
        <v>0</v>
      </c>
      <c r="E96" s="18">
        <f>'11 - Pro Forma (Simple)'!F60</f>
        <v>0</v>
      </c>
      <c r="F96" s="18">
        <f>'11 - Pro Forma (Simple)'!G60</f>
        <v>0</v>
      </c>
      <c r="G96" s="18">
        <f>'11 - Pro Forma (Simple)'!H60</f>
        <v>0</v>
      </c>
      <c r="H96" s="18">
        <f>'11 - Pro Forma (Simple)'!I60</f>
        <v>0</v>
      </c>
    </row>
    <row r="97" spans="2:8" x14ac:dyDescent="0.2">
      <c r="B97" s="27"/>
      <c r="C97" s="61" t="s">
        <v>868</v>
      </c>
      <c r="D97" s="62">
        <f>'11 - Pro Forma (Simple)'!E61</f>
        <v>0</v>
      </c>
      <c r="E97" s="62">
        <f>'11 - Pro Forma (Simple)'!F61</f>
        <v>0</v>
      </c>
      <c r="F97" s="62">
        <f>'11 - Pro Forma (Simple)'!G61</f>
        <v>0</v>
      </c>
      <c r="G97" s="62">
        <f>'11 - Pro Forma (Simple)'!H61</f>
        <v>0</v>
      </c>
      <c r="H97" s="62">
        <f>'11 - Pro Forma (Simple)'!I61</f>
        <v>0</v>
      </c>
    </row>
    <row r="98" spans="2:8" x14ac:dyDescent="0.2">
      <c r="B98" s="27"/>
      <c r="C98" s="2" t="s">
        <v>20</v>
      </c>
      <c r="D98" s="18">
        <f>SUM(D95:D97)</f>
        <v>0</v>
      </c>
      <c r="E98" s="18">
        <f>SUM(E95:E97)</f>
        <v>0</v>
      </c>
      <c r="F98" s="18">
        <f>SUM(F95:F97)</f>
        <v>0</v>
      </c>
      <c r="G98" s="18">
        <f>SUM(G95:G97)</f>
        <v>0</v>
      </c>
      <c r="H98" s="18">
        <f>SUM(H95:H97)</f>
        <v>0</v>
      </c>
    </row>
    <row r="99" spans="2:8" x14ac:dyDescent="0.2">
      <c r="B99" s="27"/>
    </row>
    <row r="100" spans="2:8" x14ac:dyDescent="0.2">
      <c r="B100" s="27"/>
      <c r="C100" s="1" t="s">
        <v>10</v>
      </c>
    </row>
    <row r="101" spans="2:8" x14ac:dyDescent="0.2">
      <c r="B101" s="27"/>
      <c r="C101" t="s">
        <v>11</v>
      </c>
      <c r="D101" s="18">
        <f>'11 - Pro Forma (Simple)'!E65</f>
        <v>0</v>
      </c>
      <c r="E101" s="18">
        <f>'11 - Pro Forma (Simple)'!F65</f>
        <v>0</v>
      </c>
      <c r="F101" s="18">
        <f>'11 - Pro Forma (Simple)'!G65</f>
        <v>0</v>
      </c>
      <c r="G101" s="18">
        <f>'11 - Pro Forma (Simple)'!H65</f>
        <v>0</v>
      </c>
      <c r="H101" s="18">
        <f>'11 - Pro Forma (Simple)'!I65</f>
        <v>0</v>
      </c>
    </row>
    <row r="102" spans="2:8" x14ac:dyDescent="0.2">
      <c r="B102" s="27"/>
      <c r="C102" t="s">
        <v>866</v>
      </c>
      <c r="D102" s="18">
        <f>'11 - Pro Forma (Simple)'!E66</f>
        <v>0</v>
      </c>
      <c r="E102" s="18">
        <f>'11 - Pro Forma (Simple)'!F66</f>
        <v>0</v>
      </c>
      <c r="F102" s="18">
        <f>'11 - Pro Forma (Simple)'!G66</f>
        <v>0</v>
      </c>
      <c r="G102" s="18">
        <f>'11 - Pro Forma (Simple)'!H66</f>
        <v>0</v>
      </c>
      <c r="H102" s="18">
        <f>'11 - Pro Forma (Simple)'!I66</f>
        <v>0</v>
      </c>
    </row>
    <row r="103" spans="2:8" x14ac:dyDescent="0.2">
      <c r="B103" s="27"/>
      <c r="C103" t="s">
        <v>12</v>
      </c>
      <c r="D103" s="18">
        <f>'11 - Pro Forma (Simple)'!E67</f>
        <v>0</v>
      </c>
      <c r="E103" s="18">
        <f>'11 - Pro Forma (Simple)'!F67</f>
        <v>0</v>
      </c>
      <c r="F103" s="18">
        <f>'11 - Pro Forma (Simple)'!G67</f>
        <v>0</v>
      </c>
      <c r="G103" s="18">
        <f>'11 - Pro Forma (Simple)'!H67</f>
        <v>0</v>
      </c>
      <c r="H103" s="18">
        <f>'11 - Pro Forma (Simple)'!I67</f>
        <v>0</v>
      </c>
    </row>
    <row r="104" spans="2:8" x14ac:dyDescent="0.2">
      <c r="B104" s="27"/>
      <c r="C104" s="61" t="s">
        <v>868</v>
      </c>
      <c r="D104" s="62">
        <f>'11 - Pro Forma (Simple)'!E68</f>
        <v>0</v>
      </c>
      <c r="E104" s="62">
        <f>'11 - Pro Forma (Simple)'!F68</f>
        <v>0</v>
      </c>
      <c r="F104" s="62">
        <f>'11 - Pro Forma (Simple)'!G68</f>
        <v>0</v>
      </c>
      <c r="G104" s="62">
        <f>'11 - Pro Forma (Simple)'!H68</f>
        <v>0</v>
      </c>
      <c r="H104" s="62">
        <f>'11 - Pro Forma (Simple)'!I68</f>
        <v>0</v>
      </c>
    </row>
    <row r="105" spans="2:8" x14ac:dyDescent="0.2">
      <c r="B105" s="27"/>
      <c r="C105" s="2" t="s">
        <v>21</v>
      </c>
      <c r="D105" s="18">
        <f>SUM(D101:D104)</f>
        <v>0</v>
      </c>
      <c r="E105" s="18">
        <f>SUM(E101:E104)</f>
        <v>0</v>
      </c>
      <c r="F105" s="18">
        <f>SUM(F101:F104)</f>
        <v>0</v>
      </c>
      <c r="G105" s="18">
        <f>SUM(G101:G104)</f>
        <v>0</v>
      </c>
      <c r="H105" s="18">
        <f>SUM(H101:H104)</f>
        <v>0</v>
      </c>
    </row>
    <row r="106" spans="2:8" x14ac:dyDescent="0.2">
      <c r="B106" s="27"/>
    </row>
    <row r="107" spans="2:8" x14ac:dyDescent="0.2">
      <c r="B107" s="27"/>
      <c r="C107" t="s">
        <v>13</v>
      </c>
      <c r="D107" s="18">
        <f>D80+D86+D92+D98+D105</f>
        <v>250978563.91597313</v>
      </c>
      <c r="E107" s="18">
        <f>E80+E86+E92+E98+E105</f>
        <v>136188686.51201242</v>
      </c>
      <c r="F107" s="18">
        <f>F80+F86+F92+F98+F105</f>
        <v>155407739.41200104</v>
      </c>
      <c r="G107" s="18">
        <f>G80+G86+G92+G98+G105</f>
        <v>174626792.31199208</v>
      </c>
      <c r="H107" s="18">
        <f>H80+H86+H92+H98+H105</f>
        <v>193845845.21198308</v>
      </c>
    </row>
    <row r="108" spans="2:8" x14ac:dyDescent="0.2">
      <c r="B108" s="27"/>
    </row>
    <row r="109" spans="2:8" x14ac:dyDescent="0.2">
      <c r="B109" s="27"/>
      <c r="C109" t="s">
        <v>871</v>
      </c>
      <c r="D109" s="18">
        <f>'3 - Balance Sheet'!H2</f>
        <v>25361545</v>
      </c>
      <c r="E109" s="18">
        <f>D110</f>
        <v>276340108.91597313</v>
      </c>
      <c r="F109" s="18">
        <f>E110</f>
        <v>412528795.42798555</v>
      </c>
      <c r="G109" s="18">
        <f>F110</f>
        <v>567936534.83998656</v>
      </c>
      <c r="H109" s="18">
        <f>G110</f>
        <v>742563327.15197861</v>
      </c>
    </row>
    <row r="110" spans="2:8" ht="13.5" thickBot="1" x14ac:dyDescent="0.25">
      <c r="B110" s="27"/>
      <c r="C110" s="65" t="s">
        <v>14</v>
      </c>
      <c r="D110" s="76">
        <f>SUM(D107:D109)</f>
        <v>276340108.91597313</v>
      </c>
      <c r="E110" s="76">
        <f>SUM(E107:E109)</f>
        <v>412528795.42798555</v>
      </c>
      <c r="F110" s="76">
        <f>SUM(F107:F109)</f>
        <v>567936534.83998656</v>
      </c>
      <c r="G110" s="76">
        <f>SUM(G107:G109)</f>
        <v>742563327.15197861</v>
      </c>
      <c r="H110" s="76">
        <f>SUM(H107:H109)</f>
        <v>936409172.3639617</v>
      </c>
    </row>
    <row r="111" spans="2:8" ht="13.5" thickTop="1" x14ac:dyDescent="0.2">
      <c r="B111" s="27"/>
    </row>
    <row r="112" spans="2:8" x14ac:dyDescent="0.2">
      <c r="B112" s="27"/>
    </row>
    <row r="113" spans="2:8" x14ac:dyDescent="0.2">
      <c r="B113" s="27"/>
      <c r="C113" s="4" t="s">
        <v>17</v>
      </c>
    </row>
    <row r="114" spans="2:8" x14ac:dyDescent="0.2">
      <c r="B114" s="27"/>
    </row>
    <row r="115" spans="2:8" x14ac:dyDescent="0.2">
      <c r="B115" s="27"/>
      <c r="C115" t="s">
        <v>814</v>
      </c>
      <c r="D115" s="18">
        <f>D110</f>
        <v>276340108.91597313</v>
      </c>
      <c r="E115" s="18">
        <f>E110</f>
        <v>412528795.42798555</v>
      </c>
      <c r="F115" s="18">
        <f>F110</f>
        <v>567936534.83998656</v>
      </c>
      <c r="G115" s="18">
        <f>G110</f>
        <v>742563327.15197861</v>
      </c>
      <c r="H115" s="18">
        <f>H110</f>
        <v>936409172.3639617</v>
      </c>
    </row>
    <row r="116" spans="2:8" x14ac:dyDescent="0.2">
      <c r="B116" s="27"/>
      <c r="C116" t="s">
        <v>815</v>
      </c>
      <c r="D116" s="18">
        <f>'11 - Pro Forma (Simple)'!E80</f>
        <v>0</v>
      </c>
      <c r="E116" s="18">
        <f>'11 - Pro Forma (Simple)'!F80</f>
        <v>0</v>
      </c>
      <c r="F116" s="18">
        <f>'11 - Pro Forma (Simple)'!G80</f>
        <v>0</v>
      </c>
      <c r="G116" s="18">
        <f>'11 - Pro Forma (Simple)'!H80</f>
        <v>0</v>
      </c>
      <c r="H116" s="18">
        <f>'11 - Pro Forma (Simple)'!I80</f>
        <v>0</v>
      </c>
    </row>
    <row r="117" spans="2:8" x14ac:dyDescent="0.2">
      <c r="B117" s="27"/>
      <c r="C117" t="s">
        <v>901</v>
      </c>
      <c r="D117" s="18">
        <f>D55*0.1</f>
        <v>77552077.269998178</v>
      </c>
      <c r="E117" s="18">
        <f>E55*0.1</f>
        <v>87195616.660000622</v>
      </c>
      <c r="F117" s="18">
        <f>F55*0.1</f>
        <v>96839156.050000012</v>
      </c>
      <c r="G117" s="18">
        <f>G55*0.1</f>
        <v>106482695.4399994</v>
      </c>
      <c r="H117" s="18">
        <f>H55*0.1</f>
        <v>116126234.82999879</v>
      </c>
    </row>
    <row r="118" spans="2:8" x14ac:dyDescent="0.2">
      <c r="B118" s="27"/>
      <c r="C118" t="s">
        <v>840</v>
      </c>
      <c r="D118" s="18">
        <f>D55*0.08</f>
        <v>62041661.815998539</v>
      </c>
      <c r="E118" s="18">
        <f>E55*0.08</f>
        <v>69756493.328000486</v>
      </c>
      <c r="F118" s="18">
        <f>F55*0.08</f>
        <v>77471324.840000004</v>
      </c>
      <c r="G118" s="18">
        <f>G55*0.08</f>
        <v>85186156.351999506</v>
      </c>
      <c r="H118" s="18">
        <f>H55*0.08</f>
        <v>92900987.863999024</v>
      </c>
    </row>
    <row r="119" spans="2:8" x14ac:dyDescent="0.2">
      <c r="B119" s="27"/>
      <c r="C119" s="61" t="s">
        <v>816</v>
      </c>
      <c r="D119" s="62">
        <f>D55*0.065</f>
        <v>50408850.22549881</v>
      </c>
      <c r="E119" s="62">
        <f>E55*0.065</f>
        <v>56677150.829000399</v>
      </c>
      <c r="F119" s="62">
        <f>F55*0.065</f>
        <v>62945451.432500005</v>
      </c>
      <c r="G119" s="62">
        <f>G55*0.065</f>
        <v>69213752.035999611</v>
      </c>
      <c r="H119" s="62">
        <f>H55*0.065</f>
        <v>75482052.639499202</v>
      </c>
    </row>
    <row r="120" spans="2:8" x14ac:dyDescent="0.2">
      <c r="B120" s="27"/>
      <c r="C120" s="2" t="s">
        <v>817</v>
      </c>
      <c r="D120" s="18">
        <f>SUM(D115:D119)</f>
        <v>466342698.22746867</v>
      </c>
      <c r="E120" s="18">
        <f>SUM(E115:E119)</f>
        <v>626158056.24498701</v>
      </c>
      <c r="F120" s="18">
        <f>SUM(F115:F119)</f>
        <v>805192467.16248655</v>
      </c>
      <c r="G120" s="18">
        <f>SUM(G115:G119)</f>
        <v>1003445930.9799773</v>
      </c>
      <c r="H120" s="18">
        <f>SUM(H115:H119)</f>
        <v>1220918447.6974587</v>
      </c>
    </row>
    <row r="121" spans="2:8" x14ac:dyDescent="0.2">
      <c r="B121" s="27"/>
      <c r="D121" s="18"/>
      <c r="E121" s="18"/>
      <c r="F121" s="18"/>
      <c r="G121" s="18"/>
      <c r="H121" s="18"/>
    </row>
    <row r="122" spans="2:8" x14ac:dyDescent="0.2">
      <c r="B122" s="27"/>
      <c r="C122" t="s">
        <v>820</v>
      </c>
      <c r="D122" s="18">
        <f>'3 - Balance Sheet'!H8+(D89*-1)</f>
        <v>587705103</v>
      </c>
      <c r="E122" s="18">
        <f>D122+(E89*-1)</f>
        <v>587705103</v>
      </c>
      <c r="F122" s="18">
        <f>E122+(F89*-1)</f>
        <v>587705103</v>
      </c>
      <c r="G122" s="18">
        <f>F122+(G89*-1)</f>
        <v>587705103</v>
      </c>
      <c r="H122" s="18">
        <f>G122+(H89*-1)</f>
        <v>587705103</v>
      </c>
    </row>
    <row r="123" spans="2:8" x14ac:dyDescent="0.2">
      <c r="B123" s="27"/>
      <c r="C123" t="s">
        <v>821</v>
      </c>
      <c r="D123" s="18">
        <f>'3 - Balance Sheet'!H9+(D74*-1)</f>
        <v>-182793235</v>
      </c>
      <c r="E123" s="18">
        <f>D123+(E74*-1)</f>
        <v>-182793235</v>
      </c>
      <c r="F123" s="18">
        <f>E123+(F74*-1)</f>
        <v>-182793235</v>
      </c>
      <c r="G123" s="18">
        <f>F123+(G74*-1)</f>
        <v>-182793235</v>
      </c>
      <c r="H123" s="18">
        <f>G123+(H74*-1)</f>
        <v>-182793235</v>
      </c>
    </row>
    <row r="124" spans="2:8" x14ac:dyDescent="0.2">
      <c r="B124" s="27"/>
      <c r="C124" t="s">
        <v>822</v>
      </c>
      <c r="D124" s="18">
        <f>SUM(D122:D123)</f>
        <v>404911868</v>
      </c>
      <c r="E124" s="18">
        <f>SUM(E122:E123)</f>
        <v>404911868</v>
      </c>
      <c r="F124" s="18">
        <f>SUM(F122:F123)</f>
        <v>404911868</v>
      </c>
      <c r="G124" s="18">
        <f>SUM(G122:G123)</f>
        <v>404911868</v>
      </c>
      <c r="H124" s="18">
        <f>SUM(H122:H123)</f>
        <v>404911868</v>
      </c>
    </row>
    <row r="125" spans="2:8" x14ac:dyDescent="0.2">
      <c r="B125" s="27"/>
      <c r="C125" t="s">
        <v>823</v>
      </c>
      <c r="D125" s="18">
        <f>'3 - Balance Sheet'!H11+(D91*-1)-D84</f>
        <v>0</v>
      </c>
      <c r="E125" s="18">
        <f>D125+(E91*-1)-E84</f>
        <v>0</v>
      </c>
      <c r="F125" s="18">
        <f>E125+(F91*-1)-F84</f>
        <v>0</v>
      </c>
      <c r="G125" s="18">
        <f>F125+(G91*-1)-G84</f>
        <v>0</v>
      </c>
      <c r="H125" s="18">
        <f>G125+(H91*-1)-H84</f>
        <v>0</v>
      </c>
    </row>
    <row r="126" spans="2:8" x14ac:dyDescent="0.2">
      <c r="B126" s="27"/>
      <c r="C126" t="s">
        <v>824</v>
      </c>
      <c r="D126" s="18">
        <f>'3 - Balance Sheet'!H12+(D90*-1)</f>
        <v>0</v>
      </c>
      <c r="E126" s="18">
        <f>D126+(E90*-1)</f>
        <v>0</v>
      </c>
      <c r="F126" s="18">
        <f>E126+(F90*-1)</f>
        <v>0</v>
      </c>
      <c r="G126" s="18">
        <f>F126+(G90*-1)</f>
        <v>0</v>
      </c>
      <c r="H126" s="18">
        <f>G126+(H90*-1)</f>
        <v>0</v>
      </c>
    </row>
    <row r="127" spans="2:8" x14ac:dyDescent="0.2">
      <c r="B127" s="27"/>
      <c r="C127" s="61" t="s">
        <v>825</v>
      </c>
      <c r="D127" s="62">
        <f>'11 - Pro Forma (Simple)'!E91</f>
        <v>0</v>
      </c>
      <c r="E127" s="62">
        <f>'11 - Pro Forma (Simple)'!F91</f>
        <v>0</v>
      </c>
      <c r="F127" s="62">
        <f>'11 - Pro Forma (Simple)'!G91</f>
        <v>0</v>
      </c>
      <c r="G127" s="62">
        <f>'11 - Pro Forma (Simple)'!H91</f>
        <v>0</v>
      </c>
      <c r="H127" s="62">
        <f>'11 - Pro Forma (Simple)'!I91</f>
        <v>0</v>
      </c>
    </row>
    <row r="128" spans="2:8" x14ac:dyDescent="0.2">
      <c r="B128" s="27"/>
      <c r="C128" s="2" t="s">
        <v>15</v>
      </c>
      <c r="D128" s="18">
        <f>SUM(D124:D127)</f>
        <v>404911868</v>
      </c>
      <c r="E128" s="18">
        <f>SUM(E124:E127)</f>
        <v>404911868</v>
      </c>
      <c r="F128" s="18">
        <f>SUM(F124:F127)</f>
        <v>404911868</v>
      </c>
      <c r="G128" s="18">
        <f>SUM(G124:G127)</f>
        <v>404911868</v>
      </c>
      <c r="H128" s="18">
        <f>SUM(H124:H127)</f>
        <v>404911868</v>
      </c>
    </row>
    <row r="129" spans="2:8" x14ac:dyDescent="0.2">
      <c r="B129" s="27"/>
      <c r="D129" s="18"/>
      <c r="E129" s="18"/>
      <c r="F129" s="18"/>
      <c r="G129" s="18"/>
      <c r="H129" s="18"/>
    </row>
    <row r="130" spans="2:8" ht="13.5" thickBot="1" x14ac:dyDescent="0.25">
      <c r="B130" s="27"/>
      <c r="C130" s="66" t="s">
        <v>826</v>
      </c>
      <c r="D130" s="76">
        <f>D120+D128</f>
        <v>871254566.22746873</v>
      </c>
      <c r="E130" s="76">
        <f>E120+E128</f>
        <v>1031069924.244987</v>
      </c>
      <c r="F130" s="76">
        <f>F120+F128</f>
        <v>1210104335.1624866</v>
      </c>
      <c r="G130" s="76">
        <f>G120+G128</f>
        <v>1408357798.9799771</v>
      </c>
      <c r="H130" s="76">
        <f>H120+H128</f>
        <v>1625830315.6974587</v>
      </c>
    </row>
    <row r="131" spans="2:8" ht="13.5" thickTop="1" x14ac:dyDescent="0.2">
      <c r="B131" s="27"/>
      <c r="D131" s="18"/>
      <c r="E131" s="18"/>
      <c r="F131" s="18"/>
      <c r="G131" s="18"/>
      <c r="H131" s="18"/>
    </row>
    <row r="132" spans="2:8" x14ac:dyDescent="0.2">
      <c r="B132" s="27"/>
      <c r="C132" t="s">
        <v>827</v>
      </c>
      <c r="D132" s="18">
        <f>D55*0.17</f>
        <v>131838531.3589969</v>
      </c>
      <c r="E132" s="18">
        <f>E55*0.17</f>
        <v>148232548.32200104</v>
      </c>
      <c r="F132" s="18">
        <f>F55*0.17</f>
        <v>164626565.28500003</v>
      </c>
      <c r="G132" s="18">
        <f>G55*0.17</f>
        <v>181020582.24799898</v>
      </c>
      <c r="H132" s="18">
        <f>H55*0.17</f>
        <v>197414599.21099794</v>
      </c>
    </row>
    <row r="133" spans="2:8" x14ac:dyDescent="0.2">
      <c r="C133" t="s">
        <v>828</v>
      </c>
      <c r="D133" s="18">
        <f>D55*0.12</f>
        <v>93062492.723997802</v>
      </c>
      <c r="E133" s="18">
        <f>E55*0.12</f>
        <v>104634739.99200073</v>
      </c>
      <c r="F133" s="18">
        <f>F55*0.12</f>
        <v>116206987.25999999</v>
      </c>
      <c r="G133" s="18">
        <f>G55*0.12</f>
        <v>127779234.52799927</v>
      </c>
      <c r="H133" s="18">
        <f>H55*0.12</f>
        <v>139351481.79599854</v>
      </c>
    </row>
    <row r="134" spans="2:8" x14ac:dyDescent="0.2">
      <c r="C134" t="s">
        <v>829</v>
      </c>
      <c r="D134" s="18">
        <f>'11 - Pro Forma (Simple)'!E98</f>
        <v>0</v>
      </c>
      <c r="E134" s="18">
        <f>'11 - Pro Forma (Simple)'!F98</f>
        <v>0</v>
      </c>
      <c r="F134" s="18">
        <f>'11 - Pro Forma (Simple)'!G98</f>
        <v>0</v>
      </c>
      <c r="G134" s="18">
        <f>'11 - Pro Forma (Simple)'!H98</f>
        <v>0</v>
      </c>
      <c r="H134" s="18">
        <f>'11 - Pro Forma (Simple)'!I98</f>
        <v>0</v>
      </c>
    </row>
    <row r="135" spans="2:8" x14ac:dyDescent="0.2">
      <c r="C135" s="61" t="s">
        <v>830</v>
      </c>
      <c r="D135" s="62">
        <f>D55*0.06</f>
        <v>46531246.361998901</v>
      </c>
      <c r="E135" s="62">
        <f>E55*0.06</f>
        <v>52317369.996000364</v>
      </c>
      <c r="F135" s="62">
        <f>F55*0.06</f>
        <v>58103493.629999995</v>
      </c>
      <c r="G135" s="62">
        <f>G55*0.06</f>
        <v>63889617.263999633</v>
      </c>
      <c r="H135" s="62">
        <f>H55*0.06</f>
        <v>69675740.897999272</v>
      </c>
    </row>
    <row r="136" spans="2:8" x14ac:dyDescent="0.2">
      <c r="C136" s="2" t="s">
        <v>831</v>
      </c>
      <c r="D136" s="18">
        <f>SUM(D132:D135)</f>
        <v>271432270.44499362</v>
      </c>
      <c r="E136" s="18">
        <f>SUM(E132:E135)</f>
        <v>305184658.31000215</v>
      </c>
      <c r="F136" s="18">
        <f>SUM(F132:F135)</f>
        <v>338937046.17500001</v>
      </c>
      <c r="G136" s="18">
        <f>SUM(G132:G135)</f>
        <v>372689434.03999788</v>
      </c>
      <c r="H136" s="18">
        <f>SUM(H132:H135)</f>
        <v>406441821.9049958</v>
      </c>
    </row>
    <row r="137" spans="2:8" x14ac:dyDescent="0.2">
      <c r="D137" s="18"/>
      <c r="E137" s="18"/>
      <c r="F137" s="18"/>
      <c r="G137" s="18"/>
      <c r="H137" s="18"/>
    </row>
    <row r="138" spans="2:8" x14ac:dyDescent="0.2">
      <c r="C138" t="s">
        <v>832</v>
      </c>
      <c r="D138" s="18">
        <f>'11 - Pro Forma (Simple)'!E102</f>
        <v>155337285</v>
      </c>
      <c r="E138" s="18">
        <f>'11 - Pro Forma (Simple)'!F102</f>
        <v>155337285</v>
      </c>
      <c r="F138" s="18">
        <f>'11 - Pro Forma (Simple)'!G102</f>
        <v>155337285</v>
      </c>
      <c r="G138" s="18">
        <f>'11 - Pro Forma (Simple)'!H102</f>
        <v>155337285</v>
      </c>
      <c r="H138" s="18">
        <f>'11 - Pro Forma (Simple)'!I102</f>
        <v>155337285</v>
      </c>
    </row>
    <row r="139" spans="2:8" x14ac:dyDescent="0.2">
      <c r="C139" s="61" t="s">
        <v>833</v>
      </c>
      <c r="D139" s="62">
        <f>'11 - Pro Forma (Simple)'!E103</f>
        <v>1732280</v>
      </c>
      <c r="E139" s="62">
        <f>'11 - Pro Forma (Simple)'!F103</f>
        <v>2220692</v>
      </c>
      <c r="F139" s="62">
        <f>'11 - Pro Forma (Simple)'!G103</f>
        <v>5840086</v>
      </c>
      <c r="G139" s="62">
        <f>'11 - Pro Forma (Simple)'!H103</f>
        <v>9629757</v>
      </c>
      <c r="H139" s="62">
        <f>'11 - Pro Forma (Simple)'!I103</f>
        <v>8262271</v>
      </c>
    </row>
    <row r="140" spans="2:8" x14ac:dyDescent="0.2">
      <c r="C140" s="2" t="s">
        <v>16</v>
      </c>
      <c r="D140" s="18">
        <f>SUM(D138:D139)</f>
        <v>157069565</v>
      </c>
      <c r="E140" s="18">
        <f>SUM(E138:E139)</f>
        <v>157557977</v>
      </c>
      <c r="F140" s="18">
        <f>SUM(F138:F139)</f>
        <v>161177371</v>
      </c>
      <c r="G140" s="18">
        <f>SUM(G138:G139)</f>
        <v>164967042</v>
      </c>
      <c r="H140" s="18">
        <f>SUM(H138:H139)</f>
        <v>163599556</v>
      </c>
    </row>
    <row r="141" spans="2:8" x14ac:dyDescent="0.2">
      <c r="D141" s="18"/>
      <c r="E141" s="18"/>
      <c r="F141" s="18"/>
      <c r="G141" s="18"/>
      <c r="H141" s="18"/>
    </row>
    <row r="142" spans="2:8" ht="13.5" thickBot="1" x14ac:dyDescent="0.25">
      <c r="C142" s="66" t="s">
        <v>834</v>
      </c>
      <c r="D142" s="76">
        <f>D136+D140</f>
        <v>428501835.44499362</v>
      </c>
      <c r="E142" s="76">
        <f>E136+E140</f>
        <v>462742635.31000215</v>
      </c>
      <c r="F142" s="76">
        <f>F136+F140</f>
        <v>500114417.17500001</v>
      </c>
      <c r="G142" s="76">
        <f>G136+G140</f>
        <v>537656476.03999782</v>
      </c>
      <c r="H142" s="76">
        <f>H136+H140</f>
        <v>570041377.9049958</v>
      </c>
    </row>
    <row r="143" spans="2:8" ht="13.5" thickTop="1" x14ac:dyDescent="0.2">
      <c r="D143" s="18"/>
      <c r="E143" s="18"/>
      <c r="F143" s="18"/>
      <c r="G143" s="18"/>
      <c r="H143" s="18"/>
    </row>
    <row r="144" spans="2:8" x14ac:dyDescent="0.2">
      <c r="C144" t="s">
        <v>835</v>
      </c>
      <c r="D144" s="18">
        <f>'11 - Pro Forma (Simple)'!E108</f>
        <v>0</v>
      </c>
      <c r="E144" s="18">
        <f>'11 - Pro Forma (Simple)'!F108</f>
        <v>0</v>
      </c>
      <c r="F144" s="18">
        <f>'11 - Pro Forma (Simple)'!G108</f>
        <v>0</v>
      </c>
      <c r="G144" s="18">
        <f>'11 - Pro Forma (Simple)'!H108</f>
        <v>0</v>
      </c>
      <c r="H144" s="18">
        <f>'11 - Pro Forma (Simple)'!I108</f>
        <v>0</v>
      </c>
    </row>
    <row r="145" spans="3:8" x14ac:dyDescent="0.2">
      <c r="C145" t="s">
        <v>842</v>
      </c>
      <c r="D145" s="18">
        <f>'11 - Pro Forma (Simple)'!E109</f>
        <v>60000000</v>
      </c>
      <c r="E145" s="18">
        <f>'11 - Pro Forma (Simple)'!F109</f>
        <v>60000000</v>
      </c>
      <c r="F145" s="18">
        <f>'11 - Pro Forma (Simple)'!G109</f>
        <v>60000000</v>
      </c>
      <c r="G145" s="18">
        <f>'11 - Pro Forma (Simple)'!H109</f>
        <v>60000000</v>
      </c>
      <c r="H145" s="18">
        <f>'11 - Pro Forma (Simple)'!I109</f>
        <v>60000000</v>
      </c>
    </row>
    <row r="146" spans="3:8" x14ac:dyDescent="0.2">
      <c r="C146" t="s">
        <v>841</v>
      </c>
      <c r="D146" s="18">
        <f>'11 - Pro Forma (Simple)'!E110</f>
        <v>0</v>
      </c>
      <c r="E146" s="18">
        <f>'11 - Pro Forma (Simple)'!F110</f>
        <v>0</v>
      </c>
      <c r="F146" s="18">
        <f>'11 - Pro Forma (Simple)'!G110</f>
        <v>0</v>
      </c>
      <c r="G146" s="18">
        <f>'11 - Pro Forma (Simple)'!H110</f>
        <v>0</v>
      </c>
      <c r="H146" s="18">
        <f>'11 - Pro Forma (Simple)'!I110</f>
        <v>0</v>
      </c>
    </row>
    <row r="147" spans="3:8" x14ac:dyDescent="0.2">
      <c r="C147" t="s">
        <v>836</v>
      </c>
      <c r="D147" s="18">
        <f>'3 - Balance Sheet'!H28+D67+D102</f>
        <v>370249214.09997463</v>
      </c>
      <c r="E147" s="18">
        <f>D147+E67+E102</f>
        <v>498723069.09998512</v>
      </c>
      <c r="F147" s="18">
        <f>E147+F67+F102</f>
        <v>646415976.99998665</v>
      </c>
      <c r="G147" s="18">
        <f>F147+G67+G102</f>
        <v>813327937.79997921</v>
      </c>
      <c r="H147" s="18">
        <f>G147+H67+H102</f>
        <v>999458951.49996281</v>
      </c>
    </row>
    <row r="148" spans="3:8" x14ac:dyDescent="0.2">
      <c r="C148" t="s">
        <v>874</v>
      </c>
      <c r="D148" s="18">
        <f>'11 - Pro Forma (Simple)'!E112</f>
        <v>0</v>
      </c>
      <c r="E148" s="18">
        <f>'11 - Pro Forma (Simple)'!F112</f>
        <v>0</v>
      </c>
      <c r="F148" s="18">
        <f>'11 - Pro Forma (Simple)'!G112</f>
        <v>0</v>
      </c>
      <c r="G148" s="18">
        <f>'11 - Pro Forma (Simple)'!H112</f>
        <v>0</v>
      </c>
      <c r="H148" s="18">
        <f>'11 - Pro Forma (Simple)'!I112</f>
        <v>0</v>
      </c>
    </row>
    <row r="149" spans="3:8" x14ac:dyDescent="0.2">
      <c r="C149" s="61" t="s">
        <v>837</v>
      </c>
      <c r="D149" s="62">
        <f>'11 - Pro Forma (Simple)'!E113</f>
        <v>0</v>
      </c>
      <c r="E149" s="62">
        <f>'11 - Pro Forma (Simple)'!F113</f>
        <v>0</v>
      </c>
      <c r="F149" s="62">
        <f>'11 - Pro Forma (Simple)'!G113</f>
        <v>0</v>
      </c>
      <c r="G149" s="62">
        <f>'11 - Pro Forma (Simple)'!H113</f>
        <v>0</v>
      </c>
      <c r="H149" s="62">
        <f>'11 - Pro Forma (Simple)'!I113</f>
        <v>0</v>
      </c>
    </row>
    <row r="150" spans="3:8" ht="13.5" thickBot="1" x14ac:dyDescent="0.25">
      <c r="C150" s="67" t="s">
        <v>1203</v>
      </c>
      <c r="D150" s="86">
        <f>SUM(D144:D149)</f>
        <v>430249214.09997463</v>
      </c>
      <c r="E150" s="86">
        <f>SUM(E144:E149)</f>
        <v>558723069.09998512</v>
      </c>
      <c r="F150" s="86">
        <f>SUM(F144:F149)</f>
        <v>706415976.99998665</v>
      </c>
      <c r="G150" s="86">
        <f>SUM(G144:G149)</f>
        <v>873327937.79997921</v>
      </c>
      <c r="H150" s="86">
        <f>SUM(H144:H149)</f>
        <v>1059458951.4999628</v>
      </c>
    </row>
    <row r="151" spans="3:8" ht="13.5" thickTop="1" x14ac:dyDescent="0.2">
      <c r="D151" s="18"/>
      <c r="E151" s="18"/>
      <c r="F151" s="18"/>
      <c r="G151" s="18"/>
      <c r="H151" s="18"/>
    </row>
    <row r="152" spans="3:8" x14ac:dyDescent="0.2">
      <c r="C152" s="2" t="s">
        <v>87</v>
      </c>
      <c r="D152" s="18">
        <f>D130-D142-D150</f>
        <v>12503516.682500482</v>
      </c>
      <c r="E152" s="18">
        <f>E130-E142-E150</f>
        <v>9604219.8349997997</v>
      </c>
      <c r="F152" s="18">
        <f>F130-F142-F150</f>
        <v>3573940.9874999523</v>
      </c>
      <c r="G152" s="18">
        <f>G130-G142-G150</f>
        <v>-2626614.8599998951</v>
      </c>
      <c r="H152" s="18">
        <f>H130-H142-H150</f>
        <v>-3670013.7074998617</v>
      </c>
    </row>
    <row r="153" spans="3:8" x14ac:dyDescent="0.2">
      <c r="D153" s="18"/>
      <c r="E153" s="18"/>
      <c r="F153" s="18"/>
      <c r="G153" s="18"/>
      <c r="H153" s="18"/>
    </row>
    <row r="154" spans="3:8" x14ac:dyDescent="0.2">
      <c r="D154" s="18"/>
      <c r="E154" s="18"/>
      <c r="F154" s="18"/>
      <c r="G154" s="18"/>
      <c r="H154" s="18"/>
    </row>
    <row r="155" spans="3:8" x14ac:dyDescent="0.2">
      <c r="D155" s="18"/>
      <c r="E155" s="18"/>
      <c r="F155" s="18"/>
      <c r="G155" s="18"/>
      <c r="H155" s="18"/>
    </row>
  </sheetData>
  <customSheetViews>
    <customSheetView guid="{250789E3-B657-4A6D-AD7D-7EE7A7132AFA}" showRuler="0" topLeftCell="A17">
      <selection activeCell="D38" sqref="D38"/>
      <pageMargins left="0.75" right="0.75" top="1" bottom="1" header="0.5" footer="0.5"/>
      <pageSetup orientation="portrait" horizontalDpi="300" verticalDpi="300" r:id="rId1"/>
      <headerFooter alignWithMargins="0"/>
    </customSheetView>
  </customSheetViews>
  <phoneticPr fontId="0" type="noConversion"/>
  <hyperlinks>
    <hyperlink ref="A2" location="'3 - Balance Sheet'!A1" display="Wksh3" xr:uid="{00000000-0004-0000-0B00-000000000000}"/>
    <hyperlink ref="B2" location="'4 - Income Statement'!A1" display="Wksh4" xr:uid="{00000000-0004-0000-0B00-000001000000}"/>
    <hyperlink ref="B3" location="'6 - Key Financials'!A1" display="Wksh6" xr:uid="{00000000-0004-0000-0B00-000002000000}"/>
    <hyperlink ref="A3" location="'5 - Cash Flow'!A1" display="Wksh5" xr:uid="{00000000-0004-0000-0B00-000003000000}"/>
    <hyperlink ref="A4" location="'7 - Ratio Analysis'!A1" display="Wksh7" xr:uid="{00000000-0004-0000-0B00-000004000000}"/>
    <hyperlink ref="A5" location="'9 - Horizontal Analysis'!A1" display="Wksh9" xr:uid="{00000000-0004-0000-0B00-000005000000}"/>
    <hyperlink ref="B5" location="'10 - Vertical Analysis'!A1" display="Wksh10" xr:uid="{00000000-0004-0000-0B00-000006000000}"/>
    <hyperlink ref="A6" location="'11 - Pro Forma (Simple)'!A1" display="Wksh11" xr:uid="{00000000-0004-0000-0B00-000007000000}"/>
    <hyperlink ref="B4" location="'8 - Benchmark Analysis'!A1" display="Wksh8" xr:uid="{00000000-0004-0000-0B00-000008000000}"/>
    <hyperlink ref="B8" location="'16 - Final Budgets'!A1" display="Wksh16" xr:uid="{00000000-0004-0000-0B00-000009000000}"/>
    <hyperlink ref="A8" location="'15 -Budget Analysis'!A1" display="Wksh15" xr:uid="{00000000-0004-0000-0B00-00000A000000}"/>
    <hyperlink ref="B7" location="'14 - Scenario Analysis'!A1" display="Wksh14" xr:uid="{00000000-0004-0000-0B00-00000B000000}"/>
    <hyperlink ref="A7" location="'13 - Pro Forma (Exp)'!A1" display="Wksh13" xr:uid="{00000000-0004-0000-0B00-00000C000000}"/>
    <hyperlink ref="A1" location="'1 - Control Menu'!A1" display="Home" xr:uid="{00000000-0004-0000-0B00-00000D000000}"/>
    <hyperlink ref="B1" location="'2 - General Input'!A1" display="Wksh2" xr:uid="{00000000-0004-0000-0B00-00000E000000}"/>
  </hyperlinks>
  <printOptions horizontalCentered="1"/>
  <pageMargins left="0.25" right="0.2" top="0.56000000000000005" bottom="1" header="0.2" footer="0.5"/>
  <pageSetup scale="79" orientation="portrait" horizontalDpi="300" verticalDpi="300" r:id="rId2"/>
  <headerFooter alignWithMargins="0"/>
  <rowBreaks count="3" manualBreakCount="3">
    <brk id="48" max="8" man="1"/>
    <brk id="68" max="8" man="1"/>
    <brk id="137" max="16383" man="1"/>
  </rowBreaks>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M172"/>
  <sheetViews>
    <sheetView view="pageBreakPreview" zoomScaleNormal="100" workbookViewId="0">
      <selection activeCell="C7" sqref="C7"/>
    </sheetView>
  </sheetViews>
  <sheetFormatPr defaultRowHeight="12.75" x14ac:dyDescent="0.2"/>
  <cols>
    <col min="3" max="3" width="40.5703125" customWidth="1"/>
    <col min="4" max="4" width="11.5703125" customWidth="1"/>
    <col min="5" max="5" width="12" customWidth="1"/>
    <col min="6" max="6" width="12.140625" customWidth="1"/>
    <col min="7" max="7" width="18.5703125" customWidth="1"/>
    <col min="8" max="8" width="11.85546875" customWidth="1"/>
    <col min="9" max="11" width="11.7109375" bestFit="1" customWidth="1"/>
    <col min="12" max="13" width="11.140625" bestFit="1" customWidth="1"/>
  </cols>
  <sheetData>
    <row r="1" spans="1:13" ht="15.75" x14ac:dyDescent="0.25">
      <c r="A1" s="50" t="s">
        <v>1065</v>
      </c>
      <c r="B1" s="50" t="s">
        <v>36</v>
      </c>
      <c r="C1" s="5" t="s">
        <v>43</v>
      </c>
    </row>
    <row r="2" spans="1:13" ht="15.75" x14ac:dyDescent="0.25">
      <c r="A2" s="50" t="s">
        <v>1344</v>
      </c>
      <c r="B2" s="50" t="s">
        <v>1345</v>
      </c>
      <c r="C2" s="5">
        <f>'2 - General Input'!C6</f>
        <v>0</v>
      </c>
    </row>
    <row r="3" spans="1:13" x14ac:dyDescent="0.2">
      <c r="A3" s="50" t="s">
        <v>1346</v>
      </c>
      <c r="B3" s="50" t="s">
        <v>1347</v>
      </c>
    </row>
    <row r="4" spans="1:13" x14ac:dyDescent="0.2">
      <c r="A4" s="50" t="s">
        <v>1348</v>
      </c>
      <c r="B4" s="50" t="s">
        <v>35</v>
      </c>
      <c r="C4" t="s">
        <v>1276</v>
      </c>
    </row>
    <row r="5" spans="1:13" x14ac:dyDescent="0.2">
      <c r="A5" s="50" t="s">
        <v>1349</v>
      </c>
      <c r="B5" s="50" t="s">
        <v>1350</v>
      </c>
      <c r="C5" s="10" t="s">
        <v>1293</v>
      </c>
    </row>
    <row r="6" spans="1:13" x14ac:dyDescent="0.2">
      <c r="A6" s="50" t="s">
        <v>1351</v>
      </c>
      <c r="B6" s="50" t="s">
        <v>30</v>
      </c>
      <c r="C6" s="10" t="s">
        <v>44</v>
      </c>
    </row>
    <row r="7" spans="1:13" x14ac:dyDescent="0.2">
      <c r="A7" s="53" t="s">
        <v>1352</v>
      </c>
      <c r="B7" s="50" t="s">
        <v>31</v>
      </c>
      <c r="C7" s="10" t="s">
        <v>53</v>
      </c>
    </row>
    <row r="8" spans="1:13" x14ac:dyDescent="0.2">
      <c r="A8" s="50" t="s">
        <v>33</v>
      </c>
      <c r="B8" s="50" t="s">
        <v>34</v>
      </c>
      <c r="C8" s="10" t="s">
        <v>45</v>
      </c>
    </row>
    <row r="9" spans="1:13" x14ac:dyDescent="0.2">
      <c r="A9" s="26"/>
      <c r="B9" s="26"/>
      <c r="C9" s="10" t="s">
        <v>46</v>
      </c>
    </row>
    <row r="10" spans="1:13" x14ac:dyDescent="0.2">
      <c r="A10" s="26"/>
      <c r="B10" s="26"/>
      <c r="C10" s="184" t="s">
        <v>484</v>
      </c>
      <c r="D10" s="184"/>
      <c r="E10" s="184"/>
      <c r="F10" s="184"/>
    </row>
    <row r="11" spans="1:13" x14ac:dyDescent="0.2">
      <c r="A11" s="26"/>
      <c r="B11" s="26"/>
      <c r="C11" s="184" t="s">
        <v>485</v>
      </c>
      <c r="D11" s="184"/>
      <c r="E11" s="184"/>
      <c r="F11" s="184"/>
    </row>
    <row r="12" spans="1:13" x14ac:dyDescent="0.2">
      <c r="A12" s="26"/>
      <c r="B12" s="26"/>
      <c r="C12" s="184"/>
      <c r="D12" s="184"/>
      <c r="E12" s="184"/>
      <c r="F12" s="184"/>
    </row>
    <row r="13" spans="1:13" x14ac:dyDescent="0.2">
      <c r="A13" s="26"/>
      <c r="B13" s="26"/>
      <c r="C13" s="184"/>
      <c r="D13" s="184" t="s">
        <v>788</v>
      </c>
      <c r="E13" s="184" t="s">
        <v>788</v>
      </c>
      <c r="F13" s="184" t="s">
        <v>788</v>
      </c>
      <c r="G13" t="s">
        <v>788</v>
      </c>
      <c r="H13" t="s">
        <v>788</v>
      </c>
    </row>
    <row r="14" spans="1:13" x14ac:dyDescent="0.2">
      <c r="A14" s="26"/>
      <c r="B14" s="26"/>
      <c r="C14" s="4" t="s">
        <v>51</v>
      </c>
      <c r="I14" t="s">
        <v>788</v>
      </c>
      <c r="J14" t="s">
        <v>788</v>
      </c>
    </row>
    <row r="15" spans="1:13" x14ac:dyDescent="0.2">
      <c r="C15" s="98" t="s">
        <v>496</v>
      </c>
      <c r="D15" s="26">
        <f>+'4 - Income Statement'!D1</f>
        <v>2005</v>
      </c>
      <c r="E15" s="26">
        <f>+'4 - Income Statement'!E1</f>
        <v>2006</v>
      </c>
      <c r="F15" s="26">
        <f>+'4 - Income Statement'!F1</f>
        <v>2007</v>
      </c>
      <c r="G15" s="26">
        <f>+'4 - Income Statement'!G1</f>
        <v>2008</v>
      </c>
      <c r="H15" s="26">
        <f>+'4 - Income Statement'!H1</f>
        <v>2009</v>
      </c>
      <c r="I15" s="26">
        <f>+H15+1</f>
        <v>2010</v>
      </c>
      <c r="J15" s="26">
        <f>+I15+1</f>
        <v>2011</v>
      </c>
      <c r="K15" s="26">
        <f>+J15+1</f>
        <v>2012</v>
      </c>
      <c r="L15" s="26">
        <f>+K15+1</f>
        <v>2013</v>
      </c>
      <c r="M15" s="26">
        <f>+L15+1</f>
        <v>2014</v>
      </c>
    </row>
    <row r="16" spans="1:13" x14ac:dyDescent="0.2">
      <c r="C16" t="s">
        <v>47</v>
      </c>
      <c r="D16" s="18">
        <f>'4 - Income Statement'!D4</f>
        <v>417855564</v>
      </c>
      <c r="E16" s="18">
        <f>'4 - Income Statement'!E4</f>
        <v>318686269</v>
      </c>
      <c r="F16" s="18">
        <f>'4 - Income Statement'!F4</f>
        <v>356015524</v>
      </c>
      <c r="G16" s="18">
        <f>'4 - Income Statement'!G4</f>
        <v>558279860</v>
      </c>
      <c r="H16" s="18">
        <f>'4 - Income Statement'!H4</f>
        <v>780235738</v>
      </c>
      <c r="I16" s="18" t="s">
        <v>788</v>
      </c>
      <c r="J16" s="18" t="s">
        <v>788</v>
      </c>
      <c r="K16" s="18" t="s">
        <v>788</v>
      </c>
      <c r="L16" s="18" t="s">
        <v>788</v>
      </c>
      <c r="M16" s="18" t="s">
        <v>788</v>
      </c>
    </row>
    <row r="17" spans="3:13" x14ac:dyDescent="0.2">
      <c r="C17" t="s">
        <v>48</v>
      </c>
      <c r="D17" s="18">
        <f>D16</f>
        <v>417855564</v>
      </c>
      <c r="E17" s="18">
        <f>($D$21*D16)+((1-$D$21)*D17)</f>
        <v>417855564</v>
      </c>
      <c r="F17" s="18">
        <f>($D$21*E16)+((1-$D$21)*E17)</f>
        <v>318686269</v>
      </c>
      <c r="G17" s="18">
        <f>($D$21*F16)+((1-$D$21)*F17)</f>
        <v>356015524</v>
      </c>
      <c r="H17" s="18">
        <f>($D$21*G16)+((1-$D$21)*G17)</f>
        <v>558279860</v>
      </c>
      <c r="I17" s="18" t="s">
        <v>788</v>
      </c>
      <c r="J17" s="18" t="s">
        <v>788</v>
      </c>
    </row>
    <row r="18" spans="3:13" x14ac:dyDescent="0.2">
      <c r="C18" t="s">
        <v>52</v>
      </c>
      <c r="D18" s="101">
        <v>11105</v>
      </c>
      <c r="E18" s="101">
        <v>15230</v>
      </c>
      <c r="F18" s="101">
        <v>18890</v>
      </c>
      <c r="G18" s="101">
        <v>21605</v>
      </c>
      <c r="H18" s="18">
        <f>(D16*$E$22)+(E16*$F$22)+(F16*$G$22)+(G16*$H$22)</f>
        <v>475610588.04499996</v>
      </c>
      <c r="I18" s="18">
        <f>(E16*$E$22)+(F16*$F$22)+(G16*$G$22)+(H16*$H$22)</f>
        <v>677647808.42499995</v>
      </c>
      <c r="J18" s="18">
        <f>(F16*E22)+(G16*F22)+(H16*G22)+(I18*H22)</f>
        <v>702844602.18287492</v>
      </c>
      <c r="K18" s="18">
        <f>(G16*E22)+(H16*F22)+(I18*G22)+(J18*H22)</f>
        <v>695465838.31543553</v>
      </c>
      <c r="L18" s="15">
        <f>(H16*E22)+(I18*F22)+(J18*G22)+(K18*H22)</f>
        <v>698481248.99990106</v>
      </c>
      <c r="M18" s="15">
        <f>(I18*E22)+(J18*F22)+(K18*G22)+(L18*H22)</f>
        <v>697324781.59837067</v>
      </c>
    </row>
    <row r="19" spans="3:13" x14ac:dyDescent="0.2">
      <c r="D19" s="18"/>
      <c r="E19" s="18"/>
      <c r="F19" s="18"/>
      <c r="G19" s="15"/>
      <c r="H19" s="15"/>
    </row>
    <row r="20" spans="3:13" x14ac:dyDescent="0.2">
      <c r="C20" s="2" t="s">
        <v>89</v>
      </c>
      <c r="D20" s="18">
        <v>0</v>
      </c>
      <c r="E20" s="18">
        <v>1</v>
      </c>
      <c r="F20" s="59" t="s">
        <v>50</v>
      </c>
      <c r="G20" s="18"/>
      <c r="H20" s="18"/>
      <c r="I20" s="23">
        <v>1</v>
      </c>
    </row>
    <row r="21" spans="3:13" x14ac:dyDescent="0.2">
      <c r="C21" t="s">
        <v>88</v>
      </c>
      <c r="D21" s="60">
        <v>1</v>
      </c>
      <c r="E21" s="18"/>
      <c r="F21" s="18"/>
      <c r="G21" s="18"/>
      <c r="H21" s="18"/>
    </row>
    <row r="22" spans="3:13" x14ac:dyDescent="0.2">
      <c r="C22" t="s">
        <v>49</v>
      </c>
      <c r="D22" s="37">
        <v>0</v>
      </c>
      <c r="E22" s="37">
        <v>1.4999999999999999E-2</v>
      </c>
      <c r="F22" s="37">
        <v>4.4999999999999998E-2</v>
      </c>
      <c r="G22" s="37">
        <v>0.34499999999999997</v>
      </c>
      <c r="H22" s="37">
        <v>0.59499999999999997</v>
      </c>
      <c r="I22" s="23">
        <f>SUM(D22:H22)</f>
        <v>1</v>
      </c>
    </row>
    <row r="23" spans="3:13" x14ac:dyDescent="0.2">
      <c r="D23" s="18"/>
      <c r="E23" s="18"/>
      <c r="F23" s="18"/>
      <c r="G23" s="18"/>
      <c r="H23" s="18"/>
    </row>
    <row r="24" spans="3:13" x14ac:dyDescent="0.2">
      <c r="C24" s="1" t="s">
        <v>118</v>
      </c>
      <c r="G24" s="18"/>
      <c r="H24" s="18"/>
    </row>
    <row r="25" spans="3:13" x14ac:dyDescent="0.2">
      <c r="D25" s="82" t="s">
        <v>119</v>
      </c>
      <c r="E25" s="82" t="s">
        <v>121</v>
      </c>
      <c r="F25" s="82"/>
      <c r="G25" s="82"/>
      <c r="H25" s="18"/>
    </row>
    <row r="26" spans="3:13" x14ac:dyDescent="0.2">
      <c r="D26" s="82" t="s">
        <v>120</v>
      </c>
      <c r="E26" s="82" t="s">
        <v>122</v>
      </c>
      <c r="F26" s="82" t="s">
        <v>90</v>
      </c>
      <c r="G26" s="82" t="s">
        <v>91</v>
      </c>
      <c r="H26" s="18"/>
    </row>
    <row r="27" spans="3:13" x14ac:dyDescent="0.2">
      <c r="D27" s="18">
        <f>D16</f>
        <v>417855564</v>
      </c>
      <c r="E27" s="18">
        <f>D17</f>
        <v>417855564</v>
      </c>
      <c r="F27" s="18">
        <f>D27-E27</f>
        <v>0</v>
      </c>
      <c r="G27" s="18">
        <f>F27^2</f>
        <v>0</v>
      </c>
      <c r="H27" s="18"/>
    </row>
    <row r="28" spans="3:13" x14ac:dyDescent="0.2">
      <c r="D28" s="18">
        <f>E16</f>
        <v>318686269</v>
      </c>
      <c r="E28" s="18">
        <f>E17</f>
        <v>417855564</v>
      </c>
      <c r="F28" s="18">
        <f>D28-E28</f>
        <v>-99169295</v>
      </c>
      <c r="G28" s="128">
        <f>F28^2</f>
        <v>9834549070797024</v>
      </c>
      <c r="H28" s="18"/>
    </row>
    <row r="29" spans="3:13" x14ac:dyDescent="0.2">
      <c r="D29" s="18">
        <f>F16</f>
        <v>356015524</v>
      </c>
      <c r="E29" s="18">
        <f>F17</f>
        <v>318686269</v>
      </c>
      <c r="F29" s="18">
        <f>D29-E29</f>
        <v>37329255</v>
      </c>
      <c r="G29" s="128">
        <f>F29^2</f>
        <v>1393473278855025</v>
      </c>
      <c r="H29" s="18"/>
    </row>
    <row r="30" spans="3:13" x14ac:dyDescent="0.2">
      <c r="D30" s="18">
        <f>G16</f>
        <v>558279860</v>
      </c>
      <c r="E30" s="18">
        <f>G17</f>
        <v>356015524</v>
      </c>
      <c r="F30" s="18">
        <f>D30-E30</f>
        <v>202264336</v>
      </c>
      <c r="G30" s="128">
        <f>F30^2</f>
        <v>4.0910861617520896E+16</v>
      </c>
      <c r="H30" s="18"/>
    </row>
    <row r="31" spans="3:13" x14ac:dyDescent="0.2">
      <c r="D31" s="18">
        <f>H16</f>
        <v>780235738</v>
      </c>
      <c r="E31" s="18">
        <f>H17</f>
        <v>558279860</v>
      </c>
      <c r="F31" s="18">
        <f>D31-E31</f>
        <v>221955878</v>
      </c>
      <c r="G31" s="128">
        <f>F31^2</f>
        <v>4.926441177875088E+16</v>
      </c>
      <c r="H31" s="18" t="s">
        <v>788</v>
      </c>
    </row>
    <row r="32" spans="3:13" x14ac:dyDescent="0.2">
      <c r="D32" s="17" t="s">
        <v>92</v>
      </c>
      <c r="E32" s="17"/>
      <c r="F32" s="17"/>
      <c r="G32" s="129">
        <f>SUM(G27:G31)/COUNT(E27:E31)</f>
        <v>2.0280659149184764E+16</v>
      </c>
      <c r="H32" s="18"/>
    </row>
    <row r="33" spans="3:8" x14ac:dyDescent="0.2">
      <c r="C33" t="s">
        <v>788</v>
      </c>
      <c r="D33" s="18" t="s">
        <v>788</v>
      </c>
      <c r="E33" s="18"/>
      <c r="F33" s="18"/>
      <c r="G33" s="128"/>
      <c r="H33" s="18"/>
    </row>
    <row r="34" spans="3:8" x14ac:dyDescent="0.2">
      <c r="D34" s="18" t="s">
        <v>788</v>
      </c>
      <c r="E34" s="18"/>
      <c r="F34" s="18"/>
      <c r="G34" s="128" t="s">
        <v>788</v>
      </c>
      <c r="H34" s="18"/>
    </row>
    <row r="35" spans="3:8" x14ac:dyDescent="0.2">
      <c r="C35" s="1" t="s">
        <v>130</v>
      </c>
      <c r="D35" s="18"/>
      <c r="E35" s="18"/>
      <c r="F35" s="18"/>
      <c r="G35" s="128"/>
      <c r="H35" s="18"/>
    </row>
    <row r="36" spans="3:8" x14ac:dyDescent="0.2">
      <c r="D36" s="82" t="s">
        <v>119</v>
      </c>
      <c r="E36" s="82" t="s">
        <v>131</v>
      </c>
      <c r="F36" s="82"/>
      <c r="G36" s="130"/>
      <c r="H36" s="18"/>
    </row>
    <row r="37" spans="3:8" x14ac:dyDescent="0.2">
      <c r="D37" s="82" t="s">
        <v>120</v>
      </c>
      <c r="E37" s="82" t="s">
        <v>122</v>
      </c>
      <c r="F37" s="82" t="s">
        <v>90</v>
      </c>
      <c r="G37" s="130" t="s">
        <v>91</v>
      </c>
      <c r="H37" s="18"/>
    </row>
    <row r="38" spans="3:8" x14ac:dyDescent="0.2">
      <c r="D38" s="18">
        <f>D16</f>
        <v>417855564</v>
      </c>
      <c r="E38" s="18">
        <f>D18</f>
        <v>11105</v>
      </c>
      <c r="F38" s="18">
        <f>D38-E38</f>
        <v>417844459</v>
      </c>
      <c r="G38" s="128">
        <f>F38^2</f>
        <v>1.7459399191700269E+17</v>
      </c>
      <c r="H38" s="18"/>
    </row>
    <row r="39" spans="3:8" x14ac:dyDescent="0.2">
      <c r="D39" s="18">
        <f>E16</f>
        <v>318686269</v>
      </c>
      <c r="E39" s="18">
        <f>E18</f>
        <v>15230</v>
      </c>
      <c r="F39" s="18">
        <f>D39-E39</f>
        <v>318671039</v>
      </c>
      <c r="G39" s="128">
        <f>F39^2</f>
        <v>1.0155123109733952E+17</v>
      </c>
      <c r="H39" s="18"/>
    </row>
    <row r="40" spans="3:8" x14ac:dyDescent="0.2">
      <c r="D40" s="18">
        <f>F16</f>
        <v>356015524</v>
      </c>
      <c r="E40" s="18">
        <f>F18</f>
        <v>18890</v>
      </c>
      <c r="F40" s="18">
        <f>D40-E40</f>
        <v>355996634</v>
      </c>
      <c r="G40" s="128">
        <f>F40^2</f>
        <v>1.2673360341932995E+17</v>
      </c>
      <c r="H40" s="18"/>
    </row>
    <row r="41" spans="3:8" x14ac:dyDescent="0.2">
      <c r="D41" s="18">
        <f>G16</f>
        <v>558279860</v>
      </c>
      <c r="E41" s="18">
        <f>G18</f>
        <v>21605</v>
      </c>
      <c r="F41" s="18">
        <f>D41-E41</f>
        <v>558258255</v>
      </c>
      <c r="G41" s="128">
        <f>F41^2</f>
        <v>3.1165227927564506E+17</v>
      </c>
      <c r="H41" s="18"/>
    </row>
    <row r="42" spans="3:8" x14ac:dyDescent="0.2">
      <c r="D42" s="18">
        <f>H16</f>
        <v>780235738</v>
      </c>
      <c r="E42" s="18">
        <f>H18</f>
        <v>475610588.04499996</v>
      </c>
      <c r="F42" s="18">
        <f>D42-E42</f>
        <v>304625149.95500004</v>
      </c>
      <c r="G42" s="128">
        <f>F42^2</f>
        <v>9.2796481985106256E+16</v>
      </c>
      <c r="H42" s="18"/>
    </row>
    <row r="43" spans="3:8" x14ac:dyDescent="0.2">
      <c r="D43" s="17" t="s">
        <v>92</v>
      </c>
      <c r="E43" s="18"/>
      <c r="F43" s="18"/>
      <c r="G43" s="129">
        <f>SUM(G38:G42)/COUNT(E38:E42)</f>
        <v>1.614655175388847E+17</v>
      </c>
      <c r="H43" s="18"/>
    </row>
    <row r="44" spans="3:8" x14ac:dyDescent="0.2">
      <c r="D44" s="17"/>
      <c r="E44" s="18"/>
      <c r="F44" s="18"/>
      <c r="G44" s="17"/>
      <c r="H44" s="18"/>
    </row>
    <row r="45" spans="3:8" x14ac:dyDescent="0.2">
      <c r="D45" s="18"/>
      <c r="E45" s="18"/>
      <c r="F45" s="18"/>
      <c r="G45" s="18"/>
      <c r="H45" s="18"/>
    </row>
    <row r="46" spans="3:8" x14ac:dyDescent="0.2">
      <c r="D46" s="18"/>
      <c r="E46" s="18"/>
      <c r="F46" s="18"/>
      <c r="G46" s="18"/>
      <c r="H46" s="18"/>
    </row>
    <row r="47" spans="3:8" x14ac:dyDescent="0.2">
      <c r="D47" s="18"/>
      <c r="E47" s="18"/>
      <c r="F47" s="18"/>
      <c r="G47" s="18"/>
      <c r="H47" s="18"/>
    </row>
    <row r="48" spans="3:8" x14ac:dyDescent="0.2">
      <c r="D48" s="18"/>
      <c r="E48" s="18"/>
      <c r="F48" s="18"/>
      <c r="G48" s="18"/>
      <c r="H48" s="18"/>
    </row>
    <row r="49" spans="4:8" x14ac:dyDescent="0.2">
      <c r="D49" s="18"/>
      <c r="E49" s="18"/>
      <c r="F49" s="18"/>
      <c r="G49" s="18"/>
      <c r="H49" s="18"/>
    </row>
    <row r="50" spans="4:8" x14ac:dyDescent="0.2">
      <c r="D50" s="18"/>
      <c r="E50" s="18"/>
      <c r="F50" s="18"/>
      <c r="G50" s="18"/>
      <c r="H50" s="18"/>
    </row>
    <row r="51" spans="4:8" x14ac:dyDescent="0.2">
      <c r="D51" s="18"/>
      <c r="E51" s="18"/>
      <c r="F51" s="18"/>
      <c r="G51" s="18"/>
      <c r="H51" s="18"/>
    </row>
    <row r="52" spans="4:8" x14ac:dyDescent="0.2">
      <c r="D52" s="18"/>
      <c r="E52" s="18"/>
      <c r="F52" s="18"/>
      <c r="G52" s="18"/>
      <c r="H52" s="18"/>
    </row>
    <row r="53" spans="4:8" x14ac:dyDescent="0.2">
      <c r="D53" s="18"/>
      <c r="E53" s="18"/>
      <c r="F53" s="18"/>
      <c r="G53" s="18"/>
      <c r="H53" s="18"/>
    </row>
    <row r="54" spans="4:8" x14ac:dyDescent="0.2">
      <c r="D54" s="18"/>
      <c r="E54" s="18"/>
      <c r="F54" s="18"/>
      <c r="G54" s="18"/>
      <c r="H54" s="18"/>
    </row>
    <row r="55" spans="4:8" x14ac:dyDescent="0.2">
      <c r="D55" s="18"/>
      <c r="E55" s="18"/>
      <c r="F55" s="18"/>
      <c r="G55" s="18"/>
      <c r="H55" s="18"/>
    </row>
    <row r="56" spans="4:8" x14ac:dyDescent="0.2">
      <c r="D56" s="18"/>
      <c r="E56" s="18"/>
      <c r="F56" s="18"/>
      <c r="G56" s="18"/>
      <c r="H56" s="18"/>
    </row>
    <row r="57" spans="4:8" x14ac:dyDescent="0.2">
      <c r="D57" s="18"/>
      <c r="E57" s="18"/>
      <c r="F57" s="18"/>
      <c r="G57" s="18"/>
      <c r="H57" s="18"/>
    </row>
    <row r="58" spans="4:8" x14ac:dyDescent="0.2">
      <c r="D58" s="18"/>
      <c r="E58" s="18"/>
      <c r="F58" s="18"/>
      <c r="G58" s="18"/>
      <c r="H58" s="18"/>
    </row>
    <row r="59" spans="4:8" x14ac:dyDescent="0.2">
      <c r="D59" s="18"/>
      <c r="E59" s="18"/>
      <c r="F59" s="18"/>
      <c r="G59" s="18"/>
      <c r="H59" s="18"/>
    </row>
    <row r="60" spans="4:8" x14ac:dyDescent="0.2">
      <c r="D60" s="18"/>
      <c r="E60" s="18"/>
      <c r="F60" s="18"/>
      <c r="G60" s="18"/>
      <c r="H60" s="18"/>
    </row>
    <row r="61" spans="4:8" x14ac:dyDescent="0.2">
      <c r="D61" s="18"/>
      <c r="E61" s="18"/>
      <c r="F61" s="18"/>
      <c r="G61" s="18"/>
      <c r="H61" s="18"/>
    </row>
    <row r="62" spans="4:8" x14ac:dyDescent="0.2">
      <c r="D62" s="18"/>
      <c r="E62" s="18"/>
      <c r="F62" s="18"/>
      <c r="G62" s="18"/>
      <c r="H62" s="18"/>
    </row>
    <row r="63" spans="4:8" x14ac:dyDescent="0.2">
      <c r="D63" s="18"/>
      <c r="E63" s="18"/>
      <c r="F63" s="18"/>
      <c r="G63" s="18"/>
      <c r="H63" s="18"/>
    </row>
    <row r="64" spans="4:8" x14ac:dyDescent="0.2">
      <c r="D64" s="18"/>
      <c r="E64" s="18"/>
      <c r="F64" s="18"/>
      <c r="G64" s="18"/>
      <c r="H64" s="18"/>
    </row>
    <row r="65" spans="3:8" x14ac:dyDescent="0.2">
      <c r="D65" s="18"/>
      <c r="E65" s="18"/>
      <c r="F65" s="18"/>
      <c r="G65" s="18"/>
      <c r="H65" s="18"/>
    </row>
    <row r="66" spans="3:8" x14ac:dyDescent="0.2">
      <c r="D66" s="18"/>
      <c r="E66" s="18"/>
      <c r="F66" s="18"/>
      <c r="G66" s="18"/>
      <c r="H66" s="18"/>
    </row>
    <row r="67" spans="3:8" x14ac:dyDescent="0.2">
      <c r="D67" s="18"/>
      <c r="E67" s="18"/>
      <c r="F67" s="18"/>
      <c r="G67" s="18"/>
      <c r="H67" s="18"/>
    </row>
    <row r="68" spans="3:8" x14ac:dyDescent="0.2">
      <c r="D68" s="3" t="str">
        <f>'2 - General Input'!$C$8</f>
        <v>Annual  سنوى</v>
      </c>
      <c r="E68" s="3" t="str">
        <f>'2 - General Input'!$C$8</f>
        <v>Annual  سنوى</v>
      </c>
      <c r="F68" s="3" t="str">
        <f>'2 - General Input'!$C$8</f>
        <v>Annual  سنوى</v>
      </c>
      <c r="G68" s="3" t="str">
        <f>'2 - General Input'!$C$8</f>
        <v>Annual  سنوى</v>
      </c>
      <c r="H68" s="3" t="str">
        <f>'2 - General Input'!$C$8</f>
        <v>Annual  سنوى</v>
      </c>
    </row>
    <row r="69" spans="3:8" x14ac:dyDescent="0.2">
      <c r="D69" s="3" t="s">
        <v>801</v>
      </c>
      <c r="E69" s="3" t="s">
        <v>801</v>
      </c>
      <c r="F69" s="3" t="s">
        <v>801</v>
      </c>
      <c r="G69" s="3" t="s">
        <v>801</v>
      </c>
      <c r="H69" s="3" t="s">
        <v>801</v>
      </c>
    </row>
    <row r="70" spans="3:8" x14ac:dyDescent="0.2">
      <c r="C70" t="s">
        <v>788</v>
      </c>
      <c r="D70" s="26">
        <f>'11 - Pro Forma (Simple)'!E13</f>
        <v>2010</v>
      </c>
      <c r="E70" s="26">
        <f>'11 - Pro Forma (Simple)'!F13</f>
        <v>2011</v>
      </c>
      <c r="F70" s="26">
        <f>'11 - Pro Forma (Simple)'!G13</f>
        <v>2012</v>
      </c>
      <c r="G70" s="26">
        <f>'11 - Pro Forma (Simple)'!H13</f>
        <v>2013</v>
      </c>
      <c r="H70" s="26">
        <f>'11 - Pro Forma (Simple)'!I13</f>
        <v>2014</v>
      </c>
    </row>
    <row r="71" spans="3:8" x14ac:dyDescent="0.2">
      <c r="C71" s="4" t="s">
        <v>1240</v>
      </c>
      <c r="D71" s="18"/>
      <c r="E71" s="18"/>
      <c r="F71" s="18"/>
      <c r="G71" s="18"/>
      <c r="H71" s="18"/>
    </row>
    <row r="72" spans="3:8" x14ac:dyDescent="0.2">
      <c r="D72" s="18"/>
      <c r="E72" s="18"/>
      <c r="F72" s="18"/>
      <c r="G72" s="18"/>
      <c r="H72" s="18"/>
    </row>
    <row r="73" spans="3:8" x14ac:dyDescent="0.2">
      <c r="C73" t="s">
        <v>1238</v>
      </c>
      <c r="D73" s="18">
        <f>I18</f>
        <v>677647808.42499995</v>
      </c>
      <c r="E73" s="18">
        <f>J18</f>
        <v>702844602.18287492</v>
      </c>
      <c r="F73" s="18">
        <f>K18</f>
        <v>695465838.31543553</v>
      </c>
      <c r="G73" s="18">
        <f>L18</f>
        <v>698481248.99990106</v>
      </c>
      <c r="H73" s="18">
        <f>M18</f>
        <v>697324781.59837067</v>
      </c>
    </row>
    <row r="74" spans="3:8" x14ac:dyDescent="0.2">
      <c r="D74" s="18"/>
      <c r="E74" s="18"/>
      <c r="F74" s="18"/>
      <c r="G74" s="18"/>
      <c r="H74" s="18"/>
    </row>
    <row r="75" spans="3:8" x14ac:dyDescent="0.2">
      <c r="C75" t="s">
        <v>796</v>
      </c>
      <c r="D75" s="18">
        <f>((AVERAGE('10 - Vertical Analysis'!F53:J53))*(D73*-1))</f>
        <v>-540733556.77151883</v>
      </c>
      <c r="E75" s="18">
        <f>((AVERAGE('10 - Vertical Analysis'!G53:K53))*(E73*-1))</f>
        <v>-542278561.54730773</v>
      </c>
      <c r="F75" s="18">
        <f>((AVERAGE('10 - Vertical Analysis'!H53:L53))*(F73*-1))</f>
        <v>-533217393.20183283</v>
      </c>
      <c r="G75" s="18">
        <f>((AVERAGE('10 - Vertical Analysis'!I53:M53))*(G73*-1))</f>
        <v>-533276601.43745923</v>
      </c>
      <c r="H75" s="18">
        <f>((AVERAGE('10 - Vertical Analysis'!J53:N53))*(H73*-1))</f>
        <v>-524854647.11794138</v>
      </c>
    </row>
    <row r="76" spans="3:8" x14ac:dyDescent="0.2">
      <c r="D76" t="s">
        <v>788</v>
      </c>
      <c r="E76" t="s">
        <v>788</v>
      </c>
      <c r="F76" t="s">
        <v>788</v>
      </c>
      <c r="G76" t="s">
        <v>788</v>
      </c>
      <c r="H76" t="s">
        <v>788</v>
      </c>
    </row>
    <row r="77" spans="3:8" x14ac:dyDescent="0.2">
      <c r="C77" s="61" t="s">
        <v>1206</v>
      </c>
      <c r="D77" s="62">
        <f>((AVERAGE('10 - Vertical Analysis'!F57:J57))*(D73*-1))</f>
        <v>-56528558.918616936</v>
      </c>
      <c r="E77" s="62">
        <f>((AVERAGE('10 - Vertical Analysis'!G57:K57))*(E73*-1))</f>
        <v>-65180796.527699545</v>
      </c>
      <c r="F77" s="62">
        <f>((AVERAGE('10 - Vertical Analysis'!H57:L57))*(F73*-1))</f>
        <v>-67672192.023862004</v>
      </c>
      <c r="G77" s="62">
        <f>((AVERAGE('10 - Vertical Analysis'!I57:M57))*(G73*-1))</f>
        <v>-64829950.044760667</v>
      </c>
      <c r="H77" s="62">
        <f>((AVERAGE('10 - Vertical Analysis'!J57:N57))*(H73*-1))</f>
        <v>-64381274.148799933</v>
      </c>
    </row>
    <row r="79" spans="3:8" x14ac:dyDescent="0.2">
      <c r="C79" t="s">
        <v>800</v>
      </c>
      <c r="D79" s="18">
        <f>SUM(D73:D77)</f>
        <v>80385692.73486419</v>
      </c>
      <c r="E79" s="18">
        <f>SUM(E73:E77)</f>
        <v>95385244.107867643</v>
      </c>
      <c r="F79" s="18">
        <f>SUM(F73:F77)</f>
        <v>94576253.089740694</v>
      </c>
      <c r="G79" s="18">
        <f>SUM(G73:G77)</f>
        <v>100374697.51768115</v>
      </c>
      <c r="H79" s="18">
        <f>SUM(H73:H77)</f>
        <v>108088860.33162937</v>
      </c>
    </row>
    <row r="81" spans="3:8" x14ac:dyDescent="0.2">
      <c r="C81" t="s">
        <v>1369</v>
      </c>
      <c r="D81" s="18">
        <v>-3200</v>
      </c>
      <c r="E81" s="18">
        <v>-3200</v>
      </c>
      <c r="F81" s="18">
        <v>-3600</v>
      </c>
      <c r="G81" s="18">
        <v>-3600</v>
      </c>
      <c r="H81" s="18">
        <v>-4000</v>
      </c>
    </row>
    <row r="82" spans="3:8" x14ac:dyDescent="0.2">
      <c r="D82" s="18"/>
      <c r="E82" s="18"/>
      <c r="F82" s="18"/>
      <c r="G82" s="18"/>
      <c r="H82" s="18"/>
    </row>
    <row r="83" spans="3:8" x14ac:dyDescent="0.2">
      <c r="C83" s="61" t="s">
        <v>8</v>
      </c>
      <c r="D83" s="62">
        <v>650</v>
      </c>
      <c r="E83" s="62">
        <v>650</v>
      </c>
      <c r="F83" s="62">
        <v>650</v>
      </c>
      <c r="G83" s="62">
        <v>700</v>
      </c>
      <c r="H83" s="62">
        <v>700</v>
      </c>
    </row>
    <row r="84" spans="3:8" x14ac:dyDescent="0.2">
      <c r="C84" s="2" t="s">
        <v>788</v>
      </c>
    </row>
    <row r="85" spans="3:8" ht="13.5" thickBot="1" x14ac:dyDescent="0.25">
      <c r="C85" s="63" t="s">
        <v>808</v>
      </c>
      <c r="D85" s="76">
        <f>SUM(D79:D84)</f>
        <v>80383142.73486419</v>
      </c>
      <c r="E85" s="76">
        <f>SUM(E79:E84)</f>
        <v>95382694.107867643</v>
      </c>
      <c r="F85" s="76">
        <f>SUM(F79:F84)</f>
        <v>94573303.089740694</v>
      </c>
      <c r="G85" s="76">
        <f>SUM(G79:G84)</f>
        <v>100371797.51768115</v>
      </c>
      <c r="H85" s="76">
        <f>SUM(H79:H84)</f>
        <v>108085560.33162937</v>
      </c>
    </row>
    <row r="86" spans="3:8" ht="13.5" thickTop="1" x14ac:dyDescent="0.2"/>
    <row r="88" spans="3:8" x14ac:dyDescent="0.2">
      <c r="C88" s="4" t="s">
        <v>1279</v>
      </c>
    </row>
    <row r="90" spans="3:8" x14ac:dyDescent="0.2">
      <c r="C90" s="1" t="s">
        <v>1335</v>
      </c>
    </row>
    <row r="91" spans="3:8" x14ac:dyDescent="0.2">
      <c r="C91" t="s">
        <v>808</v>
      </c>
      <c r="D91" s="18">
        <f>D85</f>
        <v>80383142.73486419</v>
      </c>
      <c r="E91" s="18">
        <f>E85</f>
        <v>95382694.107867643</v>
      </c>
      <c r="F91" s="18">
        <f>F85</f>
        <v>94573303.089740694</v>
      </c>
      <c r="G91" s="18">
        <f>G85</f>
        <v>100371797.51768115</v>
      </c>
      <c r="H91" s="18">
        <f>H85</f>
        <v>108085560.33162937</v>
      </c>
    </row>
    <row r="92" spans="3:8" x14ac:dyDescent="0.2">
      <c r="C92" t="s">
        <v>843</v>
      </c>
      <c r="D92" s="18">
        <f>'11 - Pro Forma (Simple)'!E38</f>
        <v>0</v>
      </c>
      <c r="E92" s="18">
        <f>'11 - Pro Forma (Simple)'!F38</f>
        <v>0</v>
      </c>
      <c r="F92" s="18">
        <f>'11 - Pro Forma (Simple)'!G38</f>
        <v>0</v>
      </c>
      <c r="G92" s="18">
        <f>'11 - Pro Forma (Simple)'!H38</f>
        <v>0</v>
      </c>
      <c r="H92" s="18">
        <f>'11 - Pro Forma (Simple)'!I38</f>
        <v>0</v>
      </c>
    </row>
    <row r="93" spans="3:8" x14ac:dyDescent="0.2">
      <c r="C93" t="s">
        <v>854</v>
      </c>
      <c r="D93">
        <v>0</v>
      </c>
      <c r="E93">
        <v>0</v>
      </c>
      <c r="F93">
        <v>0</v>
      </c>
      <c r="G93">
        <v>0</v>
      </c>
      <c r="H93">
        <v>0</v>
      </c>
    </row>
    <row r="94" spans="3:8" x14ac:dyDescent="0.2">
      <c r="C94" t="s">
        <v>855</v>
      </c>
      <c r="D94" s="18">
        <f>'11 - Pro Forma (Simple)'!E40</f>
        <v>0</v>
      </c>
      <c r="E94" s="18">
        <f>'11 - Pro Forma (Simple)'!F40</f>
        <v>0</v>
      </c>
      <c r="F94" s="18">
        <f>'11 - Pro Forma (Simple)'!G40</f>
        <v>0</v>
      </c>
      <c r="G94" s="18">
        <f>'11 - Pro Forma (Simple)'!H40</f>
        <v>0</v>
      </c>
      <c r="H94" s="18">
        <f>'11 - Pro Forma (Simple)'!I40</f>
        <v>0</v>
      </c>
    </row>
    <row r="95" spans="3:8" x14ac:dyDescent="0.2">
      <c r="C95" t="s">
        <v>856</v>
      </c>
      <c r="D95" s="18">
        <f>'3 - Balance Sheet'!H7-(D73*0.27)</f>
        <v>255403286.72525001</v>
      </c>
      <c r="E95" s="18">
        <f>(D73*0.27)-(E73*0.27)</f>
        <v>-6803134.3146262467</v>
      </c>
      <c r="F95" s="18">
        <f>(E73*0.27)-(F73*0.27)</f>
        <v>1992266.2442086339</v>
      </c>
      <c r="G95" s="18">
        <f>(F73*0.27)-(G73*0.27)</f>
        <v>-814160.88480567932</v>
      </c>
      <c r="H95" s="18">
        <f>(G73*0.27)-(H73*0.27)</f>
        <v>312246.19841319323</v>
      </c>
    </row>
    <row r="96" spans="3:8" x14ac:dyDescent="0.2">
      <c r="C96" t="s">
        <v>857</v>
      </c>
      <c r="D96" s="62">
        <f>(D73*0.35)-'3 - Balance Sheet'!H20</f>
        <v>-121509362.05125004</v>
      </c>
      <c r="E96" s="62">
        <f>(E73*0.35)-(D73*0.35)</f>
        <v>8818877.815256238</v>
      </c>
      <c r="F96" s="62">
        <f>(F73*0.35)-(E73*0.35)</f>
        <v>-2582567.3536037803</v>
      </c>
      <c r="G96" s="62">
        <f>(G73*0.35)-(F73*0.35)</f>
        <v>1055393.7395629287</v>
      </c>
      <c r="H96" s="62">
        <f>(H73*0.35)-(G73*0.35)</f>
        <v>-404763.59053564072</v>
      </c>
    </row>
    <row r="98" spans="3:8" x14ac:dyDescent="0.2">
      <c r="C98" t="s">
        <v>1107</v>
      </c>
      <c r="D98" s="18">
        <f>SUM(D91:D97)</f>
        <v>214277067.40886414</v>
      </c>
      <c r="E98" s="18">
        <f>SUM(E91:E97)</f>
        <v>97398437.608497635</v>
      </c>
      <c r="F98" s="18">
        <f>SUM(F91:F97)</f>
        <v>93983001.980345547</v>
      </c>
      <c r="G98" s="18">
        <f>SUM(G91:G97)</f>
        <v>100613030.3724384</v>
      </c>
      <c r="H98" s="18">
        <f>SUM(H91:H97)</f>
        <v>107993042.93950692</v>
      </c>
    </row>
    <row r="100" spans="3:8" x14ac:dyDescent="0.2">
      <c r="C100" s="1" t="s">
        <v>1336</v>
      </c>
    </row>
    <row r="101" spans="3:8" x14ac:dyDescent="0.2">
      <c r="C101" t="s">
        <v>1337</v>
      </c>
      <c r="D101" s="18">
        <f>'11 - Pro Forma (Simple)'!E47</f>
        <v>0</v>
      </c>
      <c r="E101" s="18">
        <f>'11 - Pro Forma (Simple)'!F47</f>
        <v>0</v>
      </c>
      <c r="F101" s="18">
        <f>'11 - Pro Forma (Simple)'!G47</f>
        <v>0</v>
      </c>
      <c r="G101" s="18">
        <f>'11 - Pro Forma (Simple)'!H47</f>
        <v>0</v>
      </c>
      <c r="H101" s="18">
        <f>'11 - Pro Forma (Simple)'!I47</f>
        <v>0</v>
      </c>
    </row>
    <row r="102" spans="3:8" x14ac:dyDescent="0.2">
      <c r="C102" t="s">
        <v>1338</v>
      </c>
      <c r="D102" s="18">
        <f>'11 - Pro Forma (Simple)'!E48</f>
        <v>0</v>
      </c>
      <c r="E102" s="18">
        <f>'11 - Pro Forma (Simple)'!F48</f>
        <v>0</v>
      </c>
      <c r="F102" s="18">
        <f>'11 - Pro Forma (Simple)'!G48</f>
        <v>0</v>
      </c>
      <c r="G102" s="18">
        <f>'11 - Pro Forma (Simple)'!H48</f>
        <v>0</v>
      </c>
      <c r="H102" s="18">
        <f>'11 - Pro Forma (Simple)'!I48</f>
        <v>0</v>
      </c>
    </row>
    <row r="103" spans="3:8" x14ac:dyDescent="0.2">
      <c r="C103" s="61" t="s">
        <v>1339</v>
      </c>
      <c r="D103" s="62">
        <f>'11 - Pro Forma (Simple)'!E49</f>
        <v>0</v>
      </c>
      <c r="E103" s="62">
        <f>'11 - Pro Forma (Simple)'!F49</f>
        <v>0</v>
      </c>
      <c r="F103" s="62">
        <f>'11 - Pro Forma (Simple)'!G49</f>
        <v>0</v>
      </c>
      <c r="G103" s="62">
        <f>'11 - Pro Forma (Simple)'!H49</f>
        <v>0</v>
      </c>
      <c r="H103" s="62">
        <f>'11 - Pro Forma (Simple)'!I49</f>
        <v>0</v>
      </c>
    </row>
    <row r="104" spans="3:8" x14ac:dyDescent="0.2">
      <c r="C104" s="2" t="s">
        <v>18</v>
      </c>
      <c r="D104" s="18">
        <f>SUM(D101:D103)</f>
        <v>0</v>
      </c>
      <c r="E104" s="18">
        <f>SUM(E101:E103)</f>
        <v>0</v>
      </c>
      <c r="F104" s="18">
        <f>SUM(F101:F103)</f>
        <v>0</v>
      </c>
      <c r="G104" s="18">
        <f>SUM(G101:G103)</f>
        <v>0</v>
      </c>
      <c r="H104" s="18">
        <f>SUM(H101:H103)</f>
        <v>0</v>
      </c>
    </row>
    <row r="106" spans="3:8" x14ac:dyDescent="0.2">
      <c r="C106" s="1" t="s">
        <v>1340</v>
      </c>
    </row>
    <row r="107" spans="3:8" x14ac:dyDescent="0.2">
      <c r="C107" t="s">
        <v>853</v>
      </c>
      <c r="D107" s="18">
        <f>'11 - Pro Forma (Simple)'!E53</f>
        <v>0</v>
      </c>
      <c r="E107" s="18">
        <f>'11 - Pro Forma (Simple)'!F53</f>
        <v>0</v>
      </c>
      <c r="F107" s="18">
        <f>'11 - Pro Forma (Simple)'!G53</f>
        <v>0</v>
      </c>
      <c r="G107" s="18">
        <v>-3900</v>
      </c>
      <c r="H107" s="18">
        <v>-4600</v>
      </c>
    </row>
    <row r="108" spans="3:8" x14ac:dyDescent="0.2">
      <c r="C108" t="s">
        <v>9</v>
      </c>
      <c r="D108" s="18">
        <f>'11 - Pro Forma (Simple)'!E54</f>
        <v>0</v>
      </c>
      <c r="E108" s="18">
        <f>'11 - Pro Forma (Simple)'!F54</f>
        <v>0</v>
      </c>
      <c r="F108" s="18">
        <v>-500</v>
      </c>
      <c r="G108" s="18">
        <v>0</v>
      </c>
      <c r="H108" s="18">
        <v>0</v>
      </c>
    </row>
    <row r="109" spans="3:8" x14ac:dyDescent="0.2">
      <c r="C109" t="s">
        <v>859</v>
      </c>
      <c r="D109" s="18">
        <v>-2000</v>
      </c>
      <c r="E109" s="18">
        <v>-3000</v>
      </c>
      <c r="F109" s="18">
        <v>-3000</v>
      </c>
      <c r="G109" s="18">
        <v>-1000</v>
      </c>
      <c r="H109" s="18">
        <v>-1000</v>
      </c>
    </row>
    <row r="110" spans="3:8" x14ac:dyDescent="0.2">
      <c r="C110" s="2" t="s">
        <v>19</v>
      </c>
      <c r="D110" s="18">
        <f>SUM(D107:D109)</f>
        <v>-2000</v>
      </c>
      <c r="E110" s="18">
        <f>SUM(E107:E109)</f>
        <v>-3000</v>
      </c>
      <c r="F110" s="18">
        <f>SUM(F107:F109)</f>
        <v>-3500</v>
      </c>
      <c r="G110" s="18">
        <f>SUM(G107:G109)</f>
        <v>-4900</v>
      </c>
      <c r="H110" s="18">
        <f>SUM(H107:H109)</f>
        <v>-5600</v>
      </c>
    </row>
    <row r="112" spans="3:8" x14ac:dyDescent="0.2">
      <c r="C112" s="1" t="s">
        <v>1341</v>
      </c>
    </row>
    <row r="113" spans="3:8" x14ac:dyDescent="0.2">
      <c r="C113" t="s">
        <v>1342</v>
      </c>
      <c r="D113" s="18">
        <f>'11 - Pro Forma (Simple)'!E59</f>
        <v>0</v>
      </c>
      <c r="E113" s="18">
        <v>2000</v>
      </c>
      <c r="F113" s="18">
        <v>3000</v>
      </c>
      <c r="G113" s="18">
        <v>4500</v>
      </c>
      <c r="H113" s="18">
        <v>7000</v>
      </c>
    </row>
    <row r="114" spans="3:8" x14ac:dyDescent="0.2">
      <c r="C114" t="s">
        <v>867</v>
      </c>
      <c r="D114" s="18">
        <f>'11 - Pro Forma (Simple)'!E60</f>
        <v>0</v>
      </c>
      <c r="E114" s="18">
        <f>'11 - Pro Forma (Simple)'!F60</f>
        <v>0</v>
      </c>
      <c r="F114" s="18">
        <f>'11 - Pro Forma (Simple)'!G60</f>
        <v>0</v>
      </c>
      <c r="G114" s="18">
        <f>'11 - Pro Forma (Simple)'!H60</f>
        <v>0</v>
      </c>
      <c r="H114" s="18">
        <f>'11 - Pro Forma (Simple)'!I60</f>
        <v>0</v>
      </c>
    </row>
    <row r="115" spans="3:8" x14ac:dyDescent="0.2">
      <c r="C115" s="61" t="s">
        <v>868</v>
      </c>
      <c r="D115" s="62">
        <f>'11 - Pro Forma (Simple)'!E61</f>
        <v>0</v>
      </c>
      <c r="E115" s="62">
        <f>'11 - Pro Forma (Simple)'!F61</f>
        <v>0</v>
      </c>
      <c r="F115" s="62">
        <f>'11 - Pro Forma (Simple)'!G61</f>
        <v>0</v>
      </c>
      <c r="G115" s="62">
        <f>'11 - Pro Forma (Simple)'!H61</f>
        <v>0</v>
      </c>
      <c r="H115" s="62">
        <f>'11 - Pro Forma (Simple)'!I61</f>
        <v>0</v>
      </c>
    </row>
    <row r="116" spans="3:8" x14ac:dyDescent="0.2">
      <c r="C116" s="2" t="s">
        <v>20</v>
      </c>
      <c r="D116" s="18">
        <f>SUM(D113:D115)</f>
        <v>0</v>
      </c>
      <c r="E116" s="18">
        <f>SUM(E113:E115)</f>
        <v>2000</v>
      </c>
      <c r="F116" s="18">
        <f>SUM(F113:F115)</f>
        <v>3000</v>
      </c>
      <c r="G116" s="18">
        <f>SUM(G113:G115)</f>
        <v>4500</v>
      </c>
      <c r="H116" s="18">
        <f>SUM(H113:H115)</f>
        <v>7000</v>
      </c>
    </row>
    <row r="118" spans="3:8" x14ac:dyDescent="0.2">
      <c r="C118" s="1" t="s">
        <v>10</v>
      </c>
    </row>
    <row r="119" spans="3:8" x14ac:dyDescent="0.2">
      <c r="C119" t="s">
        <v>11</v>
      </c>
      <c r="D119" s="18">
        <f>'11 - Pro Forma (Simple)'!E65</f>
        <v>0</v>
      </c>
      <c r="E119" s="18">
        <v>-1800</v>
      </c>
      <c r="F119" s="18">
        <v>-2500</v>
      </c>
      <c r="G119" s="18">
        <v>-4000</v>
      </c>
      <c r="H119" s="18">
        <v>-6000</v>
      </c>
    </row>
    <row r="120" spans="3:8" x14ac:dyDescent="0.2">
      <c r="C120" t="s">
        <v>866</v>
      </c>
      <c r="D120" s="18">
        <f>'11 - Pro Forma (Simple)'!E66</f>
        <v>0</v>
      </c>
      <c r="E120" s="18">
        <f>'11 - Pro Forma (Simple)'!F66</f>
        <v>0</v>
      </c>
      <c r="F120" s="18">
        <f>'11 - Pro Forma (Simple)'!G66</f>
        <v>0</v>
      </c>
      <c r="G120" s="18">
        <v>-4000</v>
      </c>
      <c r="H120" s="18">
        <v>-3000</v>
      </c>
    </row>
    <row r="121" spans="3:8" x14ac:dyDescent="0.2">
      <c r="C121" t="s">
        <v>12</v>
      </c>
      <c r="D121" s="18">
        <v>0</v>
      </c>
      <c r="E121" s="18">
        <v>0</v>
      </c>
      <c r="F121" s="18">
        <v>0</v>
      </c>
      <c r="G121" s="18">
        <v>0</v>
      </c>
      <c r="H121" s="18">
        <v>0</v>
      </c>
    </row>
    <row r="122" spans="3:8" x14ac:dyDescent="0.2">
      <c r="C122" s="61" t="s">
        <v>868</v>
      </c>
      <c r="D122" s="62">
        <f>'11 - Pro Forma (Simple)'!E68</f>
        <v>0</v>
      </c>
      <c r="E122" s="62">
        <f>'11 - Pro Forma (Simple)'!F68</f>
        <v>0</v>
      </c>
      <c r="F122" s="62">
        <f>'11 - Pro Forma (Simple)'!G68</f>
        <v>0</v>
      </c>
      <c r="G122" s="62">
        <f>'11 - Pro Forma (Simple)'!H68</f>
        <v>0</v>
      </c>
      <c r="H122" s="62">
        <f>'11 - Pro Forma (Simple)'!I68</f>
        <v>0</v>
      </c>
    </row>
    <row r="123" spans="3:8" x14ac:dyDescent="0.2">
      <c r="C123" s="2" t="s">
        <v>21</v>
      </c>
      <c r="D123" s="18">
        <f>SUM(D119:D122)</f>
        <v>0</v>
      </c>
      <c r="E123" s="18">
        <f>SUM(E119:E122)</f>
        <v>-1800</v>
      </c>
      <c r="F123" s="18">
        <f>SUM(F119:F122)</f>
        <v>-2500</v>
      </c>
      <c r="G123" s="18">
        <f>SUM(G119:G122)</f>
        <v>-8000</v>
      </c>
      <c r="H123" s="18">
        <f>SUM(H119:H122)</f>
        <v>-9000</v>
      </c>
    </row>
    <row r="124" spans="3:8" x14ac:dyDescent="0.2">
      <c r="C124" s="2"/>
    </row>
    <row r="125" spans="3:8" x14ac:dyDescent="0.2">
      <c r="C125" t="s">
        <v>13</v>
      </c>
      <c r="D125" s="18">
        <f>D98+D104+D110+D116+D123</f>
        <v>214275067.40886414</v>
      </c>
      <c r="E125" s="18">
        <f>E98+E104+E110+E116+E123</f>
        <v>97395637.608497635</v>
      </c>
      <c r="F125" s="18">
        <f>F98+F104+F110+F116+F123</f>
        <v>93980001.980345547</v>
      </c>
      <c r="G125" s="18">
        <f>G98+G104+G110+G116+G123</f>
        <v>100604630.3724384</v>
      </c>
      <c r="H125" s="18">
        <f>H98+H104+H110+H116+H123</f>
        <v>107985442.93950692</v>
      </c>
    </row>
    <row r="127" spans="3:8" x14ac:dyDescent="0.2">
      <c r="C127" t="s">
        <v>871</v>
      </c>
      <c r="D127" s="18">
        <f>'3 - Balance Sheet'!H2</f>
        <v>25361545</v>
      </c>
      <c r="E127" s="18">
        <f>D128</f>
        <v>239636612.40886414</v>
      </c>
      <c r="F127" s="18">
        <f>E128</f>
        <v>337032250.01736176</v>
      </c>
      <c r="G127" s="18">
        <f>F128</f>
        <v>431012251.99770731</v>
      </c>
      <c r="H127" s="18">
        <f>G128</f>
        <v>531616882.37014568</v>
      </c>
    </row>
    <row r="128" spans="3:8" x14ac:dyDescent="0.2">
      <c r="C128" t="s">
        <v>14</v>
      </c>
      <c r="D128" s="18">
        <f>SUM(D125:D127)</f>
        <v>239636612.40886414</v>
      </c>
      <c r="E128" s="18">
        <f>SUM(E125:E127)</f>
        <v>337032250.01736176</v>
      </c>
      <c r="F128" s="18">
        <f>SUM(F125:F127)</f>
        <v>431012251.99770731</v>
      </c>
      <c r="G128" s="18">
        <f>SUM(G125:G127)</f>
        <v>531616882.37014568</v>
      </c>
      <c r="H128" s="18">
        <f>SUM(H125:H127)</f>
        <v>639602325.30965257</v>
      </c>
    </row>
    <row r="131" spans="3:8" x14ac:dyDescent="0.2">
      <c r="C131" s="4" t="s">
        <v>17</v>
      </c>
    </row>
    <row r="133" spans="3:8" x14ac:dyDescent="0.2">
      <c r="C133" t="s">
        <v>814</v>
      </c>
      <c r="D133" s="18">
        <f>D128</f>
        <v>239636612.40886414</v>
      </c>
      <c r="E133" s="18">
        <f>E128</f>
        <v>337032250.01736176</v>
      </c>
      <c r="F133" s="18">
        <f>F128</f>
        <v>431012251.99770731</v>
      </c>
      <c r="G133" s="18">
        <f>G128</f>
        <v>531616882.37014568</v>
      </c>
      <c r="H133" s="18">
        <f>H128</f>
        <v>639602325.30965257</v>
      </c>
    </row>
    <row r="134" spans="3:8" x14ac:dyDescent="0.2">
      <c r="C134" t="s">
        <v>815</v>
      </c>
      <c r="D134" s="18">
        <v>0</v>
      </c>
      <c r="E134" s="18">
        <v>0</v>
      </c>
      <c r="F134" s="18">
        <v>0</v>
      </c>
      <c r="G134" s="18">
        <v>0</v>
      </c>
      <c r="H134" s="18">
        <v>0</v>
      </c>
    </row>
    <row r="135" spans="3:8" x14ac:dyDescent="0.2">
      <c r="C135" t="s">
        <v>901</v>
      </c>
      <c r="D135" s="18">
        <f>D73*0.1</f>
        <v>67764780.842500001</v>
      </c>
      <c r="E135" s="18">
        <f>E73*0.1</f>
        <v>70284460.218287498</v>
      </c>
      <c r="F135" s="18">
        <f>F73*0.1</f>
        <v>69546583.83154355</v>
      </c>
      <c r="G135" s="18">
        <f>G73*0.1</f>
        <v>69848124.899990112</v>
      </c>
      <c r="H135" s="18">
        <f>H73*0.1</f>
        <v>69732478.159837067</v>
      </c>
    </row>
    <row r="136" spans="3:8" x14ac:dyDescent="0.2">
      <c r="C136" t="s">
        <v>840</v>
      </c>
      <c r="D136" s="18">
        <f>D73*0.08</f>
        <v>54211824.673999995</v>
      </c>
      <c r="E136" s="18">
        <f>E73*0.08</f>
        <v>56227568.174629994</v>
      </c>
      <c r="F136" s="18">
        <f>F73*0.08</f>
        <v>55637267.06523484</v>
      </c>
      <c r="G136" s="18">
        <f>G73*0.08</f>
        <v>55878499.919992089</v>
      </c>
      <c r="H136" s="18">
        <f>H73*0.08</f>
        <v>55785982.527869657</v>
      </c>
    </row>
    <row r="137" spans="3:8" x14ac:dyDescent="0.2">
      <c r="C137" s="61" t="s">
        <v>816</v>
      </c>
      <c r="D137" s="62">
        <f>D73*0.065</f>
        <v>44047107.547624998</v>
      </c>
      <c r="E137" s="62">
        <f>E73*0.065</f>
        <v>45684899.141886868</v>
      </c>
      <c r="F137" s="62">
        <f>F73*0.065</f>
        <v>45205279.490503311</v>
      </c>
      <c r="G137" s="62">
        <f>G73*0.065</f>
        <v>45401281.184993573</v>
      </c>
      <c r="H137" s="62">
        <f>H73*0.065</f>
        <v>45326110.803894095</v>
      </c>
    </row>
    <row r="138" spans="3:8" x14ac:dyDescent="0.2">
      <c r="C138" s="2" t="s">
        <v>817</v>
      </c>
      <c r="D138" s="18">
        <f>SUM(D133:D137)</f>
        <v>405660325.47298914</v>
      </c>
      <c r="E138" s="18">
        <f>SUM(E133:E137)</f>
        <v>509229177.5521661</v>
      </c>
      <c r="F138" s="18">
        <f>SUM(F133:F137)</f>
        <v>601401382.38498902</v>
      </c>
      <c r="G138" s="18">
        <f>SUM(G133:G137)</f>
        <v>702744788.37512147</v>
      </c>
      <c r="H138" s="18">
        <f>SUM(H133:H137)</f>
        <v>810446896.80125332</v>
      </c>
    </row>
    <row r="139" spans="3:8" x14ac:dyDescent="0.2">
      <c r="D139" s="18"/>
      <c r="E139" s="18"/>
      <c r="F139" s="18"/>
      <c r="G139" s="18"/>
      <c r="H139" s="18"/>
    </row>
    <row r="140" spans="3:8" x14ac:dyDescent="0.2">
      <c r="C140" t="s">
        <v>820</v>
      </c>
      <c r="D140" s="18">
        <f>'3 - Balance Sheet'!H8+(D107*-1)</f>
        <v>587705103</v>
      </c>
      <c r="E140" s="18">
        <f>D140+(E107*-1)</f>
        <v>587705103</v>
      </c>
      <c r="F140" s="18">
        <f>E140+(F107*-1)</f>
        <v>587705103</v>
      </c>
      <c r="G140" s="18">
        <f>F140+(G107*-1)</f>
        <v>587709003</v>
      </c>
      <c r="H140" s="18">
        <f>G140+(H107*-1)</f>
        <v>587713603</v>
      </c>
    </row>
    <row r="141" spans="3:8" x14ac:dyDescent="0.2">
      <c r="C141" t="s">
        <v>821</v>
      </c>
      <c r="D141" s="18">
        <f>'3 - Balance Sheet'!H9+(D92*-1)</f>
        <v>-182793235</v>
      </c>
      <c r="E141" s="18">
        <f>D141+(E92*-1)</f>
        <v>-182793235</v>
      </c>
      <c r="F141" s="18">
        <f>E141+(F92*-1)</f>
        <v>-182793235</v>
      </c>
      <c r="G141" s="18">
        <f>F141+(G92*-1)</f>
        <v>-182793235</v>
      </c>
      <c r="H141" s="18">
        <f>G141+(H92*-1)</f>
        <v>-182793235</v>
      </c>
    </row>
    <row r="142" spans="3:8" x14ac:dyDescent="0.2">
      <c r="C142" t="s">
        <v>822</v>
      </c>
      <c r="D142" s="18">
        <f>SUM(D140:D141)</f>
        <v>404911868</v>
      </c>
      <c r="E142" s="18">
        <f>SUM(E140:E141)</f>
        <v>404911868</v>
      </c>
      <c r="F142" s="18">
        <f>SUM(F140:F141)</f>
        <v>404911868</v>
      </c>
      <c r="G142" s="18">
        <f>SUM(G140:G141)</f>
        <v>404915768</v>
      </c>
      <c r="H142" s="18">
        <f>SUM(H140:H141)</f>
        <v>404920368</v>
      </c>
    </row>
    <row r="143" spans="3:8" x14ac:dyDescent="0.2">
      <c r="C143" t="s">
        <v>823</v>
      </c>
      <c r="D143" s="18">
        <f>'3 - Balance Sheet'!H11+(D109*-1)-D102</f>
        <v>2000</v>
      </c>
      <c r="E143" s="18">
        <f>D143+(E109*-1)-E102</f>
        <v>5000</v>
      </c>
      <c r="F143" s="18">
        <f>E143+(F109*-1)-F102</f>
        <v>8000</v>
      </c>
      <c r="G143" s="18">
        <f>F143+(G109*-1)-G102</f>
        <v>9000</v>
      </c>
      <c r="H143" s="18">
        <f>G143+(H109*-1)-H102</f>
        <v>10000</v>
      </c>
    </row>
    <row r="144" spans="3:8" x14ac:dyDescent="0.2">
      <c r="C144" t="s">
        <v>824</v>
      </c>
      <c r="D144" s="18">
        <f>'3 - Balance Sheet'!H12+(D108*-1)</f>
        <v>0</v>
      </c>
      <c r="E144" s="18">
        <f>D144+(E108*-1)</f>
        <v>0</v>
      </c>
      <c r="F144" s="18">
        <f>E144+(F108*-1)</f>
        <v>500</v>
      </c>
      <c r="G144" s="18">
        <f>F144+(G108*-1)</f>
        <v>500</v>
      </c>
      <c r="H144" s="18">
        <f>G144+(H108*-1)</f>
        <v>500</v>
      </c>
    </row>
    <row r="145" spans="3:8" x14ac:dyDescent="0.2">
      <c r="C145" t="s">
        <v>825</v>
      </c>
      <c r="D145" s="18">
        <v>75</v>
      </c>
      <c r="E145" s="18">
        <v>100</v>
      </c>
      <c r="F145" s="18">
        <v>150</v>
      </c>
      <c r="G145" s="18">
        <v>150</v>
      </c>
      <c r="H145" s="18">
        <v>100</v>
      </c>
    </row>
    <row r="146" spans="3:8" x14ac:dyDescent="0.2">
      <c r="C146" s="2" t="s">
        <v>15</v>
      </c>
      <c r="D146" s="18">
        <f>SUM(D142:D145)</f>
        <v>404913943</v>
      </c>
      <c r="E146" s="18">
        <f>SUM(E142:E145)</f>
        <v>404916968</v>
      </c>
      <c r="F146" s="18">
        <f>SUM(F142:F145)</f>
        <v>404920518</v>
      </c>
      <c r="G146" s="18">
        <f>SUM(G142:G145)</f>
        <v>404925418</v>
      </c>
      <c r="H146" s="18">
        <f>SUM(H142:H145)</f>
        <v>404930968</v>
      </c>
    </row>
    <row r="147" spans="3:8" x14ac:dyDescent="0.2">
      <c r="D147" s="18"/>
      <c r="E147" s="18"/>
      <c r="F147" s="18"/>
      <c r="G147" s="18"/>
      <c r="H147" s="18"/>
    </row>
    <row r="148" spans="3:8" x14ac:dyDescent="0.2">
      <c r="C148" s="2" t="s">
        <v>826</v>
      </c>
      <c r="D148" s="18">
        <f>D138+D146</f>
        <v>810574268.47298908</v>
      </c>
      <c r="E148" s="18">
        <f>E138+E146</f>
        <v>914146145.5521661</v>
      </c>
      <c r="F148" s="18">
        <f>F138+F146</f>
        <v>1006321900.384989</v>
      </c>
      <c r="G148" s="18">
        <f>G138+G146</f>
        <v>1107670206.3751216</v>
      </c>
      <c r="H148" s="18">
        <f>H138+H146</f>
        <v>1215377864.8012533</v>
      </c>
    </row>
    <row r="149" spans="3:8" x14ac:dyDescent="0.2">
      <c r="D149" s="18"/>
      <c r="E149" s="18"/>
      <c r="F149" s="18"/>
      <c r="G149" s="18"/>
      <c r="H149" s="18"/>
    </row>
    <row r="150" spans="3:8" x14ac:dyDescent="0.2">
      <c r="C150" t="s">
        <v>827</v>
      </c>
      <c r="D150" s="18">
        <f>D73*0.17</f>
        <v>115200127.43224999</v>
      </c>
      <c r="E150" s="18">
        <f>E73*0.17</f>
        <v>119483582.37108874</v>
      </c>
      <c r="F150" s="18">
        <f>F73*0.17</f>
        <v>118229192.51362404</v>
      </c>
      <c r="G150" s="18">
        <f>G73*0.17</f>
        <v>118741812.32998319</v>
      </c>
      <c r="H150" s="18">
        <f>H73*0.17</f>
        <v>118545212.87172303</v>
      </c>
    </row>
    <row r="151" spans="3:8" x14ac:dyDescent="0.2">
      <c r="C151" t="s">
        <v>828</v>
      </c>
      <c r="D151" s="18">
        <f>D73*0.12</f>
        <v>81317737.010999992</v>
      </c>
      <c r="E151" s="18">
        <f>E73*0.12</f>
        <v>84341352.261944994</v>
      </c>
      <c r="F151" s="18">
        <f>F73*0.12</f>
        <v>83455900.59785226</v>
      </c>
      <c r="G151" s="18">
        <f>G73*0.12</f>
        <v>83817749.879988119</v>
      </c>
      <c r="H151" s="18">
        <f>H73*0.12</f>
        <v>83678973.791804478</v>
      </c>
    </row>
    <row r="152" spans="3:8" x14ac:dyDescent="0.2">
      <c r="C152" t="s">
        <v>829</v>
      </c>
      <c r="D152" s="18">
        <f>'11 - Pro Forma (Simple)'!E98</f>
        <v>0</v>
      </c>
      <c r="E152" s="18">
        <f>'11 - Pro Forma (Simple)'!F98</f>
        <v>0</v>
      </c>
      <c r="F152" s="18">
        <f>'11 - Pro Forma (Simple)'!G98</f>
        <v>0</v>
      </c>
      <c r="G152" s="18">
        <f>'11 - Pro Forma (Simple)'!H98</f>
        <v>0</v>
      </c>
      <c r="H152" s="18">
        <f>'11 - Pro Forma (Simple)'!I98</f>
        <v>0</v>
      </c>
    </row>
    <row r="153" spans="3:8" x14ac:dyDescent="0.2">
      <c r="C153" t="s">
        <v>830</v>
      </c>
      <c r="D153" s="18">
        <f>D73*0.06</f>
        <v>40658868.505499996</v>
      </c>
      <c r="E153" s="18">
        <f>E73*0.06</f>
        <v>42170676.130972497</v>
      </c>
      <c r="F153" s="18">
        <f>F73*0.06</f>
        <v>41727950.29892613</v>
      </c>
      <c r="G153" s="18">
        <f>G73*0.06</f>
        <v>41908874.93999406</v>
      </c>
      <c r="H153" s="18">
        <f>H73*0.06</f>
        <v>41839486.895902239</v>
      </c>
    </row>
    <row r="154" spans="3:8" x14ac:dyDescent="0.2">
      <c r="C154" s="2" t="s">
        <v>831</v>
      </c>
      <c r="D154" s="18">
        <f>SUM(D150:D153)</f>
        <v>237176732.94874999</v>
      </c>
      <c r="E154" s="18">
        <f>SUM(E150:E153)</f>
        <v>245995610.76400626</v>
      </c>
      <c r="F154" s="18">
        <f>SUM(F150:F153)</f>
        <v>243413043.41040242</v>
      </c>
      <c r="G154" s="18">
        <f>SUM(G150:G153)</f>
        <v>244468437.14996538</v>
      </c>
      <c r="H154" s="18">
        <f>SUM(H150:H153)</f>
        <v>244063673.55942973</v>
      </c>
    </row>
    <row r="155" spans="3:8" x14ac:dyDescent="0.2">
      <c r="D155" s="18"/>
      <c r="E155" s="18"/>
      <c r="F155" s="18"/>
      <c r="G155" s="18"/>
      <c r="H155" s="18"/>
    </row>
    <row r="156" spans="3:8" x14ac:dyDescent="0.2">
      <c r="C156" t="s">
        <v>832</v>
      </c>
      <c r="D156" s="18">
        <f>'3 - Balance Sheet'!H21+D113+D119</f>
        <v>155337285</v>
      </c>
      <c r="E156" s="18">
        <f>D156+E113+E119</f>
        <v>155337485</v>
      </c>
      <c r="F156" s="18">
        <f>E156+F113+F119</f>
        <v>155337985</v>
      </c>
      <c r="G156" s="18">
        <f>F156+G113+G119</f>
        <v>155338485</v>
      </c>
      <c r="H156" s="18">
        <f>G156+H113+H119</f>
        <v>155339485</v>
      </c>
    </row>
    <row r="157" spans="3:8" x14ac:dyDescent="0.2">
      <c r="C157" s="61" t="s">
        <v>833</v>
      </c>
      <c r="D157" s="62">
        <f>'11 - Pro Forma (Simple)'!E103</f>
        <v>1732280</v>
      </c>
      <c r="E157" s="62">
        <f>'11 - Pro Forma (Simple)'!F103</f>
        <v>2220692</v>
      </c>
      <c r="F157" s="62">
        <f>'11 - Pro Forma (Simple)'!G103</f>
        <v>5840086</v>
      </c>
      <c r="G157" s="62">
        <f>'11 - Pro Forma (Simple)'!H103</f>
        <v>9629757</v>
      </c>
      <c r="H157" s="62">
        <f>'11 - Pro Forma (Simple)'!I103</f>
        <v>8262271</v>
      </c>
    </row>
    <row r="158" spans="3:8" x14ac:dyDescent="0.2">
      <c r="C158" s="2" t="s">
        <v>16</v>
      </c>
      <c r="D158" s="18">
        <f>SUM(D156:D157)</f>
        <v>157069565</v>
      </c>
      <c r="E158" s="18">
        <f>SUM(E156:E157)</f>
        <v>157558177</v>
      </c>
      <c r="F158" s="18">
        <f>SUM(F156:F157)</f>
        <v>161178071</v>
      </c>
      <c r="G158" s="18">
        <f>SUM(G156:G157)</f>
        <v>164968242</v>
      </c>
      <c r="H158" s="18">
        <f>SUM(H156:H157)</f>
        <v>163601756</v>
      </c>
    </row>
    <row r="159" spans="3:8" x14ac:dyDescent="0.2">
      <c r="C159" s="2"/>
      <c r="D159" s="18"/>
      <c r="E159" s="18"/>
      <c r="F159" s="18"/>
      <c r="G159" s="18"/>
      <c r="H159" s="18"/>
    </row>
    <row r="160" spans="3:8" x14ac:dyDescent="0.2">
      <c r="C160" s="2" t="s">
        <v>834</v>
      </c>
      <c r="D160" s="18">
        <f>D154+D158</f>
        <v>394246297.94875002</v>
      </c>
      <c r="E160" s="18">
        <f>E154+E158</f>
        <v>403553787.76400626</v>
      </c>
      <c r="F160" s="18">
        <f>F154+F158</f>
        <v>404591114.41040242</v>
      </c>
      <c r="G160" s="18">
        <f>G154+G158</f>
        <v>409436679.14996541</v>
      </c>
      <c r="H160" s="18">
        <f>H154+H158</f>
        <v>407665429.55942976</v>
      </c>
    </row>
    <row r="161" spans="3:8" x14ac:dyDescent="0.2">
      <c r="D161" s="18"/>
      <c r="E161" s="18"/>
      <c r="F161" s="18"/>
      <c r="G161" s="18"/>
      <c r="H161" s="18"/>
    </row>
    <row r="162" spans="3:8" x14ac:dyDescent="0.2">
      <c r="C162" t="s">
        <v>835</v>
      </c>
      <c r="D162" s="18">
        <f>'11 - Pro Forma (Simple)'!E108</f>
        <v>0</v>
      </c>
      <c r="E162" s="18">
        <f>'11 - Pro Forma (Simple)'!F108</f>
        <v>0</v>
      </c>
      <c r="F162" s="18">
        <f>'11 - Pro Forma (Simple)'!G108</f>
        <v>0</v>
      </c>
      <c r="G162" s="18">
        <f>'11 - Pro Forma (Simple)'!H108</f>
        <v>0</v>
      </c>
      <c r="H162" s="18">
        <f>'11 - Pro Forma (Simple)'!I108</f>
        <v>0</v>
      </c>
    </row>
    <row r="163" spans="3:8" x14ac:dyDescent="0.2">
      <c r="C163" t="s">
        <v>842</v>
      </c>
      <c r="D163" s="18">
        <f>'11 - Pro Forma (Simple)'!E109</f>
        <v>60000000</v>
      </c>
      <c r="E163" s="18">
        <f>'11 - Pro Forma (Simple)'!F109</f>
        <v>60000000</v>
      </c>
      <c r="F163" s="18">
        <f>'11 - Pro Forma (Simple)'!G109</f>
        <v>60000000</v>
      </c>
      <c r="G163" s="18">
        <f>'11 - Pro Forma (Simple)'!H109</f>
        <v>60000000</v>
      </c>
      <c r="H163" s="18">
        <f>'11 - Pro Forma (Simple)'!I109</f>
        <v>60000000</v>
      </c>
    </row>
    <row r="164" spans="3:8" x14ac:dyDescent="0.2">
      <c r="C164" t="s">
        <v>841</v>
      </c>
      <c r="D164" s="18">
        <f>'11 - Pro Forma (Simple)'!E110</f>
        <v>0</v>
      </c>
      <c r="E164" s="18">
        <f>'11 - Pro Forma (Simple)'!F110</f>
        <v>0</v>
      </c>
      <c r="F164" s="18">
        <f>'11 - Pro Forma (Simple)'!G110</f>
        <v>0</v>
      </c>
      <c r="G164" s="18">
        <f>'11 - Pro Forma (Simple)'!H110</f>
        <v>0</v>
      </c>
      <c r="H164" s="18">
        <f>'11 - Pro Forma (Simple)'!I110</f>
        <v>0</v>
      </c>
    </row>
    <row r="165" spans="3:8" x14ac:dyDescent="0.2">
      <c r="C165" t="s">
        <v>836</v>
      </c>
      <c r="D165" s="18">
        <f>'3 - Balance Sheet'!H28+D84+D120</f>
        <v>260994412</v>
      </c>
      <c r="E165" s="18">
        <f>D165+E84+E120</f>
        <v>260994412</v>
      </c>
      <c r="F165" s="18">
        <f>E165+F84+F120</f>
        <v>260994412</v>
      </c>
      <c r="G165" s="18">
        <f>F165+G84+G120</f>
        <v>260990412</v>
      </c>
      <c r="H165" s="18">
        <f>G165+H84+H120</f>
        <v>260987412</v>
      </c>
    </row>
    <row r="166" spans="3:8" x14ac:dyDescent="0.2">
      <c r="C166" t="s">
        <v>874</v>
      </c>
      <c r="D166" s="18">
        <v>-5000</v>
      </c>
      <c r="E166" s="18">
        <v>-3500</v>
      </c>
      <c r="F166" s="18">
        <v>-1000</v>
      </c>
      <c r="G166" s="18">
        <v>0</v>
      </c>
      <c r="H166" s="18">
        <v>0</v>
      </c>
    </row>
    <row r="167" spans="3:8" x14ac:dyDescent="0.2">
      <c r="C167" t="s">
        <v>837</v>
      </c>
      <c r="D167" s="18">
        <f>'3 - Balance Sheet'!$H$30</f>
        <v>0</v>
      </c>
      <c r="E167" s="18">
        <f>'3 - Balance Sheet'!$H$30</f>
        <v>0</v>
      </c>
      <c r="F167" s="18">
        <f>'3 - Balance Sheet'!$H$30</f>
        <v>0</v>
      </c>
      <c r="G167" s="18">
        <f>'3 - Balance Sheet'!$H$30</f>
        <v>0</v>
      </c>
      <c r="H167" s="18">
        <f>'3 - Balance Sheet'!$H$30</f>
        <v>0</v>
      </c>
    </row>
    <row r="168" spans="3:8" x14ac:dyDescent="0.2">
      <c r="C168" s="2" t="s">
        <v>1203</v>
      </c>
      <c r="D168" s="18">
        <f>SUM(D162:D167)</f>
        <v>320989412</v>
      </c>
      <c r="E168" s="18">
        <f>SUM(E162:E167)</f>
        <v>320990912</v>
      </c>
      <c r="F168" s="18">
        <f>SUM(F162:F167)</f>
        <v>320993412</v>
      </c>
      <c r="G168" s="18">
        <f>SUM(G162:G167)</f>
        <v>320990412</v>
      </c>
      <c r="H168" s="18">
        <f>SUM(H162:H167)</f>
        <v>320987412</v>
      </c>
    </row>
    <row r="169" spans="3:8" x14ac:dyDescent="0.2">
      <c r="D169" s="18"/>
      <c r="E169" s="18"/>
      <c r="F169" s="18"/>
      <c r="G169" s="18"/>
      <c r="H169" s="18"/>
    </row>
    <row r="170" spans="3:8" x14ac:dyDescent="0.2">
      <c r="C170" s="2" t="s">
        <v>87</v>
      </c>
      <c r="D170" s="18">
        <f>D148-D160-D168</f>
        <v>95338558.524239063</v>
      </c>
      <c r="E170" s="18">
        <f>E148-E160-E168</f>
        <v>189601445.78815985</v>
      </c>
      <c r="F170" s="18">
        <f>F148-F160-F168</f>
        <v>280737373.97458661</v>
      </c>
      <c r="G170" s="18">
        <f>G148-G160-G168</f>
        <v>377243115.22515619</v>
      </c>
      <c r="H170" s="18">
        <f>H148-H160-H168</f>
        <v>486725023.24182355</v>
      </c>
    </row>
    <row r="171" spans="3:8" x14ac:dyDescent="0.2">
      <c r="D171" s="18"/>
      <c r="E171" s="18"/>
      <c r="F171" s="18"/>
      <c r="G171" s="18"/>
      <c r="H171" s="18"/>
    </row>
    <row r="172" spans="3:8" x14ac:dyDescent="0.2">
      <c r="D172" s="18"/>
      <c r="E172" s="18"/>
      <c r="F172" s="18"/>
      <c r="G172" s="18"/>
      <c r="H172" s="18"/>
    </row>
  </sheetData>
  <customSheetViews>
    <customSheetView guid="{250789E3-B657-4A6D-AD7D-7EE7A7132AFA}" showRuler="0">
      <selection activeCell="A8" sqref="A8"/>
      <pageMargins left="0.75" right="0.75" top="1" bottom="1" header="0.5" footer="0.5"/>
      <pageSetup orientation="portrait" horizontalDpi="300" verticalDpi="300" r:id="rId1"/>
      <headerFooter alignWithMargins="0"/>
    </customSheetView>
  </customSheetViews>
  <mergeCells count="4">
    <mergeCell ref="C10:F10"/>
    <mergeCell ref="C11:F11"/>
    <mergeCell ref="C12:F12"/>
    <mergeCell ref="C13:F13"/>
  </mergeCells>
  <phoneticPr fontId="0" type="noConversion"/>
  <conditionalFormatting sqref="D21">
    <cfRule type="cellIs" dxfId="1" priority="2" stopIfTrue="1" operator="notBetween">
      <formula>$D$20</formula>
      <formula>$E$20</formula>
    </cfRule>
  </conditionalFormatting>
  <conditionalFormatting sqref="I22">
    <cfRule type="cellIs" dxfId="0" priority="1" stopIfTrue="1" operator="notEqual">
      <formula>$I$20</formula>
    </cfRule>
  </conditionalFormatting>
  <hyperlinks>
    <hyperlink ref="A2" location="'3 - Balance Sheet'!A1" display="Wksh3" xr:uid="{00000000-0004-0000-0C00-000000000000}"/>
    <hyperlink ref="B2" location="'4 - Income Statement'!A1" display="Wksh4" xr:uid="{00000000-0004-0000-0C00-000001000000}"/>
    <hyperlink ref="B3" location="'6 - Key Financials'!A1" display="Wksh6" xr:uid="{00000000-0004-0000-0C00-000002000000}"/>
    <hyperlink ref="A3" location="'5 - Cash Flow'!A1" display="Wksh5" xr:uid="{00000000-0004-0000-0C00-000003000000}"/>
    <hyperlink ref="A4" location="'7 - Ratio Analysis'!A1" display="Wksh7" xr:uid="{00000000-0004-0000-0C00-000004000000}"/>
    <hyperlink ref="A5" location="'9 - Horizontal Analysis'!A1" display="Wksh9" xr:uid="{00000000-0004-0000-0C00-000005000000}"/>
    <hyperlink ref="B5" location="'10 - Vertical Analysis'!A1" display="Wksh10" xr:uid="{00000000-0004-0000-0C00-000006000000}"/>
    <hyperlink ref="A6" location="'11 - Pro Forma (Simple)'!A1" display="Wksh11" xr:uid="{00000000-0004-0000-0C00-000007000000}"/>
    <hyperlink ref="B6" location="'12 - Pro Forma (Linear) '!A1" display="Wksh12" xr:uid="{00000000-0004-0000-0C00-000008000000}"/>
    <hyperlink ref="B4" location="'8 - Benchmark Analysis'!A1" display="Wksh8" xr:uid="{00000000-0004-0000-0C00-000009000000}"/>
    <hyperlink ref="B8" location="'16 - Final Budgets'!A1" display="Wksh16" xr:uid="{00000000-0004-0000-0C00-00000A000000}"/>
    <hyperlink ref="A8" location="'15 -Budget Analysis'!A1" display="Wksh15" xr:uid="{00000000-0004-0000-0C00-00000B000000}"/>
    <hyperlink ref="B7" location="'14 - Scenario Analysis'!A1" display="Wksh14" xr:uid="{00000000-0004-0000-0C00-00000C000000}"/>
    <hyperlink ref="A1" location="'1 - Control Menu'!A1" display="Home" xr:uid="{00000000-0004-0000-0C00-00000D000000}"/>
    <hyperlink ref="B1" location="'2 - General Input'!A1" display="Wksh2" xr:uid="{00000000-0004-0000-0C00-00000E000000}"/>
  </hyperlinks>
  <pageMargins left="0.75" right="0.75" top="1" bottom="1" header="0.5" footer="0.5"/>
  <pageSetup scale="51" orientation="portrait" horizontalDpi="300" verticalDpi="300" r:id="rId2"/>
  <headerFooter alignWithMargins="0"/>
  <rowBreaks count="1" manualBreakCount="1">
    <brk id="96" max="16383" man="1"/>
  </rowBreaks>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0"/>
  <sheetViews>
    <sheetView view="pageBreakPreview" zoomScaleNormal="100" workbookViewId="0">
      <selection activeCell="D31" sqref="D31"/>
    </sheetView>
  </sheetViews>
  <sheetFormatPr defaultRowHeight="12.75" x14ac:dyDescent="0.2"/>
  <cols>
    <col min="1" max="2" width="7.7109375" customWidth="1"/>
    <col min="3" max="3" width="33.7109375" customWidth="1"/>
    <col min="4" max="8" width="10.7109375" customWidth="1"/>
  </cols>
  <sheetData>
    <row r="1" spans="1:8" ht="15.75" x14ac:dyDescent="0.25">
      <c r="A1" s="50" t="s">
        <v>1065</v>
      </c>
      <c r="B1" s="50" t="s">
        <v>36</v>
      </c>
      <c r="C1" s="5" t="s">
        <v>1334</v>
      </c>
    </row>
    <row r="2" spans="1:8" ht="15.75" x14ac:dyDescent="0.25">
      <c r="A2" s="50" t="s">
        <v>1344</v>
      </c>
      <c r="B2" s="50" t="s">
        <v>1345</v>
      </c>
      <c r="C2" s="5">
        <f>'2 - General Input'!C6</f>
        <v>0</v>
      </c>
    </row>
    <row r="3" spans="1:8" x14ac:dyDescent="0.2">
      <c r="A3" s="50" t="s">
        <v>1346</v>
      </c>
      <c r="B3" s="50" t="s">
        <v>1347</v>
      </c>
    </row>
    <row r="4" spans="1:8" x14ac:dyDescent="0.2">
      <c r="A4" s="50" t="s">
        <v>1348</v>
      </c>
      <c r="B4" s="50" t="s">
        <v>35</v>
      </c>
      <c r="C4" t="s">
        <v>1375</v>
      </c>
    </row>
    <row r="5" spans="1:8" x14ac:dyDescent="0.2">
      <c r="A5" s="50" t="s">
        <v>1349</v>
      </c>
      <c r="B5" s="50" t="s">
        <v>1350</v>
      </c>
      <c r="C5" t="s">
        <v>1376</v>
      </c>
    </row>
    <row r="6" spans="1:8" x14ac:dyDescent="0.2">
      <c r="A6" s="50" t="s">
        <v>1351</v>
      </c>
      <c r="B6" s="50" t="s">
        <v>30</v>
      </c>
      <c r="C6" t="s">
        <v>39</v>
      </c>
    </row>
    <row r="7" spans="1:8" x14ac:dyDescent="0.2">
      <c r="A7" s="50" t="s">
        <v>32</v>
      </c>
      <c r="B7" s="53" t="s">
        <v>1352</v>
      </c>
      <c r="C7" t="s">
        <v>40</v>
      </c>
    </row>
    <row r="8" spans="1:8" x14ac:dyDescent="0.2">
      <c r="A8" s="50" t="s">
        <v>33</v>
      </c>
      <c r="B8" s="50" t="s">
        <v>34</v>
      </c>
    </row>
    <row r="9" spans="1:8" x14ac:dyDescent="0.2">
      <c r="A9" s="26"/>
      <c r="B9" s="48" t="s">
        <v>788</v>
      </c>
      <c r="D9" s="3" t="str">
        <f>'2 - General Input'!$C$8</f>
        <v>Annual  سنوى</v>
      </c>
      <c r="E9" s="3" t="str">
        <f>'2 - General Input'!$C$8</f>
        <v>Annual  سنوى</v>
      </c>
      <c r="F9" s="3" t="str">
        <f>'2 - General Input'!$C$8</f>
        <v>Annual  سنوى</v>
      </c>
      <c r="G9" s="3" t="str">
        <f>'2 - General Input'!$C$8</f>
        <v>Annual  سنوى</v>
      </c>
      <c r="H9" s="3" t="str">
        <f>'2 - General Input'!$C$8</f>
        <v>Annual  سنوى</v>
      </c>
    </row>
    <row r="10" spans="1:8" x14ac:dyDescent="0.2">
      <c r="A10" s="26"/>
      <c r="B10" s="26"/>
      <c r="D10" s="3" t="s">
        <v>801</v>
      </c>
      <c r="E10" s="3" t="s">
        <v>801</v>
      </c>
      <c r="F10" s="3" t="s">
        <v>801</v>
      </c>
      <c r="G10" s="3" t="s">
        <v>801</v>
      </c>
      <c r="H10" s="3" t="s">
        <v>801</v>
      </c>
    </row>
    <row r="11" spans="1:8" x14ac:dyDescent="0.2">
      <c r="A11" s="26"/>
      <c r="B11" s="26"/>
      <c r="D11" s="26">
        <f>'11 - Pro Forma (Simple)'!E13</f>
        <v>2010</v>
      </c>
      <c r="E11" s="26">
        <f>'11 - Pro Forma (Simple)'!F13</f>
        <v>2011</v>
      </c>
      <c r="F11" s="26">
        <f>'11 - Pro Forma (Simple)'!G13</f>
        <v>2012</v>
      </c>
      <c r="G11" s="26">
        <f>'11 - Pro Forma (Simple)'!H13</f>
        <v>2013</v>
      </c>
      <c r="H11" s="26">
        <f>'11 - Pro Forma (Simple)'!I13</f>
        <v>2014</v>
      </c>
    </row>
    <row r="12" spans="1:8" x14ac:dyDescent="0.2">
      <c r="A12" s="26"/>
      <c r="B12" s="26"/>
    </row>
    <row r="13" spans="1:8" x14ac:dyDescent="0.2">
      <c r="A13" s="26"/>
      <c r="B13" s="26"/>
      <c r="C13" s="4" t="s">
        <v>1343</v>
      </c>
    </row>
    <row r="14" spans="1:8" x14ac:dyDescent="0.2">
      <c r="A14" s="26"/>
      <c r="B14" s="26"/>
      <c r="C14" s="2" t="s">
        <v>1377</v>
      </c>
    </row>
    <row r="15" spans="1:8" x14ac:dyDescent="0.2">
      <c r="A15" s="26"/>
      <c r="B15" s="26"/>
    </row>
    <row r="16" spans="1:8" x14ac:dyDescent="0.2">
      <c r="C16" t="str">
        <f>'11 - Pro Forma (Simple)'!C17</f>
        <v>Gross Revenues</v>
      </c>
      <c r="D16" s="18">
        <f>'11 - Pro Forma (Simple)'!E17</f>
        <v>873864026.56000006</v>
      </c>
      <c r="E16" s="18">
        <f>'11 - Pro Forma (Simple)'!F17</f>
        <v>978727709.74720013</v>
      </c>
      <c r="F16" s="18">
        <f>'11 - Pro Forma (Simple)'!G17</f>
        <v>1096175034.9168642</v>
      </c>
      <c r="G16" s="18">
        <f>'11 - Pro Forma (Simple)'!H17</f>
        <v>1227716039.1068881</v>
      </c>
      <c r="H16" s="18">
        <f>'11 - Pro Forma (Simple)'!I17</f>
        <v>1375041963.7997148</v>
      </c>
    </row>
    <row r="17" spans="3:8" x14ac:dyDescent="0.2">
      <c r="C17" t="str">
        <f>'11 - Pro Forma (Simple)'!C20</f>
        <v>Cost of Goods Sold</v>
      </c>
      <c r="D17" s="18">
        <f>'11 - Pro Forma (Simple)'!E20</f>
        <v>-697305587.56579781</v>
      </c>
      <c r="E17" s="18">
        <f>'11 - Pro Forma (Simple)'!F20</f>
        <v>-780982258.07369363</v>
      </c>
      <c r="F17" s="18">
        <f>'11 - Pro Forma (Simple)'!G20</f>
        <v>-874700129.04253685</v>
      </c>
      <c r="G17" s="18">
        <f>'11 - Pro Forma (Simple)'!H20</f>
        <v>-979664144.52764142</v>
      </c>
      <c r="H17" s="18">
        <f>'11 - Pro Forma (Simple)'!I20</f>
        <v>-1097223841.8709586</v>
      </c>
    </row>
    <row r="18" spans="3:8" x14ac:dyDescent="0.2">
      <c r="C18" t="str">
        <f>'11 - Pro Forma (Simple)'!C23</f>
        <v>Operating Expenses</v>
      </c>
      <c r="D18" s="18">
        <f>'11 - Pro Forma (Simple)'!E23</f>
        <v>-72896678.035555184</v>
      </c>
      <c r="E18" s="18">
        <f>'11 - Pro Forma (Simple)'!F23</f>
        <v>-81644279.399821803</v>
      </c>
      <c r="F18" s="18">
        <f>'11 - Pro Forma (Simple)'!G23</f>
        <v>-91441592.927800417</v>
      </c>
      <c r="G18" s="18">
        <f>'11 - Pro Forma (Simple)'!H23</f>
        <v>-102414584.07913649</v>
      </c>
      <c r="H18" s="18">
        <f>'11 - Pro Forma (Simple)'!I23</f>
        <v>-114704334.16863288</v>
      </c>
    </row>
    <row r="19" spans="3:8" x14ac:dyDescent="0.2">
      <c r="C19" t="str">
        <f>'11 - Pro Forma (Simple)'!C26</f>
        <v xml:space="preserve">NonOperating Expenses </v>
      </c>
      <c r="D19" s="18">
        <f>'11 - Pro Forma (Simple)'!E26</f>
        <v>0</v>
      </c>
      <c r="E19" s="18">
        <f>'11 - Pro Forma (Simple)'!F26</f>
        <v>0</v>
      </c>
      <c r="F19" s="16">
        <v>-3100</v>
      </c>
      <c r="G19" s="16">
        <v>-3100</v>
      </c>
      <c r="H19" s="16">
        <v>-3000</v>
      </c>
    </row>
    <row r="20" spans="3:8" x14ac:dyDescent="0.2">
      <c r="C20" s="61" t="str">
        <f>'11 - Pro Forma (Simple)'!C28</f>
        <v xml:space="preserve">ExtraOrdinary Items </v>
      </c>
      <c r="D20" s="62">
        <f>'11 - Pro Forma (Simple)'!E28</f>
        <v>0</v>
      </c>
      <c r="E20" s="62">
        <f>'11 - Pro Forma (Simple)'!F28</f>
        <v>0</v>
      </c>
      <c r="F20" s="62">
        <f>'11 - Pro Forma (Simple)'!G28</f>
        <v>0</v>
      </c>
      <c r="G20" s="62">
        <f>'11 - Pro Forma (Simple)'!H28</f>
        <v>0</v>
      </c>
      <c r="H20" s="62">
        <f>'11 - Pro Forma (Simple)'!I28</f>
        <v>0</v>
      </c>
    </row>
    <row r="21" spans="3:8" x14ac:dyDescent="0.2">
      <c r="C21" t="str">
        <f>'11 - Pro Forma (Simple)'!C30</f>
        <v>Net Income</v>
      </c>
      <c r="D21" s="15">
        <f>SUM(D16:D20)</f>
        <v>103661760.95864707</v>
      </c>
      <c r="E21" s="15">
        <f>SUM(E16:E20)</f>
        <v>116101172.2736847</v>
      </c>
      <c r="F21" s="15">
        <f>SUM(F16:F20)</f>
        <v>130030212.94652689</v>
      </c>
      <c r="G21" s="15">
        <f>SUM(G16:G20)</f>
        <v>145634210.50011015</v>
      </c>
      <c r="H21" s="15">
        <f>SUM(H16:H20)</f>
        <v>163110787.76012337</v>
      </c>
    </row>
    <row r="22" spans="3:8" x14ac:dyDescent="0.2">
      <c r="D22" s="15"/>
      <c r="E22" s="15"/>
      <c r="F22" s="15"/>
      <c r="G22" s="15"/>
      <c r="H22" s="15"/>
    </row>
    <row r="23" spans="3:8" x14ac:dyDescent="0.2">
      <c r="C23" t="s">
        <v>303</v>
      </c>
      <c r="D23" s="15"/>
      <c r="E23" s="15"/>
      <c r="F23" s="15"/>
      <c r="G23" s="15"/>
      <c r="H23" s="15"/>
    </row>
    <row r="24" spans="3:8" x14ac:dyDescent="0.2">
      <c r="C24" t="s">
        <v>304</v>
      </c>
      <c r="D24" s="15"/>
      <c r="E24" s="15"/>
      <c r="F24" s="15"/>
      <c r="G24" s="15"/>
      <c r="H24" s="15"/>
    </row>
    <row r="25" spans="3:8" x14ac:dyDescent="0.2">
      <c r="D25" s="15"/>
      <c r="E25" s="15"/>
      <c r="F25" s="15"/>
      <c r="G25" s="15"/>
      <c r="H25" s="15"/>
    </row>
    <row r="26" spans="3:8" x14ac:dyDescent="0.2">
      <c r="C26" s="4" t="s">
        <v>1380</v>
      </c>
      <c r="D26" s="15"/>
      <c r="E26" s="15"/>
      <c r="F26" s="15"/>
      <c r="G26" s="15"/>
      <c r="H26" s="15"/>
    </row>
    <row r="27" spans="3:8" x14ac:dyDescent="0.2">
      <c r="C27" s="2" t="s">
        <v>302</v>
      </c>
      <c r="D27" s="15"/>
      <c r="E27" s="15"/>
      <c r="F27" s="15"/>
      <c r="G27" s="15"/>
      <c r="H27" s="15"/>
    </row>
    <row r="28" spans="3:8" x14ac:dyDescent="0.2">
      <c r="D28" s="15"/>
      <c r="E28" s="15"/>
      <c r="F28" s="15"/>
      <c r="G28" s="15"/>
      <c r="H28" s="15"/>
    </row>
    <row r="29" spans="3:8" x14ac:dyDescent="0.2">
      <c r="C29" t="str">
        <f>'12 - Pro Forma (Linear) '!C55</f>
        <v>Gross Revenues</v>
      </c>
      <c r="D29" s="18">
        <v>32063.80000016652</v>
      </c>
      <c r="E29" s="18">
        <v>35940.000000221655</v>
      </c>
      <c r="F29" s="18">
        <v>39816.200000276789</v>
      </c>
      <c r="G29" s="90">
        <v>44300.600000235907</v>
      </c>
      <c r="H29" s="18">
        <v>47568.600000387058</v>
      </c>
    </row>
    <row r="30" spans="3:8" x14ac:dyDescent="0.2">
      <c r="C30" t="str">
        <f>'12 - Pro Forma (Linear) '!C57</f>
        <v>Cost of Goods Sold</v>
      </c>
      <c r="D30" s="18">
        <v>-11606.600000052247</v>
      </c>
      <c r="E30" s="18">
        <v>-12846.600000069942</v>
      </c>
      <c r="F30" s="18">
        <v>-14086.600000087172</v>
      </c>
      <c r="G30" s="18">
        <v>-15326.600000104867</v>
      </c>
      <c r="H30" s="18">
        <v>-16566.600000122096</v>
      </c>
    </row>
    <row r="31" spans="3:8" x14ac:dyDescent="0.2">
      <c r="C31" t="str">
        <f>'12 - Pro Forma (Linear) '!C59</f>
        <v>Operating Expenses</v>
      </c>
      <c r="D31" s="18">
        <v>-7750.4000000413507</v>
      </c>
      <c r="E31" s="18">
        <v>-8693.4000000550877</v>
      </c>
      <c r="F31" s="18">
        <v>-9636.4000000690576</v>
      </c>
      <c r="G31" s="18">
        <v>-10579.400000082795</v>
      </c>
      <c r="H31" s="18">
        <v>-11522.400000096532</v>
      </c>
    </row>
    <row r="32" spans="3:8" x14ac:dyDescent="0.2">
      <c r="C32" t="str">
        <f>'12 - Pro Forma (Linear) '!C63</f>
        <v>Non Operating Expenses</v>
      </c>
      <c r="D32" s="18">
        <v>-3548.5000000242144</v>
      </c>
      <c r="E32" s="18">
        <v>-4087.6000000322238</v>
      </c>
      <c r="F32" s="18">
        <v>-4626.7000000402331</v>
      </c>
      <c r="G32" s="18">
        <v>-5165.8000000482425</v>
      </c>
      <c r="H32" s="18">
        <v>-5704.9000000562519</v>
      </c>
    </row>
    <row r="33" spans="3:8" x14ac:dyDescent="0.2">
      <c r="C33" s="61" t="str">
        <f>'12 - Pro Forma (Linear) '!C65</f>
        <v>Extra Ordinary Items</v>
      </c>
      <c r="D33" s="62">
        <v>271.2</v>
      </c>
      <c r="E33" s="62">
        <v>271.2</v>
      </c>
      <c r="F33" s="62">
        <v>271.2</v>
      </c>
      <c r="G33" s="62">
        <v>271.2</v>
      </c>
      <c r="H33" s="62">
        <v>271.2</v>
      </c>
    </row>
    <row r="34" spans="3:8" x14ac:dyDescent="0.2">
      <c r="C34" t="s">
        <v>298</v>
      </c>
      <c r="D34" s="58">
        <f>SUM(D29:D33)</f>
        <v>9429.5000000487089</v>
      </c>
      <c r="E34" s="58">
        <f>SUM(E29:E33)</f>
        <v>10583.600000064402</v>
      </c>
      <c r="F34" s="58">
        <f>SUM(F29:F33)</f>
        <v>11737.700000080327</v>
      </c>
      <c r="G34" s="58">
        <f>SUM(G29:G33)</f>
        <v>13500.000000000004</v>
      </c>
      <c r="H34" s="58">
        <f>SUM(H29:H33)</f>
        <v>14045.900000112179</v>
      </c>
    </row>
    <row r="35" spans="3:8" x14ac:dyDescent="0.2">
      <c r="D35" s="15"/>
      <c r="E35" s="15"/>
      <c r="F35" s="15"/>
      <c r="G35" s="15"/>
      <c r="H35" s="15"/>
    </row>
    <row r="36" spans="3:8" x14ac:dyDescent="0.2">
      <c r="D36" s="15"/>
      <c r="E36" s="88"/>
      <c r="F36" s="15" t="s">
        <v>299</v>
      </c>
      <c r="G36" s="15"/>
      <c r="H36" s="15"/>
    </row>
    <row r="37" spans="3:8" x14ac:dyDescent="0.2">
      <c r="D37" s="15"/>
      <c r="E37" s="15"/>
      <c r="F37" s="15" t="s">
        <v>300</v>
      </c>
      <c r="G37" s="15"/>
      <c r="H37" s="15"/>
    </row>
    <row r="38" spans="3:8" x14ac:dyDescent="0.2">
      <c r="D38" s="15"/>
      <c r="E38" s="15"/>
      <c r="F38" s="15"/>
      <c r="G38" s="15"/>
      <c r="H38" s="15"/>
    </row>
    <row r="39" spans="3:8" x14ac:dyDescent="0.2">
      <c r="D39" s="15"/>
      <c r="E39" s="89"/>
      <c r="F39" s="15" t="s">
        <v>301</v>
      </c>
      <c r="G39" s="15"/>
      <c r="H39" s="15"/>
    </row>
    <row r="40" spans="3:8" x14ac:dyDescent="0.2">
      <c r="F40" s="15" t="s">
        <v>504</v>
      </c>
    </row>
  </sheetData>
  <scenarios current="0" show="0" sqref="D16">
    <scenario name="Worst Case" locked="1" hidden="1" count="4" user="Matt H. Evans" comment="Created by Matt H. Evans on 3/9/2002_x000a_Modified by Matt H. Evans on 3/9/2002">
      <inputCells r="D17" val="-5752.08691139234" numFmtId="37"/>
      <inputCells r="D18" val="-3964.02316541392" numFmtId="164"/>
      <inputCells r="D19" val="-1096.6" numFmtId="164"/>
      <inputCells r="D20" val="24.6" numFmtId="164"/>
    </scenario>
  </scenarios>
  <customSheetViews>
    <customSheetView guid="{250789E3-B657-4A6D-AD7D-7EE7A7132AFA}" showRuler="0" topLeftCell="A3">
      <selection activeCell="E18" sqref="E18"/>
      <pageMargins left="0.75" right="0.75" top="1" bottom="1" header="0.5" footer="0.5"/>
      <headerFooter alignWithMargins="0"/>
    </customSheetView>
  </customSheetViews>
  <phoneticPr fontId="0" type="noConversion"/>
  <hyperlinks>
    <hyperlink ref="A2" location="'3 - Balance Sheet'!A1" display="Wksh3" xr:uid="{00000000-0004-0000-0D00-000000000000}"/>
    <hyperlink ref="B2" location="'4 - Income Statement'!A1" display="Wksh4" xr:uid="{00000000-0004-0000-0D00-000001000000}"/>
    <hyperlink ref="B3" location="'6 - Key Financials'!A1" display="Wksh6" xr:uid="{00000000-0004-0000-0D00-000002000000}"/>
    <hyperlink ref="A3" location="'5 - Cash Flow'!A1" display="Wksh5" xr:uid="{00000000-0004-0000-0D00-000003000000}"/>
    <hyperlink ref="A4" location="'7 - Ratio Analysis'!A1" display="Wksh7" xr:uid="{00000000-0004-0000-0D00-000004000000}"/>
    <hyperlink ref="A5" location="'9 - Horizontal Analysis'!A1" display="Wksh9" xr:uid="{00000000-0004-0000-0D00-000005000000}"/>
    <hyperlink ref="B5" location="'10 - Vertical Analysis'!A1" display="Wksh10" xr:uid="{00000000-0004-0000-0D00-000006000000}"/>
    <hyperlink ref="A6" location="'11 - Pro Forma (Simple)'!A1" display="Wksh11" xr:uid="{00000000-0004-0000-0D00-000007000000}"/>
    <hyperlink ref="B6" location="'12 - Pro Forma (Linear) '!A1" display="Wksh12" xr:uid="{00000000-0004-0000-0D00-000008000000}"/>
    <hyperlink ref="A7" location="'13 - Pro Forma (Exp)'!A1" display="Wksh13" xr:uid="{00000000-0004-0000-0D00-000009000000}"/>
    <hyperlink ref="B4" location="'8 - Benchmark Analysis'!A1" display="Wksh8" xr:uid="{00000000-0004-0000-0D00-00000A000000}"/>
    <hyperlink ref="B8" location="'16 - Final Budgets'!A1" display="Wksh16" xr:uid="{00000000-0004-0000-0D00-00000B000000}"/>
    <hyperlink ref="A8" location="'15 -Budget Analysis'!A1" display="Wksh15" xr:uid="{00000000-0004-0000-0D00-00000C000000}"/>
    <hyperlink ref="A1" location="'1 - Control Menu'!A1" display="Home" xr:uid="{00000000-0004-0000-0D00-00000D000000}"/>
    <hyperlink ref="B1" location="'2 - General Input'!A1" display="Wksh2" xr:uid="{00000000-0004-0000-0D00-00000E000000}"/>
  </hyperlinks>
  <pageMargins left="0.75" right="0.75" top="1" bottom="1" header="0.5" footer="0.5"/>
  <pageSetup scale="81" orientation="portrait" horizontalDpi="300" verticalDpi="300"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N244"/>
  <sheetViews>
    <sheetView topLeftCell="B1" zoomScaleNormal="100" workbookViewId="0">
      <selection activeCell="K237" sqref="K237"/>
    </sheetView>
  </sheetViews>
  <sheetFormatPr defaultRowHeight="12.75" x14ac:dyDescent="0.2"/>
  <cols>
    <col min="3" max="3" width="31" customWidth="1"/>
    <col min="4" max="8" width="10.7109375" customWidth="1"/>
    <col min="9" max="9" width="11.140625" customWidth="1"/>
    <col min="10" max="10" width="10.140625" customWidth="1"/>
    <col min="11" max="11" width="10.5703125" customWidth="1"/>
  </cols>
  <sheetData>
    <row r="1" spans="1:8" ht="15.75" x14ac:dyDescent="0.25">
      <c r="A1" s="50" t="s">
        <v>1065</v>
      </c>
      <c r="B1" s="50" t="s">
        <v>36</v>
      </c>
      <c r="C1" s="5" t="s">
        <v>1371</v>
      </c>
    </row>
    <row r="2" spans="1:8" ht="15.75" x14ac:dyDescent="0.25">
      <c r="A2" s="50" t="s">
        <v>1344</v>
      </c>
      <c r="B2" s="50" t="s">
        <v>1345</v>
      </c>
      <c r="C2" s="5">
        <f>'2 - General Input'!C6</f>
        <v>0</v>
      </c>
    </row>
    <row r="3" spans="1:8" x14ac:dyDescent="0.2">
      <c r="A3" s="50" t="s">
        <v>1346</v>
      </c>
      <c r="B3" s="50" t="s">
        <v>1347</v>
      </c>
    </row>
    <row r="4" spans="1:8" x14ac:dyDescent="0.2">
      <c r="A4" s="50" t="s">
        <v>1348</v>
      </c>
      <c r="B4" s="50" t="s">
        <v>35</v>
      </c>
      <c r="C4" t="s">
        <v>41</v>
      </c>
    </row>
    <row r="5" spans="1:8" x14ac:dyDescent="0.2">
      <c r="A5" s="50" t="s">
        <v>1349</v>
      </c>
      <c r="B5" s="50" t="s">
        <v>1350</v>
      </c>
      <c r="C5" s="10" t="s">
        <v>1370</v>
      </c>
    </row>
    <row r="6" spans="1:8" x14ac:dyDescent="0.2">
      <c r="A6" s="50" t="s">
        <v>1351</v>
      </c>
      <c r="B6" s="50" t="s">
        <v>30</v>
      </c>
      <c r="C6" s="10" t="s">
        <v>27</v>
      </c>
    </row>
    <row r="7" spans="1:8" x14ac:dyDescent="0.2">
      <c r="A7" s="50" t="s">
        <v>32</v>
      </c>
      <c r="B7" s="50" t="s">
        <v>31</v>
      </c>
      <c r="C7" s="10" t="s">
        <v>28</v>
      </c>
    </row>
    <row r="8" spans="1:8" x14ac:dyDescent="0.2">
      <c r="A8" s="53" t="s">
        <v>1352</v>
      </c>
      <c r="B8" s="50" t="s">
        <v>34</v>
      </c>
      <c r="C8" t="s">
        <v>788</v>
      </c>
    </row>
    <row r="9" spans="1:8" x14ac:dyDescent="0.2">
      <c r="A9" s="26"/>
      <c r="B9" s="26"/>
      <c r="C9" s="10" t="s">
        <v>788</v>
      </c>
    </row>
    <row r="10" spans="1:8" x14ac:dyDescent="0.2">
      <c r="D10" s="3" t="str">
        <f>'2 - General Input'!$C$8</f>
        <v>Annual  سنوى</v>
      </c>
      <c r="E10" s="3" t="str">
        <f>'2 - General Input'!$C$8</f>
        <v>Annual  سنوى</v>
      </c>
      <c r="F10" s="3" t="str">
        <f>'2 - General Input'!$C$8</f>
        <v>Annual  سنوى</v>
      </c>
      <c r="G10" s="3" t="str">
        <f>'2 - General Input'!$C$8</f>
        <v>Annual  سنوى</v>
      </c>
      <c r="H10" s="3" t="str">
        <f>'2 - General Input'!$C$8</f>
        <v>Annual  سنوى</v>
      </c>
    </row>
    <row r="11" spans="1:8" x14ac:dyDescent="0.2">
      <c r="D11" s="3" t="s">
        <v>801</v>
      </c>
      <c r="E11" s="3" t="s">
        <v>801</v>
      </c>
      <c r="F11" s="3" t="s">
        <v>801</v>
      </c>
      <c r="G11" s="3" t="s">
        <v>801</v>
      </c>
      <c r="H11" s="3" t="s">
        <v>801</v>
      </c>
    </row>
    <row r="12" spans="1:8" x14ac:dyDescent="0.2">
      <c r="D12" s="26">
        <f>'11 - Pro Forma (Simple)'!E13</f>
        <v>2010</v>
      </c>
      <c r="E12" s="26">
        <f>'11 - Pro Forma (Simple)'!F13</f>
        <v>2011</v>
      </c>
      <c r="F12" s="26">
        <f>'11 - Pro Forma (Simple)'!G13</f>
        <v>2012</v>
      </c>
      <c r="G12" s="26">
        <f>'11 - Pro Forma (Simple)'!H13</f>
        <v>2013</v>
      </c>
      <c r="H12" s="26">
        <f>'11 - Pro Forma (Simple)'!I13</f>
        <v>2014</v>
      </c>
    </row>
    <row r="14" spans="1:8" x14ac:dyDescent="0.2">
      <c r="C14" s="1" t="s">
        <v>29</v>
      </c>
    </row>
    <row r="15" spans="1:8" x14ac:dyDescent="0.2">
      <c r="C15" t="s">
        <v>1378</v>
      </c>
      <c r="D15" s="15">
        <f>'11 - Pro Forma (Simple)'!E17</f>
        <v>873864026.56000006</v>
      </c>
      <c r="E15" s="15">
        <f>'11 - Pro Forma (Simple)'!F17</f>
        <v>978727709.74720013</v>
      </c>
      <c r="F15" s="15">
        <f>'11 - Pro Forma (Simple)'!G17</f>
        <v>1096175034.9168642</v>
      </c>
      <c r="G15" s="15">
        <f>'11 - Pro Forma (Simple)'!H17</f>
        <v>1227716039.1068881</v>
      </c>
      <c r="H15" s="15">
        <f>'11 - Pro Forma (Simple)'!I17</f>
        <v>1375041963.7997148</v>
      </c>
    </row>
    <row r="16" spans="1:8" x14ac:dyDescent="0.2">
      <c r="C16" t="s">
        <v>1379</v>
      </c>
      <c r="D16" s="18">
        <f>'12 - Pro Forma (Linear) '!D55</f>
        <v>775520772.69998169</v>
      </c>
      <c r="E16" s="18">
        <f>'12 - Pro Forma (Linear) '!E55</f>
        <v>871956166.6000061</v>
      </c>
      <c r="F16" s="18">
        <f>'12 - Pro Forma (Linear) '!F55</f>
        <v>968391560.5</v>
      </c>
      <c r="G16" s="18">
        <f>'12 - Pro Forma (Linear) '!G55</f>
        <v>1064826954.3999939</v>
      </c>
      <c r="H16" s="18">
        <f>'12 - Pro Forma (Linear) '!H55</f>
        <v>1161262348.2999878</v>
      </c>
    </row>
    <row r="17" spans="3:8" x14ac:dyDescent="0.2">
      <c r="C17" t="s">
        <v>123</v>
      </c>
      <c r="D17" s="18">
        <f>'13 - Pro Forma (Exp)'!D73</f>
        <v>677647808.42499995</v>
      </c>
      <c r="E17" s="18">
        <f>'13 - Pro Forma (Exp)'!E73</f>
        <v>702844602.18287492</v>
      </c>
      <c r="F17" s="18">
        <f>'13 - Pro Forma (Exp)'!F73</f>
        <v>695465838.31543553</v>
      </c>
      <c r="G17" s="18">
        <f>'13 - Pro Forma (Exp)'!G73</f>
        <v>698481248.99990106</v>
      </c>
      <c r="H17" s="18">
        <f>'13 - Pro Forma (Exp)'!H73</f>
        <v>697324781.59837067</v>
      </c>
    </row>
    <row r="18" spans="3:8" x14ac:dyDescent="0.2">
      <c r="C18" t="s">
        <v>129</v>
      </c>
      <c r="D18" s="18">
        <f>D23</f>
        <v>842654597.04000008</v>
      </c>
      <c r="E18" s="18">
        <f>E23</f>
        <v>893213872.86240017</v>
      </c>
      <c r="F18" s="18">
        <f>F23</f>
        <v>928942427.77689624</v>
      </c>
      <c r="G18" s="18">
        <f>G23</f>
        <v>942876564.19354963</v>
      </c>
      <c r="H18" s="18">
        <f>H23</f>
        <v>31000</v>
      </c>
    </row>
    <row r="19" spans="3:8" x14ac:dyDescent="0.2">
      <c r="C19" t="s">
        <v>0</v>
      </c>
      <c r="D19" s="18">
        <f>'4 - Income Statement'!D4</f>
        <v>417855564</v>
      </c>
      <c r="E19" s="18">
        <f>'4 - Income Statement'!E4</f>
        <v>318686269</v>
      </c>
      <c r="F19" s="18">
        <f>'4 - Income Statement'!F4</f>
        <v>356015524</v>
      </c>
      <c r="G19" s="18">
        <f>'4 - Income Statement'!G4</f>
        <v>558279860</v>
      </c>
      <c r="H19" s="18">
        <f>'4 - Income Statement'!H4</f>
        <v>780235738</v>
      </c>
    </row>
    <row r="21" spans="3:8" x14ac:dyDescent="0.2">
      <c r="C21" s="1" t="s">
        <v>128</v>
      </c>
    </row>
    <row r="23" spans="3:8" x14ac:dyDescent="0.2">
      <c r="C23" t="s">
        <v>1238</v>
      </c>
      <c r="D23" s="18">
        <f>'4 - Income Statement'!H4*1.08</f>
        <v>842654597.04000008</v>
      </c>
      <c r="E23" s="18">
        <f>D23*1.06</f>
        <v>893213872.86240017</v>
      </c>
      <c r="F23" s="18">
        <f>E23*1.04</f>
        <v>928942427.77689624</v>
      </c>
      <c r="G23" s="18">
        <f>F23*1.015</f>
        <v>942876564.19354963</v>
      </c>
      <c r="H23" s="18">
        <v>31000</v>
      </c>
    </row>
    <row r="24" spans="3:8" x14ac:dyDescent="0.2">
      <c r="D24" s="18"/>
      <c r="E24" s="18"/>
      <c r="F24" s="18"/>
      <c r="G24" s="18"/>
      <c r="H24" s="18"/>
    </row>
    <row r="25" spans="3:8" x14ac:dyDescent="0.2">
      <c r="D25" s="18"/>
      <c r="E25" s="18"/>
      <c r="F25" s="18"/>
      <c r="G25" s="18"/>
      <c r="H25" s="18"/>
    </row>
    <row r="26" spans="3:8" x14ac:dyDescent="0.2">
      <c r="D26" s="18"/>
      <c r="E26" s="18"/>
      <c r="F26" s="18"/>
      <c r="G26" s="18"/>
      <c r="H26" s="18"/>
    </row>
    <row r="27" spans="3:8" x14ac:dyDescent="0.2">
      <c r="D27" s="18"/>
      <c r="E27" s="18"/>
      <c r="F27" s="18"/>
      <c r="G27" s="18"/>
      <c r="H27" s="18"/>
    </row>
    <row r="48" spans="3:3" x14ac:dyDescent="0.2">
      <c r="C48" t="s">
        <v>474</v>
      </c>
    </row>
    <row r="49" spans="2:12" x14ac:dyDescent="0.2">
      <c r="B49" t="s">
        <v>788</v>
      </c>
      <c r="C49" t="s">
        <v>293</v>
      </c>
    </row>
    <row r="50" spans="2:12" x14ac:dyDescent="0.2">
      <c r="B50" t="s">
        <v>788</v>
      </c>
      <c r="C50" t="s">
        <v>294</v>
      </c>
    </row>
    <row r="51" spans="2:12" x14ac:dyDescent="0.2">
      <c r="B51" t="s">
        <v>788</v>
      </c>
      <c r="C51" t="s">
        <v>295</v>
      </c>
    </row>
    <row r="52" spans="2:12" x14ac:dyDescent="0.2">
      <c r="B52" t="s">
        <v>788</v>
      </c>
      <c r="C52" t="s">
        <v>296</v>
      </c>
    </row>
    <row r="55" spans="2:12" x14ac:dyDescent="0.2">
      <c r="C55" s="4" t="s">
        <v>494</v>
      </c>
      <c r="D55" s="26"/>
    </row>
    <row r="56" spans="2:12" x14ac:dyDescent="0.2">
      <c r="D56" s="26" t="s">
        <v>788</v>
      </c>
      <c r="E56" s="26" t="s">
        <v>489</v>
      </c>
      <c r="F56" s="26" t="s">
        <v>457</v>
      </c>
      <c r="G56" s="26" t="s">
        <v>453</v>
      </c>
      <c r="H56" s="26" t="s">
        <v>461</v>
      </c>
      <c r="I56" s="26" t="s">
        <v>788</v>
      </c>
      <c r="J56" s="26" t="s">
        <v>788</v>
      </c>
      <c r="K56" s="26" t="s">
        <v>788</v>
      </c>
      <c r="L56" s="26" t="s">
        <v>788</v>
      </c>
    </row>
    <row r="57" spans="2:12" x14ac:dyDescent="0.2">
      <c r="C57" t="s">
        <v>459</v>
      </c>
      <c r="D57" s="26" t="s">
        <v>456</v>
      </c>
      <c r="E57" s="26" t="s">
        <v>458</v>
      </c>
      <c r="F57" s="26" t="s">
        <v>466</v>
      </c>
      <c r="G57" s="26" t="s">
        <v>463</v>
      </c>
      <c r="H57" s="26" t="s">
        <v>464</v>
      </c>
      <c r="K57" s="26" t="s">
        <v>788</v>
      </c>
      <c r="L57" s="26" t="s">
        <v>788</v>
      </c>
    </row>
    <row r="58" spans="2:12" x14ac:dyDescent="0.2">
      <c r="D58">
        <v>1</v>
      </c>
      <c r="E58" s="15">
        <f>'4 - Income Statement'!D4</f>
        <v>417855564</v>
      </c>
      <c r="F58" s="18">
        <f t="shared" ref="F58:F67" si="0">($G$58*LN(D58))-$H$58</f>
        <v>-300135400.15630972</v>
      </c>
      <c r="G58">
        <f>SLOPE(E58:E62,LN(D58:D62))</f>
        <v>194338915.70072803</v>
      </c>
      <c r="H58">
        <f>INTERCEPT(E58:E62,LN(D58:D62))</f>
        <v>300135400.15630972</v>
      </c>
    </row>
    <row r="59" spans="2:12" x14ac:dyDescent="0.2">
      <c r="C59" t="s">
        <v>475</v>
      </c>
      <c r="D59">
        <v>2</v>
      </c>
      <c r="E59" s="15">
        <f>'4 - Income Statement'!E4</f>
        <v>318686269</v>
      </c>
      <c r="F59" s="18">
        <f t="shared" si="0"/>
        <v>-165429928.66527322</v>
      </c>
      <c r="G59" t="s">
        <v>788</v>
      </c>
    </row>
    <row r="60" spans="2:12" x14ac:dyDescent="0.2">
      <c r="D60">
        <v>3</v>
      </c>
      <c r="E60" s="15">
        <f>'4 - Income Statement'!F4</f>
        <v>356015524</v>
      </c>
      <c r="F60" s="18">
        <f t="shared" si="0"/>
        <v>-86632279.201054037</v>
      </c>
    </row>
    <row r="61" spans="2:12" x14ac:dyDescent="0.2">
      <c r="C61" t="s">
        <v>476</v>
      </c>
      <c r="D61">
        <v>4</v>
      </c>
      <c r="E61" s="15">
        <f>'4 - Income Statement'!G4</f>
        <v>558279860</v>
      </c>
      <c r="F61" s="18">
        <f t="shared" si="0"/>
        <v>-30724457.174236715</v>
      </c>
    </row>
    <row r="62" spans="2:12" x14ac:dyDescent="0.2">
      <c r="D62">
        <v>5</v>
      </c>
      <c r="E62" s="15">
        <f>'4 - Income Statement'!H4</f>
        <v>780235738</v>
      </c>
      <c r="F62" s="18">
        <f t="shared" si="0"/>
        <v>12641018.633776605</v>
      </c>
    </row>
    <row r="63" spans="2:12" x14ac:dyDescent="0.2">
      <c r="C63" t="s">
        <v>788</v>
      </c>
      <c r="D63">
        <v>6</v>
      </c>
      <c r="E63" s="15" t="s">
        <v>788</v>
      </c>
      <c r="F63" s="18">
        <f t="shared" si="0"/>
        <v>48073192.289982438</v>
      </c>
      <c r="I63" t="s">
        <v>788</v>
      </c>
    </row>
    <row r="64" spans="2:12" x14ac:dyDescent="0.2">
      <c r="D64">
        <v>7</v>
      </c>
      <c r="E64" s="15" t="s">
        <v>788</v>
      </c>
      <c r="F64" s="18">
        <f t="shared" si="0"/>
        <v>78030668.262141883</v>
      </c>
      <c r="I64" t="s">
        <v>788</v>
      </c>
    </row>
    <row r="65" spans="3:9" x14ac:dyDescent="0.2">
      <c r="C65" t="s">
        <v>788</v>
      </c>
      <c r="D65">
        <v>8</v>
      </c>
      <c r="E65" s="15" t="s">
        <v>788</v>
      </c>
      <c r="F65" s="18">
        <f t="shared" si="0"/>
        <v>103981014.31679982</v>
      </c>
      <c r="I65" t="s">
        <v>788</v>
      </c>
    </row>
    <row r="66" spans="3:9" x14ac:dyDescent="0.2">
      <c r="D66">
        <v>9</v>
      </c>
      <c r="E66" s="15" t="s">
        <v>788</v>
      </c>
      <c r="F66" s="18">
        <f t="shared" si="0"/>
        <v>126870841.75420165</v>
      </c>
      <c r="I66" t="s">
        <v>788</v>
      </c>
    </row>
    <row r="67" spans="3:9" x14ac:dyDescent="0.2">
      <c r="D67">
        <v>10</v>
      </c>
      <c r="E67" s="15" t="s">
        <v>788</v>
      </c>
      <c r="F67" s="18">
        <f t="shared" si="0"/>
        <v>147346490.1248132</v>
      </c>
      <c r="I67" t="s">
        <v>788</v>
      </c>
    </row>
    <row r="69" spans="3:9" x14ac:dyDescent="0.2">
      <c r="C69" s="4" t="s">
        <v>490</v>
      </c>
      <c r="D69" s="26"/>
      <c r="E69" s="26"/>
      <c r="F69" s="26"/>
      <c r="G69" s="26"/>
      <c r="H69" s="26"/>
      <c r="I69" s="26"/>
    </row>
    <row r="70" spans="3:9" x14ac:dyDescent="0.2">
      <c r="D70" s="26"/>
      <c r="E70" s="26" t="s">
        <v>489</v>
      </c>
      <c r="F70" s="26" t="s">
        <v>457</v>
      </c>
      <c r="G70" s="26" t="s">
        <v>453</v>
      </c>
      <c r="H70" s="26" t="s">
        <v>461</v>
      </c>
      <c r="I70" s="26"/>
    </row>
    <row r="71" spans="3:9" x14ac:dyDescent="0.2">
      <c r="C71" t="s">
        <v>491</v>
      </c>
      <c r="D71" s="26" t="s">
        <v>456</v>
      </c>
      <c r="E71" s="26" t="s">
        <v>458</v>
      </c>
      <c r="F71" s="26" t="s">
        <v>466</v>
      </c>
      <c r="G71" s="26" t="s">
        <v>463</v>
      </c>
      <c r="H71" s="26" t="s">
        <v>464</v>
      </c>
      <c r="I71" s="26"/>
    </row>
    <row r="72" spans="3:9" x14ac:dyDescent="0.2">
      <c r="D72">
        <v>1</v>
      </c>
      <c r="E72" s="15">
        <f>E58</f>
        <v>417855564</v>
      </c>
      <c r="F72" s="18">
        <f>$H$73*(D72^$G$72)</f>
        <v>326286125.28962666</v>
      </c>
      <c r="G72">
        <f>SLOPE(LN(E72:E76),LN(D72:D76))</f>
        <v>0.35924874037532606</v>
      </c>
      <c r="H72">
        <f>INTERCEPT(LN(E72:E76),LN(D72:D76))</f>
        <v>19.603285239328283</v>
      </c>
    </row>
    <row r="73" spans="3:9" x14ac:dyDescent="0.2">
      <c r="D73">
        <v>2</v>
      </c>
      <c r="E73" s="15">
        <f>E59</f>
        <v>318686269</v>
      </c>
      <c r="F73" s="18">
        <f t="shared" ref="F73:F81" si="1">$H$73*(D73^$G$72)</f>
        <v>418546055.50662345</v>
      </c>
      <c r="H73">
        <f>EXP(H72)</f>
        <v>326286125.28962666</v>
      </c>
    </row>
    <row r="74" spans="3:9" x14ac:dyDescent="0.2">
      <c r="D74">
        <v>3</v>
      </c>
      <c r="E74" s="15">
        <f>E60</f>
        <v>356015524</v>
      </c>
      <c r="F74" s="18">
        <f t="shared" si="1"/>
        <v>484176622.28677702</v>
      </c>
    </row>
    <row r="75" spans="3:9" x14ac:dyDescent="0.2">
      <c r="D75">
        <v>4</v>
      </c>
      <c r="E75" s="15">
        <f>E61</f>
        <v>558279860</v>
      </c>
      <c r="F75" s="18">
        <f t="shared" si="1"/>
        <v>536893195.88644767</v>
      </c>
    </row>
    <row r="76" spans="3:9" x14ac:dyDescent="0.2">
      <c r="D76">
        <v>5</v>
      </c>
      <c r="E76" s="15">
        <f>E62</f>
        <v>780235738</v>
      </c>
      <c r="F76" s="18">
        <f t="shared" si="1"/>
        <v>581704870.71172643</v>
      </c>
    </row>
    <row r="77" spans="3:9" x14ac:dyDescent="0.2">
      <c r="D77">
        <v>6</v>
      </c>
      <c r="E77" t="s">
        <v>788</v>
      </c>
      <c r="F77" s="18">
        <f>$H$73*(D77^$G$72)</f>
        <v>621081313.9748714</v>
      </c>
    </row>
    <row r="78" spans="3:9" x14ac:dyDescent="0.2">
      <c r="D78">
        <v>7</v>
      </c>
      <c r="E78" t="s">
        <v>788</v>
      </c>
      <c r="F78" s="18">
        <f t="shared" si="1"/>
        <v>656446010.05360413</v>
      </c>
    </row>
    <row r="79" spans="3:9" x14ac:dyDescent="0.2">
      <c r="D79">
        <v>8</v>
      </c>
      <c r="E79" t="s">
        <v>788</v>
      </c>
      <c r="F79" s="18">
        <f t="shared" si="1"/>
        <v>688703907.24444866</v>
      </c>
    </row>
    <row r="80" spans="3:9" x14ac:dyDescent="0.2">
      <c r="D80">
        <v>9</v>
      </c>
      <c r="E80" t="s">
        <v>788</v>
      </c>
      <c r="F80" s="18">
        <f t="shared" si="1"/>
        <v>718470640.9472487</v>
      </c>
    </row>
    <row r="81" spans="3:11" x14ac:dyDescent="0.2">
      <c r="D81">
        <v>10</v>
      </c>
      <c r="E81" t="s">
        <v>788</v>
      </c>
      <c r="F81" s="18">
        <f t="shared" si="1"/>
        <v>746186430.35853279</v>
      </c>
    </row>
    <row r="83" spans="3:11" x14ac:dyDescent="0.2">
      <c r="C83" s="4" t="s">
        <v>497</v>
      </c>
      <c r="I83" t="s">
        <v>502</v>
      </c>
    </row>
    <row r="84" spans="3:11" x14ac:dyDescent="0.2">
      <c r="C84" s="4"/>
      <c r="D84" s="26"/>
      <c r="E84" s="26" t="s">
        <v>489</v>
      </c>
      <c r="F84" s="26" t="s">
        <v>457</v>
      </c>
      <c r="G84" s="26" t="s">
        <v>453</v>
      </c>
      <c r="H84" s="26" t="s">
        <v>461</v>
      </c>
      <c r="I84" s="26" t="s">
        <v>788</v>
      </c>
      <c r="K84" s="26" t="s">
        <v>457</v>
      </c>
    </row>
    <row r="85" spans="3:11" x14ac:dyDescent="0.2">
      <c r="C85" s="4"/>
      <c r="D85" s="26" t="s">
        <v>456</v>
      </c>
      <c r="E85" s="26" t="s">
        <v>458</v>
      </c>
      <c r="F85" s="26" t="s">
        <v>466</v>
      </c>
      <c r="G85" s="26" t="s">
        <v>463</v>
      </c>
      <c r="H85" s="26" t="s">
        <v>464</v>
      </c>
      <c r="I85" s="26" t="s">
        <v>500</v>
      </c>
      <c r="J85" s="26" t="s">
        <v>501</v>
      </c>
      <c r="K85" s="26" t="s">
        <v>466</v>
      </c>
    </row>
    <row r="86" spans="3:11" x14ac:dyDescent="0.2">
      <c r="C86" s="10" t="s">
        <v>499</v>
      </c>
      <c r="D86">
        <v>1</v>
      </c>
      <c r="E86" s="15">
        <f>E58</f>
        <v>417855564</v>
      </c>
      <c r="F86" s="18">
        <f>GROWTH($E$86:$E$90,$D$86:$D$90,D86)</f>
        <v>320486450.90644771</v>
      </c>
      <c r="G86">
        <f>SLOPE(LN(E86:E90),(D86:D90))</f>
        <v>0.18095737819505686</v>
      </c>
      <c r="H86">
        <f>INTERCEPT(LN(E86:E90),(D86:D90))</f>
        <v>19.404393180373457</v>
      </c>
      <c r="I86" s="100">
        <f>$G$86*D86</f>
        <v>0.18095737819505686</v>
      </c>
      <c r="J86">
        <f>EXP(I86)</f>
        <v>1.198364101763703</v>
      </c>
      <c r="K86" s="18">
        <f>$H$87*J86</f>
        <v>320486450.90644777</v>
      </c>
    </row>
    <row r="87" spans="3:11" x14ac:dyDescent="0.2">
      <c r="C87" s="4"/>
      <c r="D87">
        <v>2</v>
      </c>
      <c r="E87" s="15">
        <f>E59</f>
        <v>318686269</v>
      </c>
      <c r="F87" s="18">
        <f t="shared" ref="F87:F95" si="2">GROWTH($E$86:$E$90,$D$86:$D$90,D87)</f>
        <v>384059457.86794233</v>
      </c>
      <c r="H87">
        <f>EXP(H86)</f>
        <v>267436625.00801635</v>
      </c>
      <c r="I87" s="100">
        <f t="shared" ref="I87:I95" si="3">$G$86*D87</f>
        <v>0.36191475639011372</v>
      </c>
      <c r="J87">
        <f t="shared" ref="J87:J95" si="4">EXP(I87)</f>
        <v>1.4360765203959265</v>
      </c>
      <c r="K87" s="18">
        <f t="shared" ref="K87:K95" si="5">$H$87*J87</f>
        <v>384059457.86794233</v>
      </c>
    </row>
    <row r="88" spans="3:11" x14ac:dyDescent="0.2">
      <c r="C88" s="99"/>
      <c r="D88">
        <v>3</v>
      </c>
      <c r="E88" s="15">
        <f>E60</f>
        <v>356015524</v>
      </c>
      <c r="F88" s="18">
        <f t="shared" si="2"/>
        <v>460243067.25177139</v>
      </c>
      <c r="G88" t="s">
        <v>788</v>
      </c>
      <c r="I88" s="100">
        <f t="shared" si="3"/>
        <v>0.54287213458517058</v>
      </c>
      <c r="J88">
        <f t="shared" si="4"/>
        <v>1.7209425494282085</v>
      </c>
      <c r="K88" s="18">
        <f t="shared" si="5"/>
        <v>460243067.25177145</v>
      </c>
    </row>
    <row r="89" spans="3:11" x14ac:dyDescent="0.2">
      <c r="C89" s="99"/>
      <c r="D89">
        <v>4</v>
      </c>
      <c r="E89" s="15">
        <f>E61</f>
        <v>558279860</v>
      </c>
      <c r="F89" s="18">
        <f t="shared" si="2"/>
        <v>551538769.88014054</v>
      </c>
      <c r="G89" t="s">
        <v>788</v>
      </c>
      <c r="I89" s="100">
        <f t="shared" si="3"/>
        <v>0.72382951278022745</v>
      </c>
      <c r="J89">
        <f t="shared" si="4"/>
        <v>2.0623157724324721</v>
      </c>
      <c r="K89" s="18">
        <f t="shared" si="5"/>
        <v>551538769.88014066</v>
      </c>
    </row>
    <row r="90" spans="3:11" x14ac:dyDescent="0.2">
      <c r="C90" s="99"/>
      <c r="D90">
        <v>5</v>
      </c>
      <c r="E90" s="15">
        <f>E62</f>
        <v>780235738</v>
      </c>
      <c r="F90" s="18">
        <f t="shared" si="2"/>
        <v>660944262.55527222</v>
      </c>
      <c r="G90" t="s">
        <v>788</v>
      </c>
      <c r="I90" s="100">
        <f t="shared" si="3"/>
        <v>0.90478689097528431</v>
      </c>
      <c r="J90">
        <f t="shared" si="4"/>
        <v>2.4714051881841561</v>
      </c>
      <c r="K90" s="18">
        <f t="shared" si="5"/>
        <v>660944262.55527222</v>
      </c>
    </row>
    <row r="91" spans="3:11" x14ac:dyDescent="0.2">
      <c r="C91" s="99"/>
      <c r="D91">
        <v>6</v>
      </c>
      <c r="E91" s="15" t="s">
        <v>788</v>
      </c>
      <c r="F91" s="18">
        <f t="shared" si="2"/>
        <v>792051877.51292169</v>
      </c>
      <c r="I91" s="100">
        <f t="shared" si="3"/>
        <v>1.0857442691703412</v>
      </c>
      <c r="J91">
        <f t="shared" si="4"/>
        <v>2.9616432584324617</v>
      </c>
      <c r="K91" s="18">
        <f t="shared" si="5"/>
        <v>792051877.51292193</v>
      </c>
    </row>
    <row r="92" spans="3:11" x14ac:dyDescent="0.2">
      <c r="C92" s="99"/>
      <c r="D92">
        <v>7</v>
      </c>
      <c r="E92" s="15" t="s">
        <v>788</v>
      </c>
      <c r="F92" s="18">
        <f t="shared" si="2"/>
        <v>949166536.74602687</v>
      </c>
      <c r="I92" s="100">
        <f t="shared" si="3"/>
        <v>1.266701647365398</v>
      </c>
      <c r="J92">
        <f t="shared" si="4"/>
        <v>3.5491269631359432</v>
      </c>
      <c r="K92" s="18">
        <f t="shared" si="5"/>
        <v>949166536.74602711</v>
      </c>
    </row>
    <row r="93" spans="3:11" x14ac:dyDescent="0.2">
      <c r="C93" s="99"/>
      <c r="D93">
        <v>8</v>
      </c>
      <c r="E93" s="15" t="s">
        <v>788</v>
      </c>
      <c r="F93" s="18">
        <f t="shared" si="2"/>
        <v>1137447104.2318172</v>
      </c>
      <c r="I93" s="100">
        <f t="shared" si="3"/>
        <v>1.4476590255604549</v>
      </c>
      <c r="J93">
        <f t="shared" si="4"/>
        <v>4.253146345223743</v>
      </c>
      <c r="K93" s="18">
        <f t="shared" si="5"/>
        <v>1137447104.2318175</v>
      </c>
    </row>
    <row r="94" spans="3:11" x14ac:dyDescent="0.2">
      <c r="C94" s="99"/>
      <c r="D94">
        <v>9</v>
      </c>
      <c r="E94" s="15" t="s">
        <v>788</v>
      </c>
      <c r="F94" s="18">
        <f t="shared" si="2"/>
        <v>1363075777.3664865</v>
      </c>
      <c r="I94" s="100">
        <f t="shared" si="3"/>
        <v>1.6286164037555118</v>
      </c>
      <c r="J94">
        <f t="shared" si="4"/>
        <v>5.0968178996636269</v>
      </c>
      <c r="K94" s="18">
        <f t="shared" si="5"/>
        <v>1363075777.3664868</v>
      </c>
    </row>
    <row r="95" spans="3:11" x14ac:dyDescent="0.2">
      <c r="C95" s="99"/>
      <c r="D95">
        <v>10</v>
      </c>
      <c r="E95" s="15" t="s">
        <v>788</v>
      </c>
      <c r="F95" s="18">
        <f t="shared" si="2"/>
        <v>1633461079.5796506</v>
      </c>
      <c r="I95" s="100">
        <f t="shared" si="3"/>
        <v>1.8095737819505686</v>
      </c>
      <c r="J95">
        <f t="shared" si="4"/>
        <v>6.1078436041835653</v>
      </c>
      <c r="K95" s="18">
        <f t="shared" si="5"/>
        <v>1633461079.5796511</v>
      </c>
    </row>
    <row r="97" spans="3:11" x14ac:dyDescent="0.2">
      <c r="C97" s="4" t="s">
        <v>498</v>
      </c>
    </row>
    <row r="98" spans="3:11" x14ac:dyDescent="0.2">
      <c r="C98" s="4"/>
      <c r="E98" s="26" t="s">
        <v>489</v>
      </c>
      <c r="F98" s="26" t="s">
        <v>457</v>
      </c>
      <c r="G98" s="26"/>
      <c r="H98" s="26"/>
      <c r="I98" s="26"/>
      <c r="J98" s="26"/>
      <c r="K98" s="26"/>
    </row>
    <row r="99" spans="3:11" x14ac:dyDescent="0.2">
      <c r="C99" t="s">
        <v>509</v>
      </c>
      <c r="D99" s="98" t="s">
        <v>456</v>
      </c>
      <c r="E99" s="26" t="s">
        <v>458</v>
      </c>
      <c r="F99" s="26" t="s">
        <v>466</v>
      </c>
      <c r="G99" s="26" t="s">
        <v>506</v>
      </c>
      <c r="H99" s="26" t="s">
        <v>507</v>
      </c>
      <c r="I99" s="26" t="s">
        <v>508</v>
      </c>
      <c r="J99" s="26" t="s">
        <v>788</v>
      </c>
      <c r="K99" s="26" t="s">
        <v>788</v>
      </c>
    </row>
    <row r="100" spans="3:11" x14ac:dyDescent="0.2">
      <c r="D100">
        <v>1</v>
      </c>
      <c r="E100" s="15">
        <f>E58</f>
        <v>417855564</v>
      </c>
      <c r="F100" s="18">
        <f>($G$100*D100^2)+($H$100*D100^1)+$I$100</f>
        <v>408656007.05714285</v>
      </c>
      <c r="G100">
        <f t="array" ref="G100:I100">LINEST(E100:E104,D100:D104^{1,2})</f>
        <v>57656101.928571433</v>
      </c>
      <c r="H100">
        <v>-249501217.67142862</v>
      </c>
      <c r="I100">
        <v>600501122.80000007</v>
      </c>
      <c r="K100" t="s">
        <v>788</v>
      </c>
    </row>
    <row r="101" spans="3:11" x14ac:dyDescent="0.2">
      <c r="D101">
        <v>2</v>
      </c>
      <c r="E101" s="15">
        <f>E59</f>
        <v>318686269</v>
      </c>
      <c r="F101" s="18">
        <f>($G$100*D101^2)+($H$100*D101^1)+$I$100</f>
        <v>332123095.17142856</v>
      </c>
      <c r="G101" t="s">
        <v>788</v>
      </c>
      <c r="H101" s="40" t="s">
        <v>788</v>
      </c>
    </row>
    <row r="102" spans="3:11" x14ac:dyDescent="0.2">
      <c r="D102">
        <v>3</v>
      </c>
      <c r="E102" s="15">
        <f>E60</f>
        <v>356015524</v>
      </c>
      <c r="F102" s="18">
        <f t="shared" ref="F102:F109" si="6">($G$100*D102^2)+($H$100*D102^1)+$I$100</f>
        <v>370902387.14285719</v>
      </c>
      <c r="G102" t="s">
        <v>788</v>
      </c>
      <c r="H102" s="40" t="s">
        <v>788</v>
      </c>
    </row>
    <row r="103" spans="3:11" x14ac:dyDescent="0.2">
      <c r="D103">
        <v>4</v>
      </c>
      <c r="E103" s="15">
        <f>E61</f>
        <v>558279860</v>
      </c>
      <c r="F103" s="18">
        <f t="shared" si="6"/>
        <v>524993882.97142851</v>
      </c>
      <c r="G103" t="s">
        <v>788</v>
      </c>
      <c r="H103" s="40" t="s">
        <v>788</v>
      </c>
    </row>
    <row r="104" spans="3:11" x14ac:dyDescent="0.2">
      <c r="D104">
        <v>5</v>
      </c>
      <c r="E104" s="15">
        <f>E62</f>
        <v>780235738</v>
      </c>
      <c r="F104" s="18">
        <f t="shared" si="6"/>
        <v>794397582.65714276</v>
      </c>
      <c r="G104" t="s">
        <v>788</v>
      </c>
      <c r="H104" s="40"/>
    </row>
    <row r="105" spans="3:11" x14ac:dyDescent="0.2">
      <c r="D105">
        <v>6</v>
      </c>
      <c r="F105" s="18">
        <f t="shared" si="6"/>
        <v>1179113486.2000003</v>
      </c>
      <c r="G105" t="s">
        <v>788</v>
      </c>
    </row>
    <row r="106" spans="3:11" x14ac:dyDescent="0.2">
      <c r="D106">
        <v>7</v>
      </c>
      <c r="F106" s="18">
        <f t="shared" si="6"/>
        <v>1679141593.5999999</v>
      </c>
      <c r="G106" t="s">
        <v>788</v>
      </c>
    </row>
    <row r="107" spans="3:11" x14ac:dyDescent="0.2">
      <c r="D107">
        <v>8</v>
      </c>
      <c r="F107" s="18">
        <f t="shared" si="6"/>
        <v>2294481904.8571429</v>
      </c>
      <c r="G107" t="s">
        <v>788</v>
      </c>
      <c r="H107" s="40"/>
    </row>
    <row r="108" spans="3:11" x14ac:dyDescent="0.2">
      <c r="D108">
        <v>9</v>
      </c>
      <c r="F108" s="18">
        <f t="shared" si="6"/>
        <v>3025134419.9714284</v>
      </c>
      <c r="G108" t="s">
        <v>788</v>
      </c>
      <c r="H108" s="40"/>
    </row>
    <row r="109" spans="3:11" x14ac:dyDescent="0.2">
      <c r="D109">
        <v>10</v>
      </c>
      <c r="F109" s="18">
        <f t="shared" si="6"/>
        <v>3871099138.9428573</v>
      </c>
      <c r="G109" t="s">
        <v>788</v>
      </c>
      <c r="H109" s="40"/>
    </row>
    <row r="110" spans="3:11" x14ac:dyDescent="0.2">
      <c r="D110" t="s">
        <v>788</v>
      </c>
      <c r="F110" t="s">
        <v>788</v>
      </c>
      <c r="G110" t="s">
        <v>788</v>
      </c>
      <c r="H110" s="40" t="s">
        <v>788</v>
      </c>
    </row>
    <row r="113" spans="3:14" x14ac:dyDescent="0.2">
      <c r="C113" s="1" t="s">
        <v>492</v>
      </c>
    </row>
    <row r="114" spans="3:14" x14ac:dyDescent="0.2">
      <c r="D114">
        <v>1996</v>
      </c>
      <c r="E114">
        <v>1997</v>
      </c>
      <c r="F114">
        <v>1998</v>
      </c>
      <c r="G114">
        <v>1999</v>
      </c>
      <c r="H114">
        <v>2000</v>
      </c>
      <c r="I114">
        <v>2001</v>
      </c>
      <c r="J114">
        <v>2002</v>
      </c>
      <c r="K114">
        <v>2003</v>
      </c>
      <c r="L114">
        <v>2004</v>
      </c>
      <c r="M114">
        <v>2005</v>
      </c>
    </row>
    <row r="115" spans="3:14" x14ac:dyDescent="0.2">
      <c r="C115" t="s">
        <v>493</v>
      </c>
      <c r="D115" s="18">
        <f>F58</f>
        <v>-300135400.15630972</v>
      </c>
      <c r="E115" s="18">
        <f>F59</f>
        <v>-165429928.66527322</v>
      </c>
      <c r="F115" s="18">
        <f>F60</f>
        <v>-86632279.201054037</v>
      </c>
      <c r="G115" s="18">
        <f>F61</f>
        <v>-30724457.174236715</v>
      </c>
      <c r="H115" s="18">
        <f>F62</f>
        <v>12641018.633776605</v>
      </c>
      <c r="I115" s="18">
        <f>F63</f>
        <v>48073192.289982438</v>
      </c>
      <c r="J115" s="18">
        <f>F64</f>
        <v>78030668.262141883</v>
      </c>
      <c r="K115" s="18">
        <f>F65</f>
        <v>103981014.31679982</v>
      </c>
      <c r="L115" s="18">
        <f>F66</f>
        <v>126870841.75420165</v>
      </c>
      <c r="M115" s="18">
        <f>F67</f>
        <v>147346490.1248132</v>
      </c>
      <c r="N115" t="s">
        <v>788</v>
      </c>
    </row>
    <row r="116" spans="3:14" x14ac:dyDescent="0.2">
      <c r="C116" s="10" t="s">
        <v>490</v>
      </c>
      <c r="D116" s="18">
        <f>F72</f>
        <v>326286125.28962666</v>
      </c>
      <c r="E116" s="18">
        <f>F73</f>
        <v>418546055.50662345</v>
      </c>
      <c r="F116" s="18">
        <f>F74</f>
        <v>484176622.28677702</v>
      </c>
      <c r="G116" s="18">
        <f>F75</f>
        <v>536893195.88644767</v>
      </c>
      <c r="H116" s="18">
        <f>F76</f>
        <v>581704870.71172643</v>
      </c>
      <c r="I116" s="18">
        <f>F77</f>
        <v>621081313.9748714</v>
      </c>
      <c r="J116" s="18">
        <f>F78</f>
        <v>656446010.05360413</v>
      </c>
      <c r="K116" s="18">
        <f>F79</f>
        <v>688703907.24444866</v>
      </c>
      <c r="L116" s="18">
        <f>F80</f>
        <v>718470640.9472487</v>
      </c>
      <c r="M116" s="18">
        <f>F81</f>
        <v>746186430.35853279</v>
      </c>
    </row>
    <row r="117" spans="3:14" x14ac:dyDescent="0.2">
      <c r="C117" s="10" t="s">
        <v>497</v>
      </c>
      <c r="D117" s="18">
        <f>F86</f>
        <v>320486450.90644771</v>
      </c>
      <c r="E117" s="18">
        <f>F87</f>
        <v>384059457.86794233</v>
      </c>
      <c r="F117" s="18">
        <f>F88</f>
        <v>460243067.25177139</v>
      </c>
      <c r="G117" s="18">
        <f>F89</f>
        <v>551538769.88014054</v>
      </c>
      <c r="H117" s="18">
        <f>F90</f>
        <v>660944262.55527222</v>
      </c>
      <c r="I117" s="18">
        <f>F91</f>
        <v>792051877.51292169</v>
      </c>
      <c r="J117" s="18">
        <f>F92</f>
        <v>949166536.74602687</v>
      </c>
      <c r="K117" s="18">
        <f>F93</f>
        <v>1137447104.2318172</v>
      </c>
      <c r="L117" s="18">
        <f>F94</f>
        <v>1363075777.3664865</v>
      </c>
      <c r="M117" s="18">
        <f>F95</f>
        <v>1633461079.5796506</v>
      </c>
    </row>
    <row r="118" spans="3:14" x14ac:dyDescent="0.2">
      <c r="C118" s="10" t="s">
        <v>498</v>
      </c>
      <c r="D118" s="18">
        <f>F100</f>
        <v>408656007.05714285</v>
      </c>
      <c r="E118" s="18">
        <f>F101</f>
        <v>332123095.17142856</v>
      </c>
      <c r="F118" s="18">
        <f>F102</f>
        <v>370902387.14285719</v>
      </c>
      <c r="G118" s="18">
        <f>F103</f>
        <v>524993882.97142851</v>
      </c>
      <c r="H118" s="18">
        <f>F104</f>
        <v>794397582.65714276</v>
      </c>
      <c r="I118" s="18">
        <f>F105</f>
        <v>1179113486.2000003</v>
      </c>
      <c r="J118" s="18">
        <f>F106</f>
        <v>1679141593.5999999</v>
      </c>
      <c r="K118" s="18">
        <f>F107</f>
        <v>2294481904.8571429</v>
      </c>
      <c r="L118" s="18">
        <f>F108</f>
        <v>3025134419.9714284</v>
      </c>
      <c r="M118" s="18">
        <f>F109</f>
        <v>3871099138.9428573</v>
      </c>
    </row>
    <row r="119" spans="3:14" x14ac:dyDescent="0.2">
      <c r="C119" s="10" t="s">
        <v>495</v>
      </c>
      <c r="D119" s="15">
        <f>E58</f>
        <v>417855564</v>
      </c>
      <c r="E119" s="15">
        <f>E59</f>
        <v>318686269</v>
      </c>
      <c r="F119" s="15">
        <f>E60</f>
        <v>356015524</v>
      </c>
      <c r="G119" s="15">
        <f>E61</f>
        <v>558279860</v>
      </c>
      <c r="H119" s="15">
        <f>E62</f>
        <v>780235738</v>
      </c>
    </row>
    <row r="151" spans="3:9" x14ac:dyDescent="0.2">
      <c r="C151" s="1" t="s">
        <v>259</v>
      </c>
    </row>
    <row r="153" spans="3:9" x14ac:dyDescent="0.2">
      <c r="C153" t="s">
        <v>260</v>
      </c>
    </row>
    <row r="154" spans="3:9" x14ac:dyDescent="0.2">
      <c r="C154" t="s">
        <v>261</v>
      </c>
    </row>
    <row r="155" spans="3:9" x14ac:dyDescent="0.2">
      <c r="C155" t="s">
        <v>262</v>
      </c>
      <c r="E155" t="s">
        <v>449</v>
      </c>
    </row>
    <row r="156" spans="3:9" x14ac:dyDescent="0.2">
      <c r="I156" s="26" t="s">
        <v>450</v>
      </c>
    </row>
    <row r="157" spans="3:9" x14ac:dyDescent="0.2">
      <c r="D157" s="26">
        <f>'3 - Balance Sheet'!D1</f>
        <v>2005</v>
      </c>
      <c r="E157" s="26">
        <f>'3 - Balance Sheet'!E1</f>
        <v>2006</v>
      </c>
      <c r="F157" s="26">
        <f>'3 - Balance Sheet'!F1</f>
        <v>2007</v>
      </c>
      <c r="G157" s="26">
        <f>'3 - Balance Sheet'!G1</f>
        <v>2008</v>
      </c>
      <c r="H157" s="26">
        <v>2000</v>
      </c>
      <c r="I157" s="26">
        <v>2001</v>
      </c>
    </row>
    <row r="158" spans="3:9" x14ac:dyDescent="0.2">
      <c r="C158" s="4" t="s">
        <v>307</v>
      </c>
    </row>
    <row r="159" spans="3:9" x14ac:dyDescent="0.2">
      <c r="C159" t="s">
        <v>263</v>
      </c>
      <c r="D159" s="16">
        <v>10500</v>
      </c>
      <c r="E159" s="16">
        <v>14500</v>
      </c>
      <c r="F159" s="16">
        <v>22500</v>
      </c>
      <c r="G159" s="16">
        <v>28500</v>
      </c>
      <c r="H159" s="16">
        <v>30000</v>
      </c>
      <c r="I159" s="18">
        <f>'16 - Final Budgets'!D16</f>
        <v>30500</v>
      </c>
    </row>
    <row r="160" spans="3:9" x14ac:dyDescent="0.2">
      <c r="C160" t="s">
        <v>264</v>
      </c>
      <c r="D160" s="18">
        <f>'4 - Income Statement'!D4</f>
        <v>417855564</v>
      </c>
      <c r="E160" s="18">
        <f>'4 - Income Statement'!E4</f>
        <v>318686269</v>
      </c>
      <c r="F160" s="18">
        <f>'4 - Income Statement'!F4</f>
        <v>356015524</v>
      </c>
      <c r="G160" s="18">
        <f>'4 - Income Statement'!G4</f>
        <v>558279860</v>
      </c>
      <c r="H160" s="18">
        <f>'4 - Income Statement'!H4</f>
        <v>780235738</v>
      </c>
      <c r="I160" s="95" t="s">
        <v>448</v>
      </c>
    </row>
    <row r="161" spans="3:9" x14ac:dyDescent="0.2">
      <c r="C161" t="s">
        <v>265</v>
      </c>
      <c r="D161" s="45">
        <f t="shared" ref="D161:I161" si="7">(D159-D160)/D160</f>
        <v>-0.99997487169992549</v>
      </c>
      <c r="E161" s="45">
        <f t="shared" si="7"/>
        <v>-0.99995450070677505</v>
      </c>
      <c r="F161" s="45">
        <f t="shared" si="7"/>
        <v>-0.9999368005087329</v>
      </c>
      <c r="G161" s="45">
        <f t="shared" si="7"/>
        <v>-0.99994895033469411</v>
      </c>
      <c r="H161" s="45">
        <f t="shared" si="7"/>
        <v>-0.99996155008218812</v>
      </c>
      <c r="I161" s="45" t="e">
        <f t="shared" si="7"/>
        <v>#VALUE!</v>
      </c>
    </row>
    <row r="162" spans="3:9" x14ac:dyDescent="0.2">
      <c r="D162" s="18"/>
      <c r="E162" s="18"/>
      <c r="F162" s="18"/>
      <c r="G162" s="18"/>
    </row>
    <row r="163" spans="3:9" x14ac:dyDescent="0.2">
      <c r="C163" t="s">
        <v>284</v>
      </c>
      <c r="D163" s="16">
        <v>-4500</v>
      </c>
      <c r="E163" s="16">
        <v>-6500</v>
      </c>
      <c r="F163" s="16">
        <v>-8648</v>
      </c>
      <c r="G163" s="16">
        <v>-9650</v>
      </c>
      <c r="H163" s="16">
        <v>-11000</v>
      </c>
      <c r="I163" s="18">
        <f>'16 - Final Budgets'!D17</f>
        <v>-24337.677000480773</v>
      </c>
    </row>
    <row r="164" spans="3:9" x14ac:dyDescent="0.2">
      <c r="C164" t="s">
        <v>285</v>
      </c>
      <c r="D164" s="18">
        <f>'4 - Income Statement'!D5</f>
        <v>-377570065</v>
      </c>
      <c r="E164" s="18">
        <f>'4 - Income Statement'!E5</f>
        <v>-250511981</v>
      </c>
      <c r="F164" s="18">
        <f>'4 - Income Statement'!F5</f>
        <v>-275255438</v>
      </c>
      <c r="G164" s="18">
        <f>'4 - Income Statement'!G5</f>
        <v>-432271370</v>
      </c>
      <c r="H164" s="18">
        <f>'4 - Income Statement'!H5</f>
        <v>-587259142</v>
      </c>
      <c r="I164" s="95" t="s">
        <v>448</v>
      </c>
    </row>
    <row r="165" spans="3:9" x14ac:dyDescent="0.2">
      <c r="C165" t="s">
        <v>265</v>
      </c>
      <c r="D165" s="45">
        <f t="shared" ref="D165:I165" si="8">(D163-D164)/D164</f>
        <v>-0.99998808168227005</v>
      </c>
      <c r="E165" s="45">
        <f t="shared" si="8"/>
        <v>-0.999974053137203</v>
      </c>
      <c r="F165" s="45">
        <f t="shared" si="8"/>
        <v>-0.99996858191045079</v>
      </c>
      <c r="G165" s="45">
        <f t="shared" si="8"/>
        <v>-0.9999776760602952</v>
      </c>
      <c r="H165" s="45">
        <f t="shared" si="8"/>
        <v>-0.99998126891654249</v>
      </c>
      <c r="I165" s="45" t="e">
        <f t="shared" si="8"/>
        <v>#VALUE!</v>
      </c>
    </row>
    <row r="166" spans="3:9" x14ac:dyDescent="0.2">
      <c r="D166" s="18"/>
      <c r="E166" s="18"/>
      <c r="F166" s="18"/>
      <c r="G166" s="18"/>
    </row>
    <row r="167" spans="3:9" x14ac:dyDescent="0.2">
      <c r="C167" t="s">
        <v>315</v>
      </c>
      <c r="D167" s="16">
        <v>3100</v>
      </c>
      <c r="E167" s="16">
        <v>4900</v>
      </c>
      <c r="F167" s="16">
        <v>9000</v>
      </c>
      <c r="G167" s="16">
        <v>11000</v>
      </c>
      <c r="H167" s="13">
        <v>10500</v>
      </c>
      <c r="I167" s="18">
        <f>'16 - Final Budgets'!D19</f>
        <v>3618.049963316178</v>
      </c>
    </row>
    <row r="168" spans="3:9" x14ac:dyDescent="0.2">
      <c r="C168" t="s">
        <v>316</v>
      </c>
      <c r="D168" s="18">
        <f>'4 - Income Statement'!D9</f>
        <v>21005769</v>
      </c>
      <c r="E168" s="18">
        <f>'4 - Income Statement'!E9</f>
        <v>42985414</v>
      </c>
      <c r="F168" s="18">
        <f>'4 - Income Statement'!F9</f>
        <v>42921568</v>
      </c>
      <c r="G168" s="18">
        <f>'4 - Income Statement'!G9</f>
        <v>73918139</v>
      </c>
      <c r="H168" s="18">
        <f>'4 - Income Statement'!H9</f>
        <v>120940477</v>
      </c>
      <c r="I168" s="95" t="s">
        <v>448</v>
      </c>
    </row>
    <row r="169" spans="3:9" x14ac:dyDescent="0.2">
      <c r="C169" t="s">
        <v>265</v>
      </c>
      <c r="D169" s="45">
        <f t="shared" ref="D169:I169" si="9">(D167-D168)/D168</f>
        <v>-0.99985242149430476</v>
      </c>
      <c r="E169" s="45">
        <f t="shared" si="9"/>
        <v>-0.99988600784442838</v>
      </c>
      <c r="F169" s="45">
        <f t="shared" si="9"/>
        <v>-0.99979031520936046</v>
      </c>
      <c r="G169" s="45">
        <f t="shared" si="9"/>
        <v>-0.99985118672968754</v>
      </c>
      <c r="H169" s="45">
        <f t="shared" si="9"/>
        <v>-0.99991318043172595</v>
      </c>
      <c r="I169" s="45" t="e">
        <f t="shared" si="9"/>
        <v>#VALUE!</v>
      </c>
    </row>
    <row r="170" spans="3:9" x14ac:dyDescent="0.2">
      <c r="D170" s="18"/>
      <c r="E170" s="18"/>
      <c r="F170" s="18"/>
      <c r="G170" s="18"/>
    </row>
    <row r="171" spans="3:9" x14ac:dyDescent="0.2">
      <c r="C171" t="s">
        <v>305</v>
      </c>
      <c r="D171" s="16">
        <v>2100</v>
      </c>
      <c r="E171" s="16">
        <v>4100</v>
      </c>
      <c r="F171" s="16">
        <v>6500</v>
      </c>
      <c r="G171" s="16">
        <v>9000</v>
      </c>
      <c r="H171" s="16">
        <v>9300</v>
      </c>
      <c r="I171" s="18">
        <f>'16 - Final Budgets'!D28</f>
        <v>458.04996331617804</v>
      </c>
    </row>
    <row r="172" spans="3:9" x14ac:dyDescent="0.2">
      <c r="C172" t="s">
        <v>306</v>
      </c>
      <c r="D172" s="18">
        <f>'4 - Income Statement'!D20</f>
        <v>18996905</v>
      </c>
      <c r="E172" s="18">
        <f>'4 - Income Statement'!E20</f>
        <v>38197887</v>
      </c>
      <c r="F172" s="18">
        <f>'4 - Income Statement'!F20</f>
        <v>36608309</v>
      </c>
      <c r="G172" s="18">
        <f>'4 - Income Statement'!G20</f>
        <v>59988006</v>
      </c>
      <c r="H172" s="18">
        <f>'4 - Income Statement'!H20</f>
        <v>104197110</v>
      </c>
      <c r="I172" s="95" t="s">
        <v>448</v>
      </c>
    </row>
    <row r="173" spans="3:9" x14ac:dyDescent="0.2">
      <c r="C173" t="s">
        <v>265</v>
      </c>
      <c r="D173" s="45">
        <f t="shared" ref="D173:I173" si="10">(D171-D172)/D172</f>
        <v>-0.99988945567712217</v>
      </c>
      <c r="E173" s="45">
        <f t="shared" si="10"/>
        <v>-0.9998926642198821</v>
      </c>
      <c r="F173" s="45">
        <f t="shared" si="10"/>
        <v>-0.99982244468052317</v>
      </c>
      <c r="G173" s="45">
        <f t="shared" si="10"/>
        <v>-0.99984997000900477</v>
      </c>
      <c r="H173" s="45">
        <f t="shared" si="10"/>
        <v>-0.9999107460849922</v>
      </c>
      <c r="I173" s="45" t="e">
        <f t="shared" si="10"/>
        <v>#VALUE!</v>
      </c>
    </row>
    <row r="174" spans="3:9" x14ac:dyDescent="0.2">
      <c r="D174" s="18"/>
      <c r="E174" s="18"/>
      <c r="F174" s="18"/>
      <c r="G174" s="18"/>
    </row>
    <row r="175" spans="3:9" x14ac:dyDescent="0.2">
      <c r="C175" s="4" t="s">
        <v>308</v>
      </c>
      <c r="D175" s="18"/>
      <c r="E175" s="18"/>
      <c r="F175" s="18"/>
      <c r="G175" s="18"/>
    </row>
    <row r="176" spans="3:9" x14ac:dyDescent="0.2">
      <c r="C176" t="s">
        <v>309</v>
      </c>
      <c r="D176" s="16">
        <v>3450</v>
      </c>
      <c r="E176" s="16">
        <v>4400</v>
      </c>
      <c r="F176" s="16">
        <v>6250</v>
      </c>
      <c r="G176" s="16">
        <v>7500</v>
      </c>
      <c r="H176" s="16">
        <v>7900</v>
      </c>
      <c r="I176" s="18">
        <f>'16 - Final Budgets'!D80</f>
        <v>105045405.5499633</v>
      </c>
    </row>
    <row r="177" spans="3:9" x14ac:dyDescent="0.2">
      <c r="C177" t="s">
        <v>310</v>
      </c>
      <c r="D177" s="18">
        <f>'3 - Balance Sheet'!D7</f>
        <v>98241331</v>
      </c>
      <c r="E177" s="18">
        <f>'3 - Balance Sheet'!E7</f>
        <v>113549197</v>
      </c>
      <c r="F177" s="18">
        <f>'3 - Balance Sheet'!F7</f>
        <v>166085580</v>
      </c>
      <c r="G177" s="18">
        <f>'3 - Balance Sheet'!G7</f>
        <v>314092754</v>
      </c>
      <c r="H177" s="18">
        <f>'3 - Balance Sheet'!H7</f>
        <v>438368195</v>
      </c>
      <c r="I177" s="95" t="s">
        <v>448</v>
      </c>
    </row>
    <row r="178" spans="3:9" x14ac:dyDescent="0.2">
      <c r="C178" t="s">
        <v>265</v>
      </c>
      <c r="D178" s="45">
        <f t="shared" ref="D178:I178" si="11">(D176-D177)/D177</f>
        <v>-0.99996488239761327</v>
      </c>
      <c r="E178" s="45">
        <f t="shared" si="11"/>
        <v>-0.99996125027638905</v>
      </c>
      <c r="F178" s="45">
        <f t="shared" si="11"/>
        <v>-0.99996236879806177</v>
      </c>
      <c r="G178" s="45">
        <f t="shared" si="11"/>
        <v>-0.99997612170320871</v>
      </c>
      <c r="H178" s="45">
        <f t="shared" si="11"/>
        <v>-0.99998197861959393</v>
      </c>
      <c r="I178" s="45" t="e">
        <f t="shared" si="11"/>
        <v>#VALUE!</v>
      </c>
    </row>
    <row r="179" spans="3:9" x14ac:dyDescent="0.2">
      <c r="D179" s="18"/>
      <c r="E179" s="18"/>
      <c r="F179" s="18"/>
      <c r="G179" s="18"/>
    </row>
    <row r="180" spans="3:9" x14ac:dyDescent="0.2">
      <c r="C180" t="s">
        <v>311</v>
      </c>
      <c r="D180" s="16">
        <v>10900</v>
      </c>
      <c r="E180" s="16">
        <v>14000</v>
      </c>
      <c r="F180" s="16">
        <v>22000</v>
      </c>
      <c r="G180" s="16">
        <v>27500</v>
      </c>
      <c r="H180" s="13">
        <v>29500</v>
      </c>
      <c r="I180" s="18">
        <f>'16 - Final Budgets'!D88</f>
        <v>404920098</v>
      </c>
    </row>
    <row r="181" spans="3:9" x14ac:dyDescent="0.2">
      <c r="C181" t="s">
        <v>312</v>
      </c>
      <c r="D181" s="18">
        <f>'3 - Balance Sheet'!D14</f>
        <v>79998547</v>
      </c>
      <c r="E181" s="18">
        <f>'3 - Balance Sheet'!E14</f>
        <v>196231963</v>
      </c>
      <c r="F181" s="18">
        <f>'3 - Balance Sheet'!F14</f>
        <v>235157994</v>
      </c>
      <c r="G181" s="18">
        <f>'3 - Balance Sheet'!G14</f>
        <v>359264344</v>
      </c>
      <c r="H181" s="18">
        <f>'3 - Balance Sheet'!H14</f>
        <v>404911868</v>
      </c>
      <c r="I181" s="95" t="s">
        <v>448</v>
      </c>
    </row>
    <row r="182" spans="3:9" x14ac:dyDescent="0.2">
      <c r="C182" t="s">
        <v>265</v>
      </c>
      <c r="D182" s="45">
        <f t="shared" ref="D182:I182" si="12">(D180-D181)/D181</f>
        <v>-0.99986374752531448</v>
      </c>
      <c r="E182" s="45">
        <f t="shared" si="12"/>
        <v>-0.99992865586326529</v>
      </c>
      <c r="F182" s="45">
        <f t="shared" si="12"/>
        <v>-0.99990644587655397</v>
      </c>
      <c r="G182" s="45">
        <f t="shared" si="12"/>
        <v>-0.99992345469162391</v>
      </c>
      <c r="H182" s="45">
        <f t="shared" si="12"/>
        <v>-0.99992714463978116</v>
      </c>
      <c r="I182" s="45" t="e">
        <f t="shared" si="12"/>
        <v>#VALUE!</v>
      </c>
    </row>
    <row r="183" spans="3:9" x14ac:dyDescent="0.2">
      <c r="D183" s="18"/>
      <c r="E183" s="18"/>
      <c r="F183" s="18"/>
      <c r="G183" s="18"/>
    </row>
    <row r="184" spans="3:9" x14ac:dyDescent="0.2">
      <c r="C184" t="s">
        <v>319</v>
      </c>
      <c r="D184" s="16">
        <v>3750</v>
      </c>
      <c r="E184" s="16">
        <v>5600</v>
      </c>
      <c r="F184" s="16">
        <v>8200</v>
      </c>
      <c r="G184" s="16">
        <v>9050</v>
      </c>
      <c r="H184" s="16">
        <v>9400</v>
      </c>
      <c r="I184" s="18">
        <f>'16 - Final Budgets'!D96</f>
        <v>10715</v>
      </c>
    </row>
    <row r="185" spans="3:9" x14ac:dyDescent="0.2">
      <c r="C185" t="s">
        <v>320</v>
      </c>
      <c r="D185" s="18">
        <f>'3 - Balance Sheet'!D20</f>
        <v>97452711</v>
      </c>
      <c r="E185" s="18">
        <f>'3 - Balance Sheet'!E20</f>
        <v>159592314</v>
      </c>
      <c r="F185" s="18">
        <f>'3 - Balance Sheet'!F20</f>
        <v>233801946</v>
      </c>
      <c r="G185" s="18">
        <f>'3 - Balance Sheet'!G20</f>
        <v>410902413</v>
      </c>
      <c r="H185" s="18">
        <f>'3 - Balance Sheet'!H20</f>
        <v>358686095</v>
      </c>
      <c r="I185" s="95" t="s">
        <v>448</v>
      </c>
    </row>
    <row r="186" spans="3:9" x14ac:dyDescent="0.2">
      <c r="C186" t="s">
        <v>265</v>
      </c>
      <c r="D186" s="45">
        <f t="shared" ref="D186:I186" si="13">(D184-D185)/D185</f>
        <v>-0.99996151979804848</v>
      </c>
      <c r="E186" s="45">
        <f t="shared" si="13"/>
        <v>-0.99996491059086967</v>
      </c>
      <c r="F186" s="45">
        <f t="shared" si="13"/>
        <v>-0.99996492758020072</v>
      </c>
      <c r="G186" s="45">
        <f t="shared" si="13"/>
        <v>-0.99997797530578147</v>
      </c>
      <c r="H186" s="45">
        <f t="shared" si="13"/>
        <v>-0.99997379324113467</v>
      </c>
      <c r="I186" s="45" t="e">
        <f t="shared" si="13"/>
        <v>#VALUE!</v>
      </c>
    </row>
    <row r="187" spans="3:9" x14ac:dyDescent="0.2">
      <c r="D187" s="18"/>
      <c r="E187" s="18"/>
      <c r="F187" s="18"/>
      <c r="G187" s="18"/>
    </row>
    <row r="188" spans="3:9" x14ac:dyDescent="0.2">
      <c r="C188" t="s">
        <v>313</v>
      </c>
      <c r="D188" s="16">
        <v>1750</v>
      </c>
      <c r="E188" s="16">
        <v>2450</v>
      </c>
      <c r="F188" s="16">
        <v>3750</v>
      </c>
      <c r="G188" s="16">
        <v>4900</v>
      </c>
      <c r="H188" s="16">
        <v>5100</v>
      </c>
      <c r="I188" s="18">
        <f>'16 - Final Budgets'!D100</f>
        <v>155338585</v>
      </c>
    </row>
    <row r="189" spans="3:9" x14ac:dyDescent="0.2">
      <c r="C189" t="s">
        <v>314</v>
      </c>
      <c r="D189" s="18">
        <f>'3 - Balance Sheet'!D23</f>
        <v>1732280</v>
      </c>
      <c r="E189" s="18">
        <f>'3 - Balance Sheet'!E23</f>
        <v>32936072</v>
      </c>
      <c r="F189" s="18">
        <f>'3 - Balance Sheet'!F23</f>
        <v>53580546</v>
      </c>
      <c r="G189" s="18">
        <f>'3 - Balance Sheet'!G23</f>
        <v>43605597</v>
      </c>
      <c r="H189" s="18">
        <f>'3 - Balance Sheet'!H23</f>
        <v>163599556</v>
      </c>
      <c r="I189" s="95" t="s">
        <v>448</v>
      </c>
    </row>
    <row r="190" spans="3:9" x14ac:dyDescent="0.2">
      <c r="C190" t="s">
        <v>265</v>
      </c>
      <c r="D190" s="45">
        <f t="shared" ref="D190:I190" si="14">(D188-D189)/D189</f>
        <v>-0.99898977070681416</v>
      </c>
      <c r="E190" s="45">
        <f t="shared" si="14"/>
        <v>-0.99992561347327635</v>
      </c>
      <c r="F190" s="45">
        <f t="shared" si="14"/>
        <v>-0.99993001191141273</v>
      </c>
      <c r="G190" s="45">
        <f t="shared" si="14"/>
        <v>-0.99988762910412621</v>
      </c>
      <c r="H190" s="45">
        <f t="shared" si="14"/>
        <v>-0.9999688263212646</v>
      </c>
      <c r="I190" s="45" t="e">
        <f t="shared" si="14"/>
        <v>#VALUE!</v>
      </c>
    </row>
    <row r="191" spans="3:9" x14ac:dyDescent="0.2">
      <c r="D191" s="18"/>
      <c r="E191" s="18"/>
      <c r="F191" s="18"/>
      <c r="G191" s="18"/>
    </row>
    <row r="192" spans="3:9" x14ac:dyDescent="0.2">
      <c r="C192" s="4" t="s">
        <v>317</v>
      </c>
      <c r="D192" s="18"/>
      <c r="E192" s="18"/>
      <c r="F192" s="18"/>
      <c r="G192" s="18"/>
    </row>
    <row r="193" spans="3:9" x14ac:dyDescent="0.2">
      <c r="C193" t="s">
        <v>318</v>
      </c>
      <c r="D193" s="60">
        <f>D176/D184</f>
        <v>0.92</v>
      </c>
      <c r="E193" s="60">
        <f>E176/E184</f>
        <v>0.7857142857142857</v>
      </c>
      <c r="F193" s="60">
        <f>F176/F184</f>
        <v>0.76219512195121952</v>
      </c>
      <c r="G193" s="60">
        <f>G176/G184</f>
        <v>0.82872928176795579</v>
      </c>
      <c r="H193" s="38">
        <v>0.8</v>
      </c>
      <c r="I193" s="94">
        <f>I176/I184</f>
        <v>9803.5842790446386</v>
      </c>
    </row>
    <row r="194" spans="3:9" x14ac:dyDescent="0.2">
      <c r="C194" t="s">
        <v>321</v>
      </c>
      <c r="D194" s="36">
        <f>'7 - Ratio Analysis'!F12</f>
        <v>1.0080923351634621</v>
      </c>
      <c r="E194" s="36">
        <f>'7 - Ratio Analysis'!G12</f>
        <v>0.71149539820570562</v>
      </c>
      <c r="F194" s="36">
        <f>'7 - Ratio Analysis'!H12</f>
        <v>0.71036868102030259</v>
      </c>
      <c r="G194" s="36">
        <f>'7 - Ratio Analysis'!I12</f>
        <v>0.76439744343871741</v>
      </c>
      <c r="H194" s="36">
        <f>'7 - Ratio Analysis'!J12</f>
        <v>1.2221499553809021</v>
      </c>
      <c r="I194" s="95" t="s">
        <v>448</v>
      </c>
    </row>
    <row r="195" spans="3:9" x14ac:dyDescent="0.2">
      <c r="C195" t="s">
        <v>265</v>
      </c>
      <c r="D195" s="45">
        <f t="shared" ref="D195:I195" si="15">(D193-D194)/D194</f>
        <v>-8.7385184958457082E-2</v>
      </c>
      <c r="E195" s="45">
        <f t="shared" si="15"/>
        <v>0.10431393891759524</v>
      </c>
      <c r="F195" s="45">
        <f t="shared" si="15"/>
        <v>7.2957102861683887E-2</v>
      </c>
      <c r="G195" s="45">
        <f t="shared" si="15"/>
        <v>8.4160195565065293E-2</v>
      </c>
      <c r="H195" s="45">
        <f t="shared" si="15"/>
        <v>-0.34541584158494892</v>
      </c>
      <c r="I195" s="45" t="e">
        <f t="shared" si="15"/>
        <v>#VALUE!</v>
      </c>
    </row>
    <row r="197" spans="3:9" x14ac:dyDescent="0.2">
      <c r="C197" t="s">
        <v>323</v>
      </c>
      <c r="D197" s="38">
        <v>0.68</v>
      </c>
      <c r="E197" s="38">
        <v>0.72</v>
      </c>
      <c r="F197" s="38">
        <v>0.8</v>
      </c>
      <c r="G197" s="38">
        <v>0.8</v>
      </c>
      <c r="H197" s="6">
        <v>0.79</v>
      </c>
      <c r="I197" s="36">
        <f>I159/(I176+I180)</f>
        <v>5.9807966985382173E-5</v>
      </c>
    </row>
    <row r="198" spans="3:9" x14ac:dyDescent="0.2">
      <c r="C198" t="s">
        <v>322</v>
      </c>
      <c r="D198" s="40">
        <f>'7 - Ratio Analysis'!F58</f>
        <v>2.2857852775235852</v>
      </c>
      <c r="E198" s="40">
        <f>'7 - Ratio Analysis'!G58</f>
        <v>1.0257325752153552</v>
      </c>
      <c r="F198" s="40">
        <f>'7 - Ratio Analysis'!H58</f>
        <v>0.88407989556986655</v>
      </c>
      <c r="G198" s="40">
        <f>'7 - Ratio Analysis'!I58</f>
        <v>0.81599766844664645</v>
      </c>
      <c r="H198" s="40">
        <f>'7 - Ratio Analysis'!J58</f>
        <v>0.92363992364420455</v>
      </c>
      <c r="I198" s="95" t="s">
        <v>448</v>
      </c>
    </row>
    <row r="199" spans="3:9" x14ac:dyDescent="0.2">
      <c r="C199" t="s">
        <v>265</v>
      </c>
      <c r="D199" s="45">
        <f t="shared" ref="D199:I199" si="16">(D197-D198)/D198</f>
        <v>-0.70250923974070267</v>
      </c>
      <c r="E199" s="45">
        <f t="shared" si="16"/>
        <v>-0.29806265551346645</v>
      </c>
      <c r="F199" s="45">
        <f t="shared" si="16"/>
        <v>-9.5104408539535543E-2</v>
      </c>
      <c r="G199" s="45">
        <f t="shared" si="16"/>
        <v>-1.960504185888174E-2</v>
      </c>
      <c r="H199" s="45">
        <f t="shared" si="16"/>
        <v>-0.14468833603135151</v>
      </c>
      <c r="I199" s="45" t="e">
        <f t="shared" si="16"/>
        <v>#VALUE!</v>
      </c>
    </row>
    <row r="201" spans="3:9" x14ac:dyDescent="0.2">
      <c r="C201" t="s">
        <v>324</v>
      </c>
      <c r="D201" s="46">
        <v>0.6</v>
      </c>
      <c r="E201" s="46">
        <v>0.6</v>
      </c>
      <c r="F201" s="46">
        <v>0.6</v>
      </c>
      <c r="G201" s="46">
        <v>0.6</v>
      </c>
      <c r="H201" s="46">
        <v>0.6</v>
      </c>
      <c r="I201" s="87">
        <f>('16 - Final Budgets'!D16+'16 - Final Budgets'!D17)/'16 - Final Budgets'!D16</f>
        <v>0.20204337703341727</v>
      </c>
    </row>
    <row r="202" spans="3:9" x14ac:dyDescent="0.2">
      <c r="C202" t="s">
        <v>325</v>
      </c>
      <c r="D202" s="45" t="e">
        <f>'7 - Ratio Analysis'!F63</f>
        <v>#REF!</v>
      </c>
      <c r="E202" s="45" t="e">
        <f>'7 - Ratio Analysis'!G63</f>
        <v>#REF!</v>
      </c>
      <c r="F202" s="45" t="e">
        <f>'7 - Ratio Analysis'!H63</f>
        <v>#REF!</v>
      </c>
      <c r="G202" s="45" t="e">
        <f>'7 - Ratio Analysis'!I63</f>
        <v>#REF!</v>
      </c>
      <c r="H202" s="45" t="e">
        <f>'7 - Ratio Analysis'!J63</f>
        <v>#REF!</v>
      </c>
      <c r="I202" s="95" t="s">
        <v>448</v>
      </c>
    </row>
    <row r="203" spans="3:9" x14ac:dyDescent="0.2">
      <c r="C203" t="s">
        <v>265</v>
      </c>
      <c r="D203" s="45" t="e">
        <f t="shared" ref="D203:I203" si="17">(D201-D202)/D202</f>
        <v>#REF!</v>
      </c>
      <c r="E203" s="45" t="e">
        <f t="shared" si="17"/>
        <v>#REF!</v>
      </c>
      <c r="F203" s="45" t="e">
        <f t="shared" si="17"/>
        <v>#REF!</v>
      </c>
      <c r="G203" s="45" t="e">
        <f t="shared" si="17"/>
        <v>#REF!</v>
      </c>
      <c r="H203" s="45" t="e">
        <f t="shared" si="17"/>
        <v>#REF!</v>
      </c>
      <c r="I203" s="45" t="e">
        <f t="shared" si="17"/>
        <v>#VALUE!</v>
      </c>
    </row>
    <row r="205" spans="3:9" x14ac:dyDescent="0.2">
      <c r="C205" t="s">
        <v>326</v>
      </c>
      <c r="D205" s="46">
        <v>0.19</v>
      </c>
      <c r="E205" s="46">
        <v>0.25</v>
      </c>
      <c r="F205" s="46">
        <v>0.28000000000000003</v>
      </c>
      <c r="G205" s="46">
        <v>0.3</v>
      </c>
      <c r="H205" s="46">
        <v>0.28000000000000003</v>
      </c>
      <c r="I205" s="45">
        <f>I171/I159</f>
        <v>1.5018031584136985E-2</v>
      </c>
    </row>
    <row r="206" spans="3:9" x14ac:dyDescent="0.2">
      <c r="C206" t="s">
        <v>327</v>
      </c>
      <c r="D206" s="45">
        <f>'7 - Ratio Analysis'!F67</f>
        <v>4.5462850412110345E-2</v>
      </c>
      <c r="E206" s="45">
        <f>'7 - Ratio Analysis'!G67</f>
        <v>0.11986047318530689</v>
      </c>
      <c r="F206" s="45">
        <f>'7 - Ratio Analysis'!H67</f>
        <v>0.1028278446644366</v>
      </c>
      <c r="G206" s="45">
        <f>'7 - Ratio Analysis'!I67</f>
        <v>0.10745149574265495</v>
      </c>
      <c r="H206" s="45">
        <f>'7 - Ratio Analysis'!J67</f>
        <v>0.13354567719121832</v>
      </c>
      <c r="I206" s="95" t="s">
        <v>448</v>
      </c>
    </row>
    <row r="207" spans="3:9" x14ac:dyDescent="0.2">
      <c r="C207" t="s">
        <v>265</v>
      </c>
      <c r="D207" s="45">
        <f t="shared" ref="D207:I207" si="18">(D205-D206)/D206</f>
        <v>3.1792364156161228</v>
      </c>
      <c r="E207" s="45">
        <f t="shared" si="18"/>
        <v>1.085758493656992</v>
      </c>
      <c r="F207" s="45">
        <f t="shared" si="18"/>
        <v>1.7229978505699348</v>
      </c>
      <c r="G207" s="45">
        <f t="shared" si="18"/>
        <v>1.7919574122867161</v>
      </c>
      <c r="H207" s="45">
        <f t="shared" si="18"/>
        <v>1.096660902015421</v>
      </c>
      <c r="I207" s="45" t="e">
        <f t="shared" si="18"/>
        <v>#VALUE!</v>
      </c>
    </row>
    <row r="209" spans="3:9" x14ac:dyDescent="0.2">
      <c r="C209" t="s">
        <v>328</v>
      </c>
      <c r="D209" s="42">
        <v>0.45</v>
      </c>
      <c r="E209" s="42">
        <v>0.5</v>
      </c>
      <c r="F209" s="42">
        <v>0.6</v>
      </c>
      <c r="G209" s="42">
        <v>0.65</v>
      </c>
      <c r="H209" s="6">
        <v>0.55000000000000004</v>
      </c>
      <c r="I209" s="87">
        <f>'16 - Final Budgets'!D102/SUM(budgetcommonequity)</f>
        <v>0.48396193987716885</v>
      </c>
    </row>
    <row r="210" spans="3:9" x14ac:dyDescent="0.2">
      <c r="C210" t="s">
        <v>329</v>
      </c>
      <c r="D210" s="87">
        <f>'7 - Ratio Analysis'!F81</f>
        <v>1.254634530057579</v>
      </c>
      <c r="E210" s="87">
        <f>'7 - Ratio Analysis'!G81</f>
        <v>1.6419942951626885</v>
      </c>
      <c r="F210" s="87">
        <f>'7 - Ratio Analysis'!H81</f>
        <v>2.5239747150830696</v>
      </c>
      <c r="G210" s="87">
        <f>'7 - Ratio Analysis'!I81</f>
        <v>2.0768101624439943</v>
      </c>
      <c r="H210" s="87">
        <f>'7 - Ratio Analysis'!J81</f>
        <v>1.6270864272864662</v>
      </c>
      <c r="I210" s="95" t="s">
        <v>448</v>
      </c>
    </row>
    <row r="211" spans="3:9" x14ac:dyDescent="0.2">
      <c r="C211" t="s">
        <v>265</v>
      </c>
      <c r="D211" s="45">
        <f t="shared" ref="D211:I211" si="19">(D209-D210)/D210</f>
        <v>-0.64132981420545787</v>
      </c>
      <c r="E211" s="45">
        <f t="shared" si="19"/>
        <v>-0.69549224289451017</v>
      </c>
      <c r="F211" s="45">
        <f t="shared" si="19"/>
        <v>-0.76227971048424203</v>
      </c>
      <c r="G211" s="45">
        <f t="shared" si="19"/>
        <v>-0.68702002149533081</v>
      </c>
      <c r="H211" s="45">
        <f t="shared" si="19"/>
        <v>-0.66197247375651147</v>
      </c>
      <c r="I211" s="45" t="e">
        <f t="shared" si="19"/>
        <v>#VALUE!</v>
      </c>
    </row>
    <row r="213" spans="3:9" x14ac:dyDescent="0.2">
      <c r="C213" t="s">
        <v>330</v>
      </c>
      <c r="D213" s="46">
        <v>0.2</v>
      </c>
      <c r="E213" s="46">
        <v>0.28999999999999998</v>
      </c>
      <c r="F213" s="46">
        <v>0.32</v>
      </c>
      <c r="G213" s="46">
        <v>0.35</v>
      </c>
      <c r="H213" s="46">
        <v>0.3</v>
      </c>
      <c r="I213" s="45">
        <f>I171/SUM(budgetcommonequity)</f>
        <v>1.4269697308398786E-6</v>
      </c>
    </row>
    <row r="214" spans="3:9" x14ac:dyDescent="0.2">
      <c r="C214" t="s">
        <v>331</v>
      </c>
      <c r="D214" s="45" t="e">
        <f>'7 - Ratio Analysis'!F76</f>
        <v>#REF!</v>
      </c>
      <c r="E214" s="45" t="e">
        <f>'7 - Ratio Analysis'!G76</f>
        <v>#REF!</v>
      </c>
      <c r="F214" s="45" t="e">
        <f>'7 - Ratio Analysis'!H76</f>
        <v>#REF!</v>
      </c>
      <c r="G214" s="45" t="e">
        <f>'7 - Ratio Analysis'!I76</f>
        <v>#REF!</v>
      </c>
      <c r="H214" s="45" t="e">
        <f>'7 - Ratio Analysis'!J76</f>
        <v>#REF!</v>
      </c>
      <c r="I214" s="95" t="s">
        <v>448</v>
      </c>
    </row>
    <row r="215" spans="3:9" x14ac:dyDescent="0.2">
      <c r="C215" t="s">
        <v>265</v>
      </c>
      <c r="D215" s="45" t="e">
        <f t="shared" ref="D215:I215" si="20">(D213-D214)/D214</f>
        <v>#REF!</v>
      </c>
      <c r="E215" s="45" t="e">
        <f t="shared" si="20"/>
        <v>#REF!</v>
      </c>
      <c r="F215" s="45" t="e">
        <f t="shared" si="20"/>
        <v>#REF!</v>
      </c>
      <c r="G215" s="45" t="e">
        <f t="shared" si="20"/>
        <v>#REF!</v>
      </c>
      <c r="H215" s="45" t="e">
        <f t="shared" si="20"/>
        <v>#REF!</v>
      </c>
      <c r="I215" s="45" t="e">
        <f t="shared" si="20"/>
        <v>#VALUE!</v>
      </c>
    </row>
    <row r="218" spans="3:9" x14ac:dyDescent="0.2">
      <c r="C218" t="s">
        <v>510</v>
      </c>
    </row>
    <row r="220" spans="3:9" x14ac:dyDescent="0.2">
      <c r="C220" t="s">
        <v>511</v>
      </c>
    </row>
    <row r="221" spans="3:9" x14ac:dyDescent="0.2">
      <c r="C221" t="s">
        <v>518</v>
      </c>
    </row>
    <row r="223" spans="3:9" x14ac:dyDescent="0.2">
      <c r="C223" t="s">
        <v>512</v>
      </c>
    </row>
    <row r="224" spans="3:9" x14ac:dyDescent="0.2">
      <c r="C224" t="s">
        <v>513</v>
      </c>
    </row>
    <row r="225" spans="3:10" x14ac:dyDescent="0.2">
      <c r="C225" t="s">
        <v>519</v>
      </c>
    </row>
    <row r="227" spans="3:10" x14ac:dyDescent="0.2">
      <c r="C227" t="s">
        <v>531</v>
      </c>
    </row>
    <row r="228" spans="3:10" x14ac:dyDescent="0.2">
      <c r="C228" t="s">
        <v>532</v>
      </c>
    </row>
    <row r="229" spans="3:10" x14ac:dyDescent="0.2">
      <c r="C229" t="s">
        <v>533</v>
      </c>
      <c r="J229" s="26" t="s">
        <v>529</v>
      </c>
    </row>
    <row r="230" spans="3:10" x14ac:dyDescent="0.2">
      <c r="D230" s="26"/>
      <c r="E230" s="26" t="s">
        <v>489</v>
      </c>
      <c r="F230" s="26" t="s">
        <v>517</v>
      </c>
      <c r="G230" s="26"/>
      <c r="H230" s="26"/>
      <c r="I230" s="26" t="s">
        <v>515</v>
      </c>
      <c r="J230" s="26" t="s">
        <v>528</v>
      </c>
    </row>
    <row r="231" spans="3:10" x14ac:dyDescent="0.2">
      <c r="C231" t="s">
        <v>514</v>
      </c>
      <c r="D231" s="26" t="s">
        <v>801</v>
      </c>
      <c r="E231" s="26" t="s">
        <v>120</v>
      </c>
      <c r="F231" s="26" t="s">
        <v>120</v>
      </c>
      <c r="G231" s="26" t="s">
        <v>515</v>
      </c>
      <c r="H231" s="26" t="s">
        <v>516</v>
      </c>
      <c r="I231" s="26" t="s">
        <v>520</v>
      </c>
      <c r="J231" s="26" t="s">
        <v>530</v>
      </c>
    </row>
    <row r="232" spans="3:10" x14ac:dyDescent="0.2">
      <c r="C232" t="s">
        <v>524</v>
      </c>
      <c r="D232">
        <v>1996</v>
      </c>
      <c r="E232" s="18">
        <f>D160</f>
        <v>417855564</v>
      </c>
      <c r="F232" s="18">
        <f>D159</f>
        <v>10500</v>
      </c>
      <c r="G232" s="18">
        <f>E232-F232</f>
        <v>417845064</v>
      </c>
      <c r="H232" s="18">
        <f t="shared" ref="H232:H237" si="21">ABS(G232)</f>
        <v>417845064</v>
      </c>
      <c r="I232" s="18">
        <f t="shared" ref="I232:I237" si="22">H232^2</f>
        <v>1.745944975091641E+17</v>
      </c>
      <c r="J232" s="26" t="str">
        <f t="shared" ref="J232:J237" si="23">IF(H232&lt;=$H$242,"No","Yes")</f>
        <v>No</v>
      </c>
    </row>
    <row r="233" spans="3:10" x14ac:dyDescent="0.2">
      <c r="D233">
        <v>1997</v>
      </c>
      <c r="E233" s="18">
        <f>E160</f>
        <v>318686269</v>
      </c>
      <c r="F233" s="18">
        <f>E159</f>
        <v>14500</v>
      </c>
      <c r="G233" s="18">
        <f>E233-F233</f>
        <v>318671769</v>
      </c>
      <c r="H233" s="18">
        <f t="shared" si="21"/>
        <v>318671769</v>
      </c>
      <c r="I233" s="18">
        <f t="shared" si="22"/>
        <v>1.0155169635758936E+17</v>
      </c>
      <c r="J233" s="26" t="str">
        <f t="shared" si="23"/>
        <v>No</v>
      </c>
    </row>
    <row r="234" spans="3:10" x14ac:dyDescent="0.2">
      <c r="D234">
        <v>1998</v>
      </c>
      <c r="E234" s="18">
        <f>F160</f>
        <v>356015524</v>
      </c>
      <c r="F234" s="18">
        <f>F159</f>
        <v>22500</v>
      </c>
      <c r="G234" s="18">
        <f>E234-F234</f>
        <v>355993024</v>
      </c>
      <c r="H234" s="18">
        <f t="shared" si="21"/>
        <v>355993024</v>
      </c>
      <c r="I234" s="18">
        <f t="shared" si="22"/>
        <v>1.2673103313666458E+17</v>
      </c>
      <c r="J234" s="26" t="str">
        <f t="shared" si="23"/>
        <v>No</v>
      </c>
    </row>
    <row r="235" spans="3:10" x14ac:dyDescent="0.2">
      <c r="D235">
        <v>1999</v>
      </c>
      <c r="E235" s="18">
        <f>G160</f>
        <v>558279860</v>
      </c>
      <c r="F235" s="18">
        <f>G159</f>
        <v>28500</v>
      </c>
      <c r="G235" s="18">
        <f>E235-F235</f>
        <v>558251360</v>
      </c>
      <c r="H235" s="18">
        <f t="shared" si="21"/>
        <v>558251360</v>
      </c>
      <c r="I235" s="18">
        <f t="shared" si="22"/>
        <v>3.116445809418496E+17</v>
      </c>
      <c r="J235" s="26" t="str">
        <f t="shared" si="23"/>
        <v>No</v>
      </c>
    </row>
    <row r="236" spans="3:10" x14ac:dyDescent="0.2">
      <c r="D236">
        <v>2000</v>
      </c>
      <c r="E236" s="18">
        <f>H160</f>
        <v>780235738</v>
      </c>
      <c r="F236" s="18">
        <f>H159</f>
        <v>30000</v>
      </c>
      <c r="G236" s="18">
        <f>E236-F236</f>
        <v>780205738</v>
      </c>
      <c r="H236" s="18">
        <f t="shared" si="21"/>
        <v>780205738</v>
      </c>
      <c r="I236" s="18">
        <f t="shared" si="22"/>
        <v>6.0872099360812467E+17</v>
      </c>
      <c r="J236" s="26" t="str">
        <f t="shared" si="23"/>
        <v>No</v>
      </c>
    </row>
    <row r="237" spans="3:10" x14ac:dyDescent="0.2">
      <c r="C237" s="98" t="s">
        <v>526</v>
      </c>
      <c r="D237">
        <v>5</v>
      </c>
      <c r="F237" t="s">
        <v>521</v>
      </c>
      <c r="G237" s="18">
        <f>SUM(G232:G236)</f>
        <v>2430966955</v>
      </c>
      <c r="H237" s="18">
        <f t="shared" si="21"/>
        <v>2430966955</v>
      </c>
      <c r="I237" s="18">
        <f t="shared" si="22"/>
        <v>5.9096003363019725E+18</v>
      </c>
      <c r="J237" s="26" t="str">
        <f t="shared" si="23"/>
        <v>Yes</v>
      </c>
    </row>
    <row r="238" spans="3:10" x14ac:dyDescent="0.2">
      <c r="G238" s="18"/>
      <c r="H238" s="18"/>
      <c r="I238" s="18"/>
    </row>
    <row r="239" spans="3:10" x14ac:dyDescent="0.2">
      <c r="F239" t="s">
        <v>523</v>
      </c>
      <c r="G239" s="18"/>
      <c r="H239" s="18">
        <f>H237/D237</f>
        <v>486193391</v>
      </c>
      <c r="I239" s="18"/>
    </row>
    <row r="240" spans="3:10" x14ac:dyDescent="0.2">
      <c r="F240" t="s">
        <v>522</v>
      </c>
      <c r="G240" s="18"/>
      <c r="H240" s="18">
        <f>I237/D237</f>
        <v>1.1819200672603945E+18</v>
      </c>
      <c r="I240" s="18"/>
    </row>
    <row r="241" spans="3:8" x14ac:dyDescent="0.2">
      <c r="F241" t="s">
        <v>525</v>
      </c>
      <c r="H241" s="15">
        <f>SQRT(H240)</f>
        <v>1087161472.4871345</v>
      </c>
    </row>
    <row r="242" spans="3:8" x14ac:dyDescent="0.2">
      <c r="F242" t="s">
        <v>527</v>
      </c>
      <c r="H242" s="15">
        <f>H241</f>
        <v>1087161472.4871345</v>
      </c>
    </row>
    <row r="244" spans="3:8" x14ac:dyDescent="0.2">
      <c r="C244" t="s">
        <v>788</v>
      </c>
    </row>
  </sheetData>
  <customSheetViews>
    <customSheetView guid="{250789E3-B657-4A6D-AD7D-7EE7A7132AFA}" showRuler="0" topLeftCell="A27">
      <selection activeCell="H23" sqref="H23"/>
      <pageMargins left="0.75" right="0.75" top="1" bottom="1" header="0.5" footer="0.5"/>
      <headerFooter alignWithMargins="0"/>
    </customSheetView>
  </customSheetViews>
  <phoneticPr fontId="0" type="noConversion"/>
  <hyperlinks>
    <hyperlink ref="A2" location="'3 - Balance Sheet'!A1" display="Wksh3" xr:uid="{00000000-0004-0000-0E00-000000000000}"/>
    <hyperlink ref="B2" location="'4 - Income Statement'!A1" display="Wksh4" xr:uid="{00000000-0004-0000-0E00-000001000000}"/>
    <hyperlink ref="B3" location="'6 - Key Financials'!A1" display="Wksh6" xr:uid="{00000000-0004-0000-0E00-000002000000}"/>
    <hyperlink ref="A3" location="'5 - Cash Flow'!A1" display="Wksh5" xr:uid="{00000000-0004-0000-0E00-000003000000}"/>
    <hyperlink ref="A4" location="'7 - Ratio Analysis'!A1" display="Wksh7" xr:uid="{00000000-0004-0000-0E00-000004000000}"/>
    <hyperlink ref="A5" location="'9 - Horizontal Analysis'!A1" display="Wksh9" xr:uid="{00000000-0004-0000-0E00-000005000000}"/>
    <hyperlink ref="B5" location="'10 - Vertical Analysis'!A1" display="Wksh10" xr:uid="{00000000-0004-0000-0E00-000006000000}"/>
    <hyperlink ref="A6" location="'11 - Pro Forma (Simple)'!A1" display="Wksh11" xr:uid="{00000000-0004-0000-0E00-000007000000}"/>
    <hyperlink ref="B6" location="'12 - Pro Forma (Linear) '!A1" display="Wksh12" xr:uid="{00000000-0004-0000-0E00-000008000000}"/>
    <hyperlink ref="B7" location="'14 - Scenario Analysis'!A1" display="Wksh14" xr:uid="{00000000-0004-0000-0E00-000009000000}"/>
    <hyperlink ref="A7" location="'13 - Pro Forma (Exp)'!A1" display="Wksh13" xr:uid="{00000000-0004-0000-0E00-00000A000000}"/>
    <hyperlink ref="B4" location="'8 - Benchmark Analysis'!A1" display="Wksh8" xr:uid="{00000000-0004-0000-0E00-00000B000000}"/>
    <hyperlink ref="B8" location="'16 - Final Budgets'!A1" display="Wksh16" xr:uid="{00000000-0004-0000-0E00-00000C000000}"/>
    <hyperlink ref="A1" location="'1 - Control Menu'!A1" display="Home" xr:uid="{00000000-0004-0000-0E00-00000D000000}"/>
    <hyperlink ref="B1" location="'2 - General Input'!A1" display="Wksh2" xr:uid="{00000000-0004-0000-0E00-00000E000000}"/>
  </hyperlinks>
  <pageMargins left="0.75" right="0.75" top="1" bottom="1" header="0.5" footer="0.5"/>
  <pageSetup scale="58" orientation="portrait" horizontalDpi="300" verticalDpi="300" r:id="rId1"/>
  <headerFooter alignWithMargins="0"/>
  <rowBreaks count="2" manualBreakCount="2">
    <brk id="82" max="16383" man="1"/>
    <brk id="169" max="16383" man="1"/>
  </rowBreaks>
  <colBreaks count="1" manualBreakCount="1">
    <brk id="13" max="1048575" man="1"/>
  </colBreaks>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F115"/>
  <sheetViews>
    <sheetView view="pageBreakPreview" topLeftCell="A10" zoomScaleNormal="100" workbookViewId="0">
      <selection activeCell="D17" sqref="D17"/>
    </sheetView>
  </sheetViews>
  <sheetFormatPr defaultRowHeight="12.75" x14ac:dyDescent="0.2"/>
  <cols>
    <col min="3" max="3" width="33.28515625" customWidth="1"/>
    <col min="4" max="4" width="12.28515625" bestFit="1" customWidth="1"/>
    <col min="5" max="5" width="1.85546875" customWidth="1"/>
    <col min="6" max="6" width="57.28515625" customWidth="1"/>
  </cols>
  <sheetData>
    <row r="1" spans="1:6" ht="15.75" x14ac:dyDescent="0.25">
      <c r="A1" s="50" t="s">
        <v>1065</v>
      </c>
      <c r="B1" s="50" t="s">
        <v>36</v>
      </c>
      <c r="C1" s="5" t="s">
        <v>1372</v>
      </c>
    </row>
    <row r="2" spans="1:6" ht="15.75" x14ac:dyDescent="0.25">
      <c r="A2" s="50" t="s">
        <v>1344</v>
      </c>
      <c r="B2" s="50" t="s">
        <v>1345</v>
      </c>
      <c r="C2" s="5">
        <f>'2 - General Input'!C6</f>
        <v>0</v>
      </c>
    </row>
    <row r="3" spans="1:6" x14ac:dyDescent="0.2">
      <c r="A3" s="50" t="s">
        <v>1346</v>
      </c>
      <c r="B3" s="50" t="s">
        <v>1347</v>
      </c>
    </row>
    <row r="4" spans="1:6" x14ac:dyDescent="0.2">
      <c r="A4" s="50" t="s">
        <v>1348</v>
      </c>
      <c r="B4" s="50" t="s">
        <v>35</v>
      </c>
      <c r="C4" t="s">
        <v>1373</v>
      </c>
    </row>
    <row r="5" spans="1:6" x14ac:dyDescent="0.2">
      <c r="A5" s="50" t="s">
        <v>1349</v>
      </c>
      <c r="B5" s="50" t="s">
        <v>1350</v>
      </c>
      <c r="C5" s="10" t="s">
        <v>1374</v>
      </c>
    </row>
    <row r="6" spans="1:6" x14ac:dyDescent="0.2">
      <c r="A6" s="50" t="s">
        <v>1351</v>
      </c>
      <c r="B6" s="50" t="s">
        <v>30</v>
      </c>
      <c r="C6" s="10" t="s">
        <v>54</v>
      </c>
    </row>
    <row r="7" spans="1:6" x14ac:dyDescent="0.2">
      <c r="A7" s="50" t="s">
        <v>32</v>
      </c>
      <c r="B7" s="50" t="s">
        <v>31</v>
      </c>
      <c r="C7" s="10" t="s">
        <v>333</v>
      </c>
    </row>
    <row r="8" spans="1:6" x14ac:dyDescent="0.2">
      <c r="A8" s="50" t="s">
        <v>33</v>
      </c>
      <c r="B8" s="53" t="s">
        <v>1352</v>
      </c>
      <c r="C8" s="10" t="s">
        <v>334</v>
      </c>
    </row>
    <row r="9" spans="1:6" x14ac:dyDescent="0.2">
      <c r="A9" s="26"/>
      <c r="B9" s="48" t="s">
        <v>788</v>
      </c>
      <c r="E9" s="3"/>
    </row>
    <row r="10" spans="1:6" x14ac:dyDescent="0.2">
      <c r="A10" s="26"/>
      <c r="B10" s="48"/>
      <c r="D10" s="3" t="s">
        <v>1366</v>
      </c>
    </row>
    <row r="11" spans="1:6" x14ac:dyDescent="0.2">
      <c r="A11" s="26"/>
      <c r="B11" s="26"/>
      <c r="D11" s="3" t="s">
        <v>801</v>
      </c>
    </row>
    <row r="12" spans="1:6" x14ac:dyDescent="0.2">
      <c r="A12" s="26"/>
      <c r="B12" s="3" t="s">
        <v>792</v>
      </c>
      <c r="D12" s="26">
        <v>2001</v>
      </c>
      <c r="F12" s="3" t="s">
        <v>22</v>
      </c>
    </row>
    <row r="13" spans="1:6" x14ac:dyDescent="0.2">
      <c r="A13" s="26"/>
      <c r="B13" s="26"/>
    </row>
    <row r="14" spans="1:6" x14ac:dyDescent="0.2">
      <c r="A14" s="26"/>
      <c r="B14" s="26"/>
      <c r="C14" s="4" t="s">
        <v>124</v>
      </c>
    </row>
    <row r="16" spans="1:6" x14ac:dyDescent="0.2">
      <c r="B16" s="26" t="s">
        <v>370</v>
      </c>
      <c r="C16" t="s">
        <v>795</v>
      </c>
      <c r="D16" s="18">
        <v>30500</v>
      </c>
      <c r="F16" t="s">
        <v>332</v>
      </c>
    </row>
    <row r="17" spans="2:6" x14ac:dyDescent="0.2">
      <c r="B17" s="26" t="s">
        <v>371</v>
      </c>
      <c r="C17" s="56" t="s">
        <v>796</v>
      </c>
      <c r="D17" s="18">
        <f>((AVERAGE('10 - Vertical Analysis'!F53:J53))*($D$16*-1))</f>
        <v>-24337.677000480773</v>
      </c>
      <c r="F17" t="s">
        <v>125</v>
      </c>
    </row>
    <row r="18" spans="2:6" x14ac:dyDescent="0.2">
      <c r="B18" s="26" t="s">
        <v>372</v>
      </c>
      <c r="C18" s="92" t="s">
        <v>1206</v>
      </c>
      <c r="D18" s="62">
        <f>((AVERAGE('10 - Vertical Analysis'!F57:J57))*($D$16*-1))</f>
        <v>-2544.2730362030488</v>
      </c>
      <c r="F18" t="s">
        <v>126</v>
      </c>
    </row>
    <row r="19" spans="2:6" x14ac:dyDescent="0.2">
      <c r="B19" s="26" t="s">
        <v>373</v>
      </c>
      <c r="C19" s="56" t="s">
        <v>800</v>
      </c>
      <c r="D19" s="18">
        <f>SUM(D16:D18)</f>
        <v>3618.049963316178</v>
      </c>
    </row>
    <row r="20" spans="2:6" x14ac:dyDescent="0.2">
      <c r="C20" s="56" t="s">
        <v>788</v>
      </c>
      <c r="D20" s="18"/>
    </row>
    <row r="21" spans="2:6" x14ac:dyDescent="0.2">
      <c r="B21" s="26" t="s">
        <v>374</v>
      </c>
      <c r="C21" s="56" t="s">
        <v>802</v>
      </c>
      <c r="D21" s="18">
        <v>-310</v>
      </c>
      <c r="F21" t="s">
        <v>335</v>
      </c>
    </row>
    <row r="22" spans="2:6" x14ac:dyDescent="0.2">
      <c r="B22" s="26" t="s">
        <v>375</v>
      </c>
      <c r="C22" s="56" t="s">
        <v>23</v>
      </c>
      <c r="D22" s="18">
        <v>-3300</v>
      </c>
      <c r="F22" t="s">
        <v>127</v>
      </c>
    </row>
    <row r="23" spans="2:6" x14ac:dyDescent="0.2">
      <c r="B23" s="26" t="s">
        <v>376</v>
      </c>
      <c r="C23" s="56" t="s">
        <v>25</v>
      </c>
      <c r="D23" s="18">
        <v>-200</v>
      </c>
      <c r="F23" t="s">
        <v>337</v>
      </c>
    </row>
    <row r="24" spans="2:6" x14ac:dyDescent="0.2">
      <c r="C24" s="56"/>
      <c r="D24" s="18"/>
    </row>
    <row r="25" spans="2:6" x14ac:dyDescent="0.2">
      <c r="B25" s="26" t="s">
        <v>377</v>
      </c>
      <c r="C25" s="56" t="s">
        <v>24</v>
      </c>
      <c r="D25" s="18">
        <f>SUM(D19:D23)</f>
        <v>-191.95003668382196</v>
      </c>
    </row>
    <row r="26" spans="2:6" x14ac:dyDescent="0.2">
      <c r="B26" s="26" t="s">
        <v>378</v>
      </c>
      <c r="C26" s="56" t="s">
        <v>1280</v>
      </c>
      <c r="D26" s="18">
        <v>650</v>
      </c>
      <c r="F26" t="s">
        <v>336</v>
      </c>
    </row>
    <row r="27" spans="2:6" x14ac:dyDescent="0.2">
      <c r="C27" s="56" t="s">
        <v>788</v>
      </c>
      <c r="D27" s="18"/>
    </row>
    <row r="28" spans="2:6" ht="13.5" thickBot="1" x14ac:dyDescent="0.25">
      <c r="B28" s="26" t="s">
        <v>379</v>
      </c>
      <c r="C28" s="93" t="s">
        <v>808</v>
      </c>
      <c r="D28" s="76">
        <f>SUM(D25:D26)</f>
        <v>458.04996331617804</v>
      </c>
    </row>
    <row r="29" spans="2:6" ht="13.5" thickTop="1" x14ac:dyDescent="0.2">
      <c r="C29" s="56"/>
      <c r="D29" s="18"/>
    </row>
    <row r="30" spans="2:6" x14ac:dyDescent="0.2">
      <c r="C30" s="57" t="s">
        <v>26</v>
      </c>
      <c r="D30" s="18"/>
    </row>
    <row r="31" spans="2:6" x14ac:dyDescent="0.2">
      <c r="C31" s="56"/>
      <c r="D31" s="18"/>
    </row>
    <row r="32" spans="2:6" x14ac:dyDescent="0.2">
      <c r="C32" s="57" t="s">
        <v>341</v>
      </c>
      <c r="D32" s="18"/>
    </row>
    <row r="33" spans="2:6" x14ac:dyDescent="0.2">
      <c r="C33" s="57"/>
      <c r="D33" s="18"/>
    </row>
    <row r="34" spans="2:6" x14ac:dyDescent="0.2">
      <c r="B34" s="26" t="s">
        <v>380</v>
      </c>
      <c r="C34" s="56" t="s">
        <v>808</v>
      </c>
      <c r="D34" s="18">
        <f>D28</f>
        <v>458.04996331617804</v>
      </c>
    </row>
    <row r="35" spans="2:6" x14ac:dyDescent="0.2">
      <c r="B35" s="26" t="s">
        <v>381</v>
      </c>
      <c r="C35" s="56" t="s">
        <v>843</v>
      </c>
      <c r="D35" s="18">
        <f>'11 - Pro Forma (Simple)'!E38</f>
        <v>0</v>
      </c>
      <c r="E35" s="18"/>
      <c r="F35" t="s">
        <v>351</v>
      </c>
    </row>
    <row r="36" spans="2:6" x14ac:dyDescent="0.2">
      <c r="B36" s="26" t="s">
        <v>382</v>
      </c>
      <c r="C36" s="56" t="s">
        <v>854</v>
      </c>
      <c r="D36" s="18">
        <v>0</v>
      </c>
      <c r="E36" s="18"/>
    </row>
    <row r="37" spans="2:6" x14ac:dyDescent="0.2">
      <c r="B37" s="26" t="s">
        <v>383</v>
      </c>
      <c r="C37" s="56" t="s">
        <v>855</v>
      </c>
      <c r="D37" s="18">
        <v>15</v>
      </c>
      <c r="E37" s="18"/>
      <c r="F37" t="s">
        <v>353</v>
      </c>
    </row>
    <row r="38" spans="2:6" x14ac:dyDescent="0.2">
      <c r="B38" s="26" t="s">
        <v>384</v>
      </c>
      <c r="C38" s="56" t="s">
        <v>856</v>
      </c>
      <c r="D38" s="18">
        <f>'3 - Balance Sheet'!H7-(D16*0.27)</f>
        <v>438359960</v>
      </c>
      <c r="E38" s="18"/>
      <c r="F38" t="s">
        <v>354</v>
      </c>
    </row>
    <row r="39" spans="2:6" x14ac:dyDescent="0.2">
      <c r="B39" s="26" t="s">
        <v>385</v>
      </c>
      <c r="C39" s="92" t="s">
        <v>338</v>
      </c>
      <c r="D39" s="62">
        <f>(D16*0.35)-'3 - Balance Sheet'!H20</f>
        <v>-358675420</v>
      </c>
      <c r="E39" s="18"/>
      <c r="F39" t="s">
        <v>354</v>
      </c>
    </row>
    <row r="40" spans="2:6" x14ac:dyDescent="0.2">
      <c r="B40" s="26" t="s">
        <v>788</v>
      </c>
      <c r="C40" s="56"/>
      <c r="D40" s="18"/>
      <c r="E40" s="18"/>
    </row>
    <row r="41" spans="2:6" x14ac:dyDescent="0.2">
      <c r="B41" s="26" t="s">
        <v>386</v>
      </c>
      <c r="C41" s="56" t="s">
        <v>1107</v>
      </c>
      <c r="D41" s="18">
        <f>SUM(D34:D40)</f>
        <v>79685013.049963295</v>
      </c>
      <c r="E41" s="18"/>
    </row>
    <row r="42" spans="2:6" x14ac:dyDescent="0.2">
      <c r="C42" s="56"/>
      <c r="D42" s="18"/>
      <c r="E42" s="18"/>
    </row>
    <row r="43" spans="2:6" x14ac:dyDescent="0.2">
      <c r="C43" s="91" t="s">
        <v>350</v>
      </c>
      <c r="D43" s="18"/>
      <c r="E43" s="18"/>
    </row>
    <row r="44" spans="2:6" x14ac:dyDescent="0.2">
      <c r="B44" s="26" t="s">
        <v>387</v>
      </c>
      <c r="C44" s="56" t="s">
        <v>1337</v>
      </c>
      <c r="D44" s="18">
        <f>'11 - Pro Forma (Simple)'!E47</f>
        <v>0</v>
      </c>
      <c r="E44" s="18"/>
      <c r="F44" t="s">
        <v>355</v>
      </c>
    </row>
    <row r="45" spans="2:6" x14ac:dyDescent="0.2">
      <c r="B45" s="26" t="s">
        <v>388</v>
      </c>
      <c r="C45" s="56" t="s">
        <v>1338</v>
      </c>
      <c r="D45" s="18">
        <f>'11 - Pro Forma (Simple)'!E48</f>
        <v>0</v>
      </c>
      <c r="E45" s="18"/>
      <c r="F45" t="s">
        <v>355</v>
      </c>
    </row>
    <row r="46" spans="2:6" x14ac:dyDescent="0.2">
      <c r="B46" s="26" t="s">
        <v>389</v>
      </c>
      <c r="C46" s="92" t="s">
        <v>1339</v>
      </c>
      <c r="D46" s="62">
        <v>0</v>
      </c>
      <c r="E46" s="18"/>
    </row>
    <row r="47" spans="2:6" x14ac:dyDescent="0.2">
      <c r="B47" s="26" t="s">
        <v>390</v>
      </c>
      <c r="C47" s="56" t="s">
        <v>18</v>
      </c>
      <c r="D47" s="18">
        <f>SUM(D44:D46)</f>
        <v>0</v>
      </c>
      <c r="E47" s="18"/>
    </row>
    <row r="48" spans="2:6" x14ac:dyDescent="0.2">
      <c r="C48" s="56"/>
      <c r="D48" s="18"/>
      <c r="E48" s="18"/>
    </row>
    <row r="49" spans="2:6" x14ac:dyDescent="0.2">
      <c r="C49" s="91" t="s">
        <v>1340</v>
      </c>
      <c r="D49" s="18"/>
      <c r="E49" s="18"/>
    </row>
    <row r="50" spans="2:6" x14ac:dyDescent="0.2">
      <c r="B50" s="26" t="s">
        <v>391</v>
      </c>
      <c r="C50" s="56" t="s">
        <v>853</v>
      </c>
      <c r="D50" s="18">
        <v>-4500</v>
      </c>
      <c r="E50" s="18"/>
      <c r="F50" t="s">
        <v>352</v>
      </c>
    </row>
    <row r="51" spans="2:6" x14ac:dyDescent="0.2">
      <c r="B51" s="26" t="s">
        <v>392</v>
      </c>
      <c r="C51" s="56" t="s">
        <v>268</v>
      </c>
      <c r="D51" s="18">
        <v>-350</v>
      </c>
      <c r="E51" s="18"/>
      <c r="F51" t="s">
        <v>356</v>
      </c>
    </row>
    <row r="52" spans="2:6" x14ac:dyDescent="0.2">
      <c r="B52" s="26" t="s">
        <v>393</v>
      </c>
      <c r="C52" s="56" t="s">
        <v>859</v>
      </c>
      <c r="D52" s="18">
        <v>-2500</v>
      </c>
      <c r="E52" s="18"/>
      <c r="F52" t="s">
        <v>356</v>
      </c>
    </row>
    <row r="53" spans="2:6" x14ac:dyDescent="0.2">
      <c r="B53" s="26" t="s">
        <v>394</v>
      </c>
      <c r="C53" s="56" t="s">
        <v>19</v>
      </c>
      <c r="D53" s="18">
        <f>SUM(D50:D52)</f>
        <v>-7350</v>
      </c>
      <c r="E53" s="18"/>
    </row>
    <row r="54" spans="2:6" x14ac:dyDescent="0.2">
      <c r="C54" s="56"/>
      <c r="D54" s="18"/>
      <c r="E54" s="18"/>
    </row>
    <row r="55" spans="2:6" x14ac:dyDescent="0.2">
      <c r="C55" s="91" t="s">
        <v>339</v>
      </c>
      <c r="D55" s="18"/>
      <c r="E55" s="18"/>
    </row>
    <row r="56" spans="2:6" x14ac:dyDescent="0.2">
      <c r="B56" s="26" t="s">
        <v>395</v>
      </c>
      <c r="C56" s="56" t="s">
        <v>1342</v>
      </c>
      <c r="D56" s="18">
        <v>1450</v>
      </c>
      <c r="E56" s="18"/>
      <c r="F56" t="s">
        <v>357</v>
      </c>
    </row>
    <row r="57" spans="2:6" x14ac:dyDescent="0.2">
      <c r="B57" s="26" t="s">
        <v>396</v>
      </c>
      <c r="C57" s="56" t="s">
        <v>867</v>
      </c>
      <c r="D57" s="18">
        <v>15</v>
      </c>
      <c r="E57" s="18"/>
      <c r="F57" t="s">
        <v>358</v>
      </c>
    </row>
    <row r="58" spans="2:6" x14ac:dyDescent="0.2">
      <c r="B58" s="26" t="s">
        <v>397</v>
      </c>
      <c r="C58" s="92" t="s">
        <v>868</v>
      </c>
      <c r="D58" s="62">
        <v>0</v>
      </c>
      <c r="E58" s="18"/>
    </row>
    <row r="59" spans="2:6" x14ac:dyDescent="0.2">
      <c r="B59" s="26" t="s">
        <v>398</v>
      </c>
      <c r="C59" s="56" t="s">
        <v>20</v>
      </c>
      <c r="D59" s="18">
        <f>SUM(D56:D58)</f>
        <v>1465</v>
      </c>
      <c r="E59" s="18"/>
    </row>
    <row r="60" spans="2:6" x14ac:dyDescent="0.2">
      <c r="C60" s="56"/>
      <c r="D60" s="18"/>
      <c r="E60" s="18"/>
    </row>
    <row r="61" spans="2:6" x14ac:dyDescent="0.2">
      <c r="C61" s="91" t="s">
        <v>10</v>
      </c>
      <c r="D61" s="18"/>
      <c r="E61" s="18"/>
    </row>
    <row r="62" spans="2:6" x14ac:dyDescent="0.2">
      <c r="B62" s="26" t="s">
        <v>399</v>
      </c>
      <c r="C62" s="56" t="s">
        <v>340</v>
      </c>
      <c r="D62" s="18">
        <v>-1250</v>
      </c>
      <c r="E62" s="18"/>
      <c r="F62" t="s">
        <v>359</v>
      </c>
    </row>
    <row r="63" spans="2:6" x14ac:dyDescent="0.2">
      <c r="B63" s="26" t="s">
        <v>400</v>
      </c>
      <c r="C63" s="56" t="s">
        <v>866</v>
      </c>
      <c r="D63" s="18">
        <f>'11 - Pro Forma (Simple)'!E66</f>
        <v>0</v>
      </c>
      <c r="E63" s="18"/>
      <c r="F63" t="s">
        <v>355</v>
      </c>
    </row>
    <row r="64" spans="2:6" x14ac:dyDescent="0.2">
      <c r="B64" s="26" t="s">
        <v>401</v>
      </c>
      <c r="C64" s="56" t="s">
        <v>12</v>
      </c>
      <c r="D64" s="18">
        <v>-1500</v>
      </c>
      <c r="E64" s="18"/>
      <c r="F64" t="s">
        <v>360</v>
      </c>
    </row>
    <row r="65" spans="2:6" x14ac:dyDescent="0.2">
      <c r="B65" s="26" t="s">
        <v>402</v>
      </c>
      <c r="C65" s="92" t="s">
        <v>868</v>
      </c>
      <c r="D65" s="62">
        <v>0</v>
      </c>
      <c r="E65" s="18"/>
    </row>
    <row r="66" spans="2:6" x14ac:dyDescent="0.2">
      <c r="B66" s="26" t="s">
        <v>403</v>
      </c>
      <c r="C66" s="39" t="s">
        <v>21</v>
      </c>
      <c r="D66" s="18">
        <f>SUM(D62:D65)</f>
        <v>-2750</v>
      </c>
      <c r="E66" s="18"/>
    </row>
    <row r="67" spans="2:6" x14ac:dyDescent="0.2">
      <c r="C67" s="56"/>
      <c r="D67" s="18"/>
      <c r="E67" s="18"/>
    </row>
    <row r="68" spans="2:6" x14ac:dyDescent="0.2">
      <c r="B68" s="26" t="s">
        <v>404</v>
      </c>
      <c r="C68" s="56" t="s">
        <v>13</v>
      </c>
      <c r="D68" s="18">
        <f>D41+D47+D53+D59+D66</f>
        <v>79676378.049963295</v>
      </c>
    </row>
    <row r="69" spans="2:6" x14ac:dyDescent="0.2">
      <c r="C69" s="56"/>
      <c r="D69" s="18"/>
    </row>
    <row r="70" spans="2:6" x14ac:dyDescent="0.2">
      <c r="B70" s="26" t="s">
        <v>405</v>
      </c>
      <c r="C70" s="56" t="s">
        <v>871</v>
      </c>
      <c r="D70" s="18">
        <f>'3 - Balance Sheet'!H2</f>
        <v>25361545</v>
      </c>
    </row>
    <row r="71" spans="2:6" ht="13.5" thickBot="1" x14ac:dyDescent="0.25">
      <c r="B71" s="26" t="s">
        <v>406</v>
      </c>
      <c r="C71" s="56" t="s">
        <v>14</v>
      </c>
      <c r="D71" s="76">
        <f>SUM(D68:D70)</f>
        <v>105037923.0499633</v>
      </c>
    </row>
    <row r="72" spans="2:6" ht="13.5" thickTop="1" x14ac:dyDescent="0.2">
      <c r="C72" s="56"/>
      <c r="D72" s="18"/>
      <c r="E72" s="18"/>
    </row>
    <row r="73" spans="2:6" x14ac:dyDescent="0.2">
      <c r="C73" s="57" t="s">
        <v>342</v>
      </c>
      <c r="D73" s="18"/>
      <c r="E73" s="18"/>
    </row>
    <row r="74" spans="2:6" x14ac:dyDescent="0.2">
      <c r="C74" s="56"/>
      <c r="D74" s="18"/>
      <c r="E74" s="18"/>
    </row>
    <row r="75" spans="2:6" x14ac:dyDescent="0.2">
      <c r="B75" s="26" t="s">
        <v>407</v>
      </c>
      <c r="C75" s="56" t="s">
        <v>814</v>
      </c>
      <c r="D75" s="18">
        <f>D71</f>
        <v>105037923.0499633</v>
      </c>
      <c r="E75" s="18"/>
      <c r="F75" t="s">
        <v>369</v>
      </c>
    </row>
    <row r="76" spans="2:6" x14ac:dyDescent="0.2">
      <c r="B76" s="26" t="s">
        <v>408</v>
      </c>
      <c r="C76" s="56" t="s">
        <v>815</v>
      </c>
      <c r="D76" s="18">
        <v>10</v>
      </c>
      <c r="E76" s="18"/>
      <c r="F76" t="s">
        <v>363</v>
      </c>
    </row>
    <row r="77" spans="2:6" x14ac:dyDescent="0.2">
      <c r="B77" s="26" t="s">
        <v>409</v>
      </c>
      <c r="C77" s="56" t="s">
        <v>901</v>
      </c>
      <c r="D77" s="18">
        <f>$D$16*0.1</f>
        <v>3050</v>
      </c>
      <c r="E77" s="18"/>
      <c r="F77" t="s">
        <v>354</v>
      </c>
    </row>
    <row r="78" spans="2:6" x14ac:dyDescent="0.2">
      <c r="B78" s="26" t="s">
        <v>410</v>
      </c>
      <c r="C78" s="56" t="s">
        <v>343</v>
      </c>
      <c r="D78" s="18">
        <f>$D$16*0.08</f>
        <v>2440</v>
      </c>
      <c r="E78" s="18"/>
      <c r="F78" t="s">
        <v>354</v>
      </c>
    </row>
    <row r="79" spans="2:6" x14ac:dyDescent="0.2">
      <c r="B79" s="26" t="s">
        <v>411</v>
      </c>
      <c r="C79" s="92" t="s">
        <v>816</v>
      </c>
      <c r="D79" s="62">
        <f>$D$16*0.065</f>
        <v>1982.5</v>
      </c>
      <c r="E79" s="18"/>
      <c r="F79" t="s">
        <v>354</v>
      </c>
    </row>
    <row r="80" spans="2:6" x14ac:dyDescent="0.2">
      <c r="B80" s="26" t="s">
        <v>412</v>
      </c>
      <c r="C80" s="56" t="s">
        <v>817</v>
      </c>
      <c r="D80" s="18">
        <f>SUM(D75:D79)</f>
        <v>105045405.5499633</v>
      </c>
      <c r="E80" s="18"/>
    </row>
    <row r="81" spans="2:6" x14ac:dyDescent="0.2">
      <c r="D81" s="18"/>
      <c r="E81" s="18"/>
    </row>
    <row r="82" spans="2:6" x14ac:dyDescent="0.2">
      <c r="B82" s="26" t="s">
        <v>413</v>
      </c>
      <c r="C82" s="56" t="s">
        <v>820</v>
      </c>
      <c r="D82" s="18">
        <f>'3 - Balance Sheet'!H8+(D50*-1)</f>
        <v>587709603</v>
      </c>
      <c r="E82" s="18"/>
      <c r="F82" t="s">
        <v>354</v>
      </c>
    </row>
    <row r="83" spans="2:6" x14ac:dyDescent="0.2">
      <c r="B83" s="26" t="s">
        <v>414</v>
      </c>
      <c r="C83" s="56" t="s">
        <v>821</v>
      </c>
      <c r="D83" s="18">
        <f>'3 - Balance Sheet'!H9+(D35*-1)</f>
        <v>-182793235</v>
      </c>
      <c r="E83" s="18"/>
      <c r="F83" t="s">
        <v>354</v>
      </c>
    </row>
    <row r="84" spans="2:6" x14ac:dyDescent="0.2">
      <c r="B84" s="26" t="s">
        <v>415</v>
      </c>
      <c r="C84" s="56" t="s">
        <v>822</v>
      </c>
      <c r="D84" s="18">
        <f>SUM(D82:D83)</f>
        <v>404916368</v>
      </c>
      <c r="E84" s="18"/>
    </row>
    <row r="85" spans="2:6" x14ac:dyDescent="0.2">
      <c r="B85" s="26" t="s">
        <v>416</v>
      </c>
      <c r="C85" s="56" t="s">
        <v>344</v>
      </c>
      <c r="D85" s="18">
        <f>'3 - Balance Sheet'!H11+(D52*-1)-D45</f>
        <v>2500</v>
      </c>
      <c r="E85" s="18"/>
      <c r="F85" t="s">
        <v>354</v>
      </c>
    </row>
    <row r="86" spans="2:6" x14ac:dyDescent="0.2">
      <c r="B86" s="26" t="s">
        <v>417</v>
      </c>
      <c r="C86" s="56" t="s">
        <v>824</v>
      </c>
      <c r="D86" s="18">
        <v>1000</v>
      </c>
      <c r="E86" s="18"/>
      <c r="F86" t="s">
        <v>364</v>
      </c>
    </row>
    <row r="87" spans="2:6" x14ac:dyDescent="0.2">
      <c r="B87" s="26" t="s">
        <v>418</v>
      </c>
      <c r="C87" s="92" t="s">
        <v>825</v>
      </c>
      <c r="D87" s="62">
        <v>230</v>
      </c>
      <c r="E87" s="18"/>
      <c r="F87" t="s">
        <v>368</v>
      </c>
    </row>
    <row r="88" spans="2:6" x14ac:dyDescent="0.2">
      <c r="B88" s="26" t="s">
        <v>419</v>
      </c>
      <c r="C88" s="56" t="s">
        <v>15</v>
      </c>
      <c r="D88" s="18">
        <f>SUM(D84:D87)</f>
        <v>404920098</v>
      </c>
      <c r="E88" s="18"/>
    </row>
    <row r="89" spans="2:6" x14ac:dyDescent="0.2">
      <c r="D89" s="18"/>
      <c r="E89" s="18"/>
    </row>
    <row r="90" spans="2:6" ht="13.5" thickBot="1" x14ac:dyDescent="0.25">
      <c r="B90" s="26" t="s">
        <v>420</v>
      </c>
      <c r="C90" s="93" t="s">
        <v>826</v>
      </c>
      <c r="D90" s="76">
        <f>D80+D88</f>
        <v>509965503.5499633</v>
      </c>
      <c r="E90" s="18"/>
    </row>
    <row r="91" spans="2:6" ht="13.5" thickTop="1" x14ac:dyDescent="0.2">
      <c r="D91" s="18"/>
      <c r="E91" s="18"/>
    </row>
    <row r="92" spans="2:6" x14ac:dyDescent="0.2">
      <c r="B92" s="26" t="s">
        <v>421</v>
      </c>
      <c r="C92" s="56" t="s">
        <v>827</v>
      </c>
      <c r="D92" s="18">
        <f>$D$16*0.17</f>
        <v>5185</v>
      </c>
      <c r="E92" s="18"/>
      <c r="F92" t="s">
        <v>354</v>
      </c>
    </row>
    <row r="93" spans="2:6" x14ac:dyDescent="0.2">
      <c r="B93" s="26" t="s">
        <v>422</v>
      </c>
      <c r="C93" t="s">
        <v>828</v>
      </c>
      <c r="D93" s="18">
        <f>$D$16*0.12</f>
        <v>3660</v>
      </c>
      <c r="F93" t="s">
        <v>354</v>
      </c>
    </row>
    <row r="94" spans="2:6" x14ac:dyDescent="0.2">
      <c r="B94" s="26" t="s">
        <v>423</v>
      </c>
      <c r="C94" s="56" t="s">
        <v>829</v>
      </c>
      <c r="D94" s="18">
        <v>40</v>
      </c>
      <c r="F94" t="s">
        <v>361</v>
      </c>
    </row>
    <row r="95" spans="2:6" x14ac:dyDescent="0.2">
      <c r="B95" s="26" t="s">
        <v>424</v>
      </c>
      <c r="C95" s="61" t="s">
        <v>830</v>
      </c>
      <c r="D95" s="62">
        <f>$D$16*0.06</f>
        <v>1830</v>
      </c>
      <c r="F95" t="s">
        <v>354</v>
      </c>
    </row>
    <row r="96" spans="2:6" x14ac:dyDescent="0.2">
      <c r="B96" s="26" t="s">
        <v>425</v>
      </c>
      <c r="C96" s="56" t="s">
        <v>831</v>
      </c>
      <c r="D96" s="18">
        <f>SUM(D92:D95)</f>
        <v>10715</v>
      </c>
    </row>
    <row r="97" spans="2:6" x14ac:dyDescent="0.2">
      <c r="D97" s="18"/>
    </row>
    <row r="98" spans="2:6" x14ac:dyDescent="0.2">
      <c r="B98" s="26" t="s">
        <v>426</v>
      </c>
      <c r="C98" s="56" t="s">
        <v>832</v>
      </c>
      <c r="D98" s="18">
        <f>'3 - Balance Sheet'!H21+D56+D62</f>
        <v>155337485</v>
      </c>
      <c r="F98" t="s">
        <v>354</v>
      </c>
    </row>
    <row r="99" spans="2:6" x14ac:dyDescent="0.2">
      <c r="B99" s="26" t="s">
        <v>427</v>
      </c>
      <c r="C99" s="61" t="s">
        <v>833</v>
      </c>
      <c r="D99" s="62">
        <v>1100</v>
      </c>
      <c r="F99" t="s">
        <v>362</v>
      </c>
    </row>
    <row r="100" spans="2:6" x14ac:dyDescent="0.2">
      <c r="B100" s="26" t="s">
        <v>428</v>
      </c>
      <c r="C100" s="56" t="s">
        <v>16</v>
      </c>
      <c r="D100" s="18">
        <f>SUM(D98:D99)</f>
        <v>155338585</v>
      </c>
    </row>
    <row r="101" spans="2:6" x14ac:dyDescent="0.2">
      <c r="D101" s="18"/>
    </row>
    <row r="102" spans="2:6" x14ac:dyDescent="0.2">
      <c r="B102" s="26" t="s">
        <v>429</v>
      </c>
      <c r="C102" s="56" t="s">
        <v>834</v>
      </c>
      <c r="D102" s="18">
        <f>D96+D100</f>
        <v>155349300</v>
      </c>
    </row>
    <row r="103" spans="2:6" x14ac:dyDescent="0.2">
      <c r="D103" s="18"/>
    </row>
    <row r="104" spans="2:6" x14ac:dyDescent="0.2">
      <c r="B104" s="26" t="s">
        <v>430</v>
      </c>
      <c r="C104" s="56" t="s">
        <v>345</v>
      </c>
      <c r="D104" s="18">
        <v>0</v>
      </c>
    </row>
    <row r="105" spans="2:6" x14ac:dyDescent="0.2">
      <c r="B105" s="26" t="s">
        <v>431</v>
      </c>
      <c r="C105" t="s">
        <v>842</v>
      </c>
      <c r="D105" s="18">
        <f>'11 - Pro Forma (Simple)'!E109</f>
        <v>60000000</v>
      </c>
      <c r="F105" t="s">
        <v>355</v>
      </c>
    </row>
    <row r="106" spans="2:6" x14ac:dyDescent="0.2">
      <c r="B106" s="26" t="s">
        <v>432</v>
      </c>
      <c r="C106" s="56" t="s">
        <v>841</v>
      </c>
      <c r="D106" s="18">
        <f>'11 - Pro Forma (Simple)'!E110</f>
        <v>0</v>
      </c>
      <c r="F106" t="s">
        <v>355</v>
      </c>
    </row>
    <row r="107" spans="2:6" x14ac:dyDescent="0.2">
      <c r="B107" s="26" t="s">
        <v>433</v>
      </c>
      <c r="C107" t="s">
        <v>836</v>
      </c>
      <c r="D107" s="18">
        <f>'3 - Balance Sheet'!H28+D28+D63</f>
        <v>260994870.04996333</v>
      </c>
      <c r="F107" t="s">
        <v>354</v>
      </c>
    </row>
    <row r="108" spans="2:6" x14ac:dyDescent="0.2">
      <c r="B108" s="26" t="s">
        <v>434</v>
      </c>
      <c r="C108" s="56" t="s">
        <v>346</v>
      </c>
      <c r="D108" s="18">
        <f>'11 - Pro Forma (Simple)'!E112</f>
        <v>0</v>
      </c>
      <c r="F108" t="s">
        <v>355</v>
      </c>
    </row>
    <row r="109" spans="2:6" x14ac:dyDescent="0.2">
      <c r="B109" s="26" t="s">
        <v>435</v>
      </c>
      <c r="C109" s="61" t="s">
        <v>837</v>
      </c>
      <c r="D109" s="62">
        <f>'3 - Balance Sheet'!H30+D64</f>
        <v>-1500</v>
      </c>
      <c r="F109" t="s">
        <v>354</v>
      </c>
    </row>
    <row r="110" spans="2:6" x14ac:dyDescent="0.2">
      <c r="B110" s="26" t="s">
        <v>436</v>
      </c>
      <c r="C110" s="56" t="s">
        <v>1203</v>
      </c>
      <c r="D110" s="18">
        <f>SUM(D104:D109)</f>
        <v>320993370.04996336</v>
      </c>
    </row>
    <row r="111" spans="2:6" x14ac:dyDescent="0.2">
      <c r="D111" s="18"/>
    </row>
    <row r="112" spans="2:6" ht="13.5" thickBot="1" x14ac:dyDescent="0.25">
      <c r="B112" s="26" t="s">
        <v>437</v>
      </c>
      <c r="C112" s="93" t="s">
        <v>347</v>
      </c>
      <c r="D112" s="76">
        <f>D102+D110</f>
        <v>476342670.04996336</v>
      </c>
    </row>
    <row r="113" spans="2:4" ht="13.5" thickTop="1" x14ac:dyDescent="0.2">
      <c r="D113" s="18" t="s">
        <v>788</v>
      </c>
    </row>
    <row r="114" spans="2:4" ht="13.5" thickBot="1" x14ac:dyDescent="0.25">
      <c r="B114" s="26" t="s">
        <v>438</v>
      </c>
      <c r="C114" s="93" t="s">
        <v>292</v>
      </c>
      <c r="D114" s="76">
        <f>D90-D112</f>
        <v>33622833.49999994</v>
      </c>
    </row>
    <row r="115" spans="2:4" ht="13.5" thickTop="1" x14ac:dyDescent="0.2"/>
  </sheetData>
  <customSheetViews>
    <customSheetView guid="{250789E3-B657-4A6D-AD7D-7EE7A7132AFA}" showRuler="0" topLeftCell="B1">
      <selection activeCell="I16" sqref="I16"/>
      <pageMargins left="0.75" right="0.75" top="1" bottom="1" header="0.5" footer="0.5"/>
      <headerFooter alignWithMargins="0"/>
    </customSheetView>
  </customSheetViews>
  <phoneticPr fontId="0" type="noConversion"/>
  <hyperlinks>
    <hyperlink ref="A2" location="'3 - Balance Sheet'!A1" display="Wksh3" xr:uid="{00000000-0004-0000-0F00-000000000000}"/>
    <hyperlink ref="B2" location="'4 - Income Statement'!A1" display="Wksh4" xr:uid="{00000000-0004-0000-0F00-000001000000}"/>
    <hyperlink ref="B3" location="'6 - Key Financials'!A1" display="Wksh6" xr:uid="{00000000-0004-0000-0F00-000002000000}"/>
    <hyperlink ref="A3" location="'5 - Cash Flow'!A1" display="Wksh5" xr:uid="{00000000-0004-0000-0F00-000003000000}"/>
    <hyperlink ref="A4" location="'7 - Ratio Analysis'!A1" display="Wksh7" xr:uid="{00000000-0004-0000-0F00-000004000000}"/>
    <hyperlink ref="A5" location="'9 - Horizontal Analysis'!A1" display="Wksh9" xr:uid="{00000000-0004-0000-0F00-000005000000}"/>
    <hyperlink ref="B5" location="'10 - Vertical Analysis'!A1" display="Wksh10" xr:uid="{00000000-0004-0000-0F00-000006000000}"/>
    <hyperlink ref="A6" location="'11 - Pro Forma (Simple)'!A1" display="Wksh11" xr:uid="{00000000-0004-0000-0F00-000007000000}"/>
    <hyperlink ref="B6" location="'12 - Pro Forma (Linear) '!A1" display="Wksh12" xr:uid="{00000000-0004-0000-0F00-000008000000}"/>
    <hyperlink ref="A8" location="'15 -Budget Analysis'!A1" display="Wksh15" xr:uid="{00000000-0004-0000-0F00-000009000000}"/>
    <hyperlink ref="B7" location="'14 - Scenario Analysis'!A1" display="Wksh14" xr:uid="{00000000-0004-0000-0F00-00000A000000}"/>
    <hyperlink ref="A7" location="'13 - Pro Forma (Exp)'!A1" display="Wksh13" xr:uid="{00000000-0004-0000-0F00-00000B000000}"/>
    <hyperlink ref="B4" location="'8 - Benchmark Analysis'!A1" display="Wksh8" xr:uid="{00000000-0004-0000-0F00-00000C000000}"/>
    <hyperlink ref="A1" location="'1 - Control Menu'!A1" display="Home" xr:uid="{00000000-0004-0000-0F00-00000D000000}"/>
    <hyperlink ref="B1" location="'2 - General Input'!A1" display="Wksh2" xr:uid="{00000000-0004-0000-0F00-00000E000000}"/>
  </hyperlinks>
  <pageMargins left="0.75" right="0.75" top="1" bottom="1" header="0.5" footer="0.5"/>
  <pageSetup scale="72" orientation="portrait" horizontalDpi="300" verticalDpi="300" r:id="rId1"/>
  <headerFooter alignWithMargins="0"/>
  <rowBreaks count="1" manualBreakCount="1">
    <brk id="72" max="16383" man="1"/>
  </rowBreaks>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9"/>
  <sheetViews>
    <sheetView view="pageBreakPreview" topLeftCell="D1" zoomScaleNormal="100" workbookViewId="0">
      <selection activeCell="G7" sqref="G7"/>
    </sheetView>
  </sheetViews>
  <sheetFormatPr defaultRowHeight="12.75" x14ac:dyDescent="0.2"/>
  <cols>
    <col min="1" max="1" width="2.28515625" customWidth="1"/>
    <col min="2" max="2" width="6.42578125" bestFit="1" customWidth="1"/>
    <col min="3" max="3" width="39.28515625" bestFit="1" customWidth="1"/>
    <col min="4" max="4" width="14.28515625" bestFit="1" customWidth="1"/>
    <col min="5" max="5" width="14" bestFit="1" customWidth="1"/>
    <col min="6" max="6" width="7.140625" bestFit="1" customWidth="1"/>
    <col min="7" max="7" width="6" customWidth="1"/>
  </cols>
  <sheetData>
    <row r="1" spans="1:5" x14ac:dyDescent="0.2">
      <c r="A1" s="4" t="s">
        <v>93</v>
      </c>
    </row>
    <row r="2" spans="1:5" x14ac:dyDescent="0.2">
      <c r="A2" s="4" t="s">
        <v>94</v>
      </c>
    </row>
    <row r="3" spans="1:5" x14ac:dyDescent="0.2">
      <c r="A3" s="4" t="s">
        <v>95</v>
      </c>
    </row>
    <row r="6" spans="1:5" ht="13.5" thickBot="1" x14ac:dyDescent="0.25">
      <c r="A6" t="s">
        <v>96</v>
      </c>
    </row>
    <row r="7" spans="1:5" ht="13.5" thickBot="1" x14ac:dyDescent="0.25">
      <c r="B7" s="77" t="s">
        <v>97</v>
      </c>
      <c r="C7" s="77" t="s">
        <v>98</v>
      </c>
      <c r="D7" s="77" t="s">
        <v>99</v>
      </c>
      <c r="E7" s="77" t="s">
        <v>100</v>
      </c>
    </row>
    <row r="8" spans="1:5" ht="13.5" thickBot="1" x14ac:dyDescent="0.25">
      <c r="B8" s="68" t="s">
        <v>107</v>
      </c>
      <c r="C8" s="68" t="s">
        <v>108</v>
      </c>
      <c r="D8" s="79">
        <v>20525549.204436205</v>
      </c>
      <c r="E8" s="79">
        <v>12297836</v>
      </c>
    </row>
    <row r="11" spans="1:5" ht="13.5" thickBot="1" x14ac:dyDescent="0.25">
      <c r="A11" t="s">
        <v>101</v>
      </c>
    </row>
    <row r="12" spans="1:5" ht="13.5" thickBot="1" x14ac:dyDescent="0.25">
      <c r="B12" s="77" t="s">
        <v>97</v>
      </c>
      <c r="C12" s="77" t="s">
        <v>98</v>
      </c>
      <c r="D12" s="77" t="s">
        <v>99</v>
      </c>
      <c r="E12" s="77" t="s">
        <v>100</v>
      </c>
    </row>
    <row r="13" spans="1:5" ht="13.5" thickBot="1" x14ac:dyDescent="0.25">
      <c r="B13" s="68" t="s">
        <v>109</v>
      </c>
      <c r="C13" s="68" t="s">
        <v>110</v>
      </c>
      <c r="D13" s="80">
        <v>0.7</v>
      </c>
      <c r="E13" s="80">
        <v>1</v>
      </c>
    </row>
    <row r="16" spans="1:5" ht="13.5" thickBot="1" x14ac:dyDescent="0.25">
      <c r="A16" t="s">
        <v>102</v>
      </c>
    </row>
    <row r="17" spans="2:7" ht="13.5" thickBot="1" x14ac:dyDescent="0.25">
      <c r="B17" s="77" t="s">
        <v>97</v>
      </c>
      <c r="C17" s="77" t="s">
        <v>98</v>
      </c>
      <c r="D17" s="77" t="s">
        <v>103</v>
      </c>
      <c r="E17" s="77" t="s">
        <v>104</v>
      </c>
      <c r="F17" s="77" t="s">
        <v>105</v>
      </c>
      <c r="G17" s="77" t="s">
        <v>106</v>
      </c>
    </row>
    <row r="18" spans="2:7" x14ac:dyDescent="0.2">
      <c r="B18" s="78" t="s">
        <v>111</v>
      </c>
      <c r="C18" s="78" t="s">
        <v>112</v>
      </c>
      <c r="D18" s="81">
        <v>0</v>
      </c>
      <c r="E18" s="78" t="s">
        <v>113</v>
      </c>
      <c r="F18" s="78" t="s">
        <v>114</v>
      </c>
      <c r="G18" s="81">
        <v>0</v>
      </c>
    </row>
    <row r="19" spans="2:7" ht="13.5" thickBot="1" x14ac:dyDescent="0.25">
      <c r="B19" s="68" t="s">
        <v>109</v>
      </c>
      <c r="C19" s="68" t="s">
        <v>110</v>
      </c>
      <c r="D19" s="80">
        <v>1</v>
      </c>
      <c r="E19" s="68" t="s">
        <v>115</v>
      </c>
      <c r="F19" s="68" t="s">
        <v>114</v>
      </c>
      <c r="G19" s="68">
        <v>0</v>
      </c>
    </row>
  </sheetData>
  <customSheetViews>
    <customSheetView guid="{250789E3-B657-4A6D-AD7D-7EE7A7132AFA}" showGridLines="0" showRuler="0">
      <pageMargins left="0.75" right="0.75" top="1" bottom="1" header="0.5" footer="0.5"/>
      <headerFooter alignWithMargins="0"/>
    </customSheetView>
  </customSheetViews>
  <phoneticPr fontId="0" type="noConversion"/>
  <pageMargins left="0.75" right="0.75" top="1" bottom="1" header="0.5" footer="0.5"/>
  <pageSetup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2"/>
  <sheetViews>
    <sheetView view="pageBreakPreview" zoomScaleNormal="100" workbookViewId="0">
      <selection activeCell="D41" sqref="D41"/>
    </sheetView>
  </sheetViews>
  <sheetFormatPr defaultRowHeight="12.75" x14ac:dyDescent="0.2"/>
  <cols>
    <col min="1" max="1" width="2.28515625" customWidth="1"/>
    <col min="2" max="2" width="6.42578125" bestFit="1" customWidth="1"/>
    <col min="3" max="3" width="62.28515625" bestFit="1" customWidth="1"/>
    <col min="4" max="4" width="14.28515625" bestFit="1" customWidth="1"/>
    <col min="5" max="5" width="14.140625" bestFit="1" customWidth="1"/>
    <col min="6" max="6" width="10.5703125" bestFit="1" customWidth="1"/>
    <col min="7" max="7" width="7.28515625" bestFit="1" customWidth="1"/>
  </cols>
  <sheetData>
    <row r="1" spans="1:5" x14ac:dyDescent="0.2">
      <c r="A1" s="4" t="s">
        <v>93</v>
      </c>
    </row>
    <row r="2" spans="1:5" x14ac:dyDescent="0.2">
      <c r="A2" s="4" t="s">
        <v>94</v>
      </c>
    </row>
    <row r="3" spans="1:5" x14ac:dyDescent="0.2">
      <c r="A3" s="4" t="s">
        <v>132</v>
      </c>
    </row>
    <row r="6" spans="1:5" ht="13.5" thickBot="1" x14ac:dyDescent="0.25">
      <c r="A6" t="s">
        <v>96</v>
      </c>
    </row>
    <row r="7" spans="1:5" ht="13.5" thickBot="1" x14ac:dyDescent="0.25">
      <c r="B7" s="77" t="s">
        <v>97</v>
      </c>
      <c r="C7" s="77" t="s">
        <v>98</v>
      </c>
      <c r="D7" s="77" t="s">
        <v>99</v>
      </c>
      <c r="E7" s="77" t="s">
        <v>100</v>
      </c>
    </row>
    <row r="8" spans="1:5" ht="13.5" thickBot="1" x14ac:dyDescent="0.25">
      <c r="B8" s="68" t="s">
        <v>133</v>
      </c>
      <c r="C8" s="68" t="s">
        <v>108</v>
      </c>
      <c r="D8" s="79">
        <v>65536151.190402493</v>
      </c>
      <c r="E8" s="79">
        <v>59853342.121284343</v>
      </c>
    </row>
    <row r="11" spans="1:5" ht="13.5" thickBot="1" x14ac:dyDescent="0.25">
      <c r="A11" t="s">
        <v>101</v>
      </c>
    </row>
    <row r="12" spans="1:5" ht="13.5" thickBot="1" x14ac:dyDescent="0.25">
      <c r="B12" s="77" t="s">
        <v>97</v>
      </c>
      <c r="C12" s="77" t="s">
        <v>98</v>
      </c>
      <c r="D12" s="77" t="s">
        <v>99</v>
      </c>
      <c r="E12" s="77" t="s">
        <v>100</v>
      </c>
    </row>
    <row r="13" spans="1:5" x14ac:dyDescent="0.2">
      <c r="B13" s="78" t="s">
        <v>134</v>
      </c>
      <c r="C13" s="78" t="s">
        <v>135</v>
      </c>
      <c r="D13" s="83">
        <v>0</v>
      </c>
      <c r="E13" s="83">
        <v>0</v>
      </c>
    </row>
    <row r="14" spans="1:5" x14ac:dyDescent="0.2">
      <c r="B14" s="78" t="s">
        <v>136</v>
      </c>
      <c r="C14" s="78" t="s">
        <v>135</v>
      </c>
      <c r="D14" s="83">
        <v>0.02</v>
      </c>
      <c r="E14" s="83">
        <v>1.4999999999999999E-2</v>
      </c>
    </row>
    <row r="15" spans="1:5" x14ac:dyDescent="0.2">
      <c r="B15" s="78" t="s">
        <v>137</v>
      </c>
      <c r="C15" s="78" t="s">
        <v>138</v>
      </c>
      <c r="D15" s="83">
        <v>0.05</v>
      </c>
      <c r="E15" s="83">
        <v>4.4999999999999998E-2</v>
      </c>
    </row>
    <row r="16" spans="1:5" x14ac:dyDescent="0.2">
      <c r="B16" s="78" t="s">
        <v>139</v>
      </c>
      <c r="C16" s="78" t="s">
        <v>135</v>
      </c>
      <c r="D16" s="83">
        <v>0.35</v>
      </c>
      <c r="E16" s="83">
        <v>0.34499999999999997</v>
      </c>
    </row>
    <row r="17" spans="1:7" ht="13.5" thickBot="1" x14ac:dyDescent="0.25">
      <c r="B17" s="68" t="s">
        <v>140</v>
      </c>
      <c r="C17" s="68" t="s">
        <v>135</v>
      </c>
      <c r="D17" s="84">
        <v>0.6</v>
      </c>
      <c r="E17" s="84">
        <v>0.59499999999999997</v>
      </c>
    </row>
    <row r="20" spans="1:7" ht="13.5" thickBot="1" x14ac:dyDescent="0.25">
      <c r="A20" t="s">
        <v>102</v>
      </c>
    </row>
    <row r="21" spans="1:7" ht="13.5" thickBot="1" x14ac:dyDescent="0.25">
      <c r="B21" s="77" t="s">
        <v>97</v>
      </c>
      <c r="C21" s="77" t="s">
        <v>98</v>
      </c>
      <c r="D21" s="77" t="s">
        <v>103</v>
      </c>
      <c r="E21" s="77" t="s">
        <v>104</v>
      </c>
      <c r="F21" s="77" t="s">
        <v>105</v>
      </c>
      <c r="G21" s="77" t="s">
        <v>106</v>
      </c>
    </row>
    <row r="22" spans="1:7" x14ac:dyDescent="0.2">
      <c r="B22" s="78" t="s">
        <v>141</v>
      </c>
      <c r="C22" s="78" t="s">
        <v>135</v>
      </c>
      <c r="D22" s="83">
        <v>1</v>
      </c>
      <c r="E22" s="78" t="s">
        <v>142</v>
      </c>
      <c r="F22" s="78" t="s">
        <v>114</v>
      </c>
      <c r="G22" s="78">
        <v>0</v>
      </c>
    </row>
    <row r="23" spans="1:7" x14ac:dyDescent="0.2">
      <c r="B23" s="78" t="s">
        <v>134</v>
      </c>
      <c r="C23" s="78" t="s">
        <v>135</v>
      </c>
      <c r="D23" s="83">
        <v>0</v>
      </c>
      <c r="E23" s="78" t="s">
        <v>143</v>
      </c>
      <c r="F23" s="78" t="s">
        <v>144</v>
      </c>
      <c r="G23" s="78">
        <v>1</v>
      </c>
    </row>
    <row r="24" spans="1:7" x14ac:dyDescent="0.2">
      <c r="B24" s="78" t="s">
        <v>136</v>
      </c>
      <c r="C24" s="78" t="s">
        <v>135</v>
      </c>
      <c r="D24" s="83">
        <v>1.4999999999999999E-2</v>
      </c>
      <c r="E24" s="78" t="s">
        <v>145</v>
      </c>
      <c r="F24" s="78" t="s">
        <v>144</v>
      </c>
      <c r="G24" s="78">
        <v>0.98499999999999999</v>
      </c>
    </row>
    <row r="25" spans="1:7" x14ac:dyDescent="0.2">
      <c r="B25" s="78" t="s">
        <v>137</v>
      </c>
      <c r="C25" s="78" t="s">
        <v>138</v>
      </c>
      <c r="D25" s="83">
        <v>4.4999999999999998E-2</v>
      </c>
      <c r="E25" s="78" t="s">
        <v>146</v>
      </c>
      <c r="F25" s="78" t="s">
        <v>144</v>
      </c>
      <c r="G25" s="78">
        <v>0.95499999999999996</v>
      </c>
    </row>
    <row r="26" spans="1:7" x14ac:dyDescent="0.2">
      <c r="B26" s="78" t="s">
        <v>139</v>
      </c>
      <c r="C26" s="78" t="s">
        <v>135</v>
      </c>
      <c r="D26" s="83">
        <v>0.34499999999999997</v>
      </c>
      <c r="E26" s="78" t="s">
        <v>147</v>
      </c>
      <c r="F26" s="78" t="s">
        <v>144</v>
      </c>
      <c r="G26" s="78">
        <v>0.65500000000000003</v>
      </c>
    </row>
    <row r="27" spans="1:7" x14ac:dyDescent="0.2">
      <c r="B27" s="78" t="s">
        <v>140</v>
      </c>
      <c r="C27" s="78" t="s">
        <v>135</v>
      </c>
      <c r="D27" s="83">
        <v>0.59499999999999997</v>
      </c>
      <c r="E27" s="78" t="s">
        <v>148</v>
      </c>
      <c r="F27" s="78" t="s">
        <v>144</v>
      </c>
      <c r="G27" s="78">
        <v>0.40500000000000003</v>
      </c>
    </row>
    <row r="28" spans="1:7" x14ac:dyDescent="0.2">
      <c r="B28" s="78" t="s">
        <v>134</v>
      </c>
      <c r="C28" s="78" t="s">
        <v>135</v>
      </c>
      <c r="D28" s="83">
        <v>0</v>
      </c>
      <c r="E28" s="78" t="s">
        <v>149</v>
      </c>
      <c r="F28" s="78" t="s">
        <v>114</v>
      </c>
      <c r="G28" s="83">
        <v>0</v>
      </c>
    </row>
    <row r="29" spans="1:7" x14ac:dyDescent="0.2">
      <c r="B29" s="78" t="s">
        <v>136</v>
      </c>
      <c r="C29" s="78" t="s">
        <v>135</v>
      </c>
      <c r="D29" s="83">
        <v>1.4999999999999999E-2</v>
      </c>
      <c r="E29" s="78" t="s">
        <v>150</v>
      </c>
      <c r="F29" s="78" t="s">
        <v>144</v>
      </c>
      <c r="G29" s="83">
        <v>1.4999999999999999E-2</v>
      </c>
    </row>
    <row r="30" spans="1:7" x14ac:dyDescent="0.2">
      <c r="B30" s="78" t="s">
        <v>137</v>
      </c>
      <c r="C30" s="78" t="s">
        <v>138</v>
      </c>
      <c r="D30" s="83">
        <v>4.4999999999999998E-2</v>
      </c>
      <c r="E30" s="78" t="s">
        <v>151</v>
      </c>
      <c r="F30" s="78" t="s">
        <v>144</v>
      </c>
      <c r="G30" s="83">
        <v>4.4999999999999998E-2</v>
      </c>
    </row>
    <row r="31" spans="1:7" x14ac:dyDescent="0.2">
      <c r="B31" s="78" t="s">
        <v>139</v>
      </c>
      <c r="C31" s="78" t="s">
        <v>135</v>
      </c>
      <c r="D31" s="83">
        <v>0.34499999999999997</v>
      </c>
      <c r="E31" s="78" t="s">
        <v>152</v>
      </c>
      <c r="F31" s="78" t="s">
        <v>144</v>
      </c>
      <c r="G31" s="83">
        <v>0.34499999999999997</v>
      </c>
    </row>
    <row r="32" spans="1:7" ht="13.5" thickBot="1" x14ac:dyDescent="0.25">
      <c r="B32" s="68" t="s">
        <v>140</v>
      </c>
      <c r="C32" s="68" t="s">
        <v>135</v>
      </c>
      <c r="D32" s="84">
        <v>0.59499999999999997</v>
      </c>
      <c r="E32" s="68" t="s">
        <v>153</v>
      </c>
      <c r="F32" s="68" t="s">
        <v>144</v>
      </c>
      <c r="G32" s="84">
        <v>0.59499999999999997</v>
      </c>
    </row>
  </sheetData>
  <customSheetViews>
    <customSheetView guid="{250789E3-B657-4A6D-AD7D-7EE7A7132AFA}" showGridLines="0" showRuler="0">
      <pageMargins left="0.75" right="0.75" top="1" bottom="1" header="0.5" footer="0.5"/>
      <headerFooter alignWithMargins="0"/>
    </customSheetView>
  </customSheetViews>
  <phoneticPr fontId="0" type="noConversion"/>
  <pageMargins left="0.75" right="0.75" top="1" bottom="1" header="0.5" footer="0.5"/>
  <pageSetup scale="77"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72</vt:i4>
      </vt:variant>
    </vt:vector>
  </HeadingPairs>
  <TitlesOfParts>
    <vt:vector size="90" baseType="lpstr">
      <vt:lpstr>1 - Control Menu</vt:lpstr>
      <vt:lpstr>2 - General Input</vt:lpstr>
      <vt:lpstr>3 - Balance Sheet</vt:lpstr>
      <vt:lpstr>4 - Income Statement</vt:lpstr>
      <vt:lpstr>5 - Cash Flow</vt:lpstr>
      <vt:lpstr>6 - Key Financials</vt:lpstr>
      <vt:lpstr>7 - Ratio Analysis</vt:lpstr>
      <vt:lpstr>8 - Benchmark Analysis</vt:lpstr>
      <vt:lpstr>9 - Horizontal Analysis</vt:lpstr>
      <vt:lpstr>10 - Vertical Analysis</vt:lpstr>
      <vt:lpstr>11 - Pro Forma (Simple)</vt:lpstr>
      <vt:lpstr>12 - Pro Forma (Linear) </vt:lpstr>
      <vt:lpstr>13 - Pro Forma (Exp)</vt:lpstr>
      <vt:lpstr>14 - Scenario Analysis</vt:lpstr>
      <vt:lpstr>15 -Budget Analysis</vt:lpstr>
      <vt:lpstr>16 - Final Budgets</vt:lpstr>
      <vt:lpstr>Answer Report 1</vt:lpstr>
      <vt:lpstr>Answer Report 2</vt:lpstr>
      <vt:lpstr>acid1</vt:lpstr>
      <vt:lpstr>acid2</vt:lpstr>
      <vt:lpstr>acid3</vt:lpstr>
      <vt:lpstr>acid4</vt:lpstr>
      <vt:lpstr>acid5</vt:lpstr>
      <vt:lpstr>budgetcommonequity</vt:lpstr>
      <vt:lpstr>common1</vt:lpstr>
      <vt:lpstr>common2</vt:lpstr>
      <vt:lpstr>common3</vt:lpstr>
      <vt:lpstr>common4</vt:lpstr>
      <vt:lpstr>common5</vt:lpstr>
      <vt:lpstr>currentassets1</vt:lpstr>
      <vt:lpstr>currentassets2</vt:lpstr>
      <vt:lpstr>currentassets3</vt:lpstr>
      <vt:lpstr>currentassets4</vt:lpstr>
      <vt:lpstr>currentassets5</vt:lpstr>
      <vt:lpstr>currentliabilities1</vt:lpstr>
      <vt:lpstr>currentliabilities2</vt:lpstr>
      <vt:lpstr>currentliabilities3</vt:lpstr>
      <vt:lpstr>currentliabilities4</vt:lpstr>
      <vt:lpstr>currentliabilities5</vt:lpstr>
      <vt:lpstr>equity1</vt:lpstr>
      <vt:lpstr>equity2</vt:lpstr>
      <vt:lpstr>equity3</vt:lpstr>
      <vt:lpstr>equity4</vt:lpstr>
      <vt:lpstr>equity5</vt:lpstr>
      <vt:lpstr>extra1</vt:lpstr>
      <vt:lpstr>extra2</vt:lpstr>
      <vt:lpstr>extra3</vt:lpstr>
      <vt:lpstr>extra4</vt:lpstr>
      <vt:lpstr>extra5</vt:lpstr>
      <vt:lpstr>financingcash1</vt:lpstr>
      <vt:lpstr>financingcash2</vt:lpstr>
      <vt:lpstr>financingcash3</vt:lpstr>
      <vt:lpstr>financingcash4</vt:lpstr>
      <vt:lpstr>financingcash5</vt:lpstr>
      <vt:lpstr>investmentcash1</vt:lpstr>
      <vt:lpstr>investmentcash2</vt:lpstr>
      <vt:lpstr>investmentcash3</vt:lpstr>
      <vt:lpstr>investmentcash4</vt:lpstr>
      <vt:lpstr>investmentcash5</vt:lpstr>
      <vt:lpstr>noncurrentassets1</vt:lpstr>
      <vt:lpstr>noncurrentassets2</vt:lpstr>
      <vt:lpstr>noncurrentassets3</vt:lpstr>
      <vt:lpstr>noncurrentassets4</vt:lpstr>
      <vt:lpstr>noncurrentassets5</vt:lpstr>
      <vt:lpstr>nonoperatingexpenses1</vt:lpstr>
      <vt:lpstr>nonoperatingexpenses2</vt:lpstr>
      <vt:lpstr>nonoperatingexpenses3</vt:lpstr>
      <vt:lpstr>nonoperatingexpenses4</vt:lpstr>
      <vt:lpstr>nonoperatingexpenses5</vt:lpstr>
      <vt:lpstr>operatingcash1</vt:lpstr>
      <vt:lpstr>operatingcash2</vt:lpstr>
      <vt:lpstr>operatingcash3</vt:lpstr>
      <vt:lpstr>operatingcash4</vt:lpstr>
      <vt:lpstr>operatingcash5</vt:lpstr>
      <vt:lpstr>'10 - Vertical Analysis'!Print_Area</vt:lpstr>
      <vt:lpstr>'11 - Pro Forma (Simple)'!Print_Area</vt:lpstr>
      <vt:lpstr>'12 - Pro Forma (Linear) '!Print_Area</vt:lpstr>
      <vt:lpstr>'3 - Balance Sheet'!Print_Area</vt:lpstr>
      <vt:lpstr>'4 - Income Statement'!Print_Area</vt:lpstr>
      <vt:lpstr>'5 - Cash Flow'!Print_Area</vt:lpstr>
      <vt:lpstr>'6 - Key Financials'!Print_Area</vt:lpstr>
      <vt:lpstr>'7 - Ratio Analysis'!Print_Area</vt:lpstr>
      <vt:lpstr>'8 - Benchmark Analysis'!Print_Area</vt:lpstr>
      <vt:lpstr>'9 - Horizontal Analysis'!Print_Area</vt:lpstr>
      <vt:lpstr>'11 - Pro Forma (Simple)'!Print_Titles</vt:lpstr>
      <vt:lpstr>'3 - Balance Sheet'!Print_Titles</vt:lpstr>
      <vt:lpstr>'4 - Income Statement'!Print_Titles</vt:lpstr>
      <vt:lpstr>'5 - Cash Flow'!Print_Titles</vt:lpstr>
      <vt:lpstr>'6 - Key Financials'!Print_Titles</vt:lpstr>
      <vt:lpstr>'7 - Ratio Analysis'!Print_Titles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 Financial Analysis</dc:title>
  <dc:subject/>
  <dc:creator>Matt H. Evans</dc:creator>
  <cp:lastModifiedBy>Ahmed Abuouf</cp:lastModifiedBy>
  <cp:lastPrinted>2011-01-09T13:43:53Z</cp:lastPrinted>
  <dcterms:created xsi:type="dcterms:W3CDTF">2002-03-04T14:14:40Z</dcterms:created>
  <dcterms:modified xsi:type="dcterms:W3CDTF">2024-01-01T14:41:08Z</dcterms:modified>
</cp:coreProperties>
</file>