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.Ouf\Financial Analysis\"/>
    </mc:Choice>
  </mc:AlternateContent>
  <xr:revisionPtr revIDLastSave="0" documentId="13_ncr:1_{55B34850-ED0A-4D8F-A256-FF60DFA82313}" xr6:coauthVersionLast="47" xr6:coauthVersionMax="47" xr10:uidLastSave="{00000000-0000-0000-0000-000000000000}"/>
  <bookViews>
    <workbookView xWindow="-120" yWindow="-120" windowWidth="29040" windowHeight="15840" activeTab="4" xr2:uid="{999985C7-ED9E-414B-AA07-33C667246665}"/>
  </bookViews>
  <sheets>
    <sheet name="Material" sheetId="3" r:id="rId1"/>
    <sheet name="Manpower" sheetId="6" r:id="rId2"/>
    <sheet name="Machine" sheetId="8" r:id="rId3"/>
    <sheet name="Other" sheetId="9" r:id="rId4"/>
    <sheet name="Industerial Costs" sheetId="1" r:id="rId5"/>
  </sheets>
  <definedNames>
    <definedName name="_xlnm._FilterDatabase" localSheetId="1" hidden="1">Manpower!$B$5:$C$5</definedName>
    <definedName name="_xlnm.Print_Area" localSheetId="4">'Industerial Costs'!$A$1:$O$24</definedName>
    <definedName name="_xlnm.Print_Area" localSheetId="2">Machine!$A$3:$G$18</definedName>
    <definedName name="_xlnm.Print_Area" localSheetId="1">Manpower!$A$1:$U$40</definedName>
    <definedName name="_xlnm.Print_Area" localSheetId="3">Other!$A$3:$M$17</definedName>
    <definedName name="_xlnm.Print_Titles" localSheetId="1">Manpower!$4:$5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3" l="1"/>
  <c r="E13" i="3"/>
  <c r="F13" i="3"/>
  <c r="G13" i="3"/>
  <c r="H13" i="3"/>
  <c r="I13" i="3"/>
  <c r="J13" i="3"/>
  <c r="D14" i="3"/>
  <c r="E14" i="3"/>
  <c r="F14" i="3"/>
  <c r="G14" i="3"/>
  <c r="H14" i="3"/>
  <c r="I14" i="3"/>
  <c r="J14" i="3"/>
  <c r="D15" i="3"/>
  <c r="E15" i="3"/>
  <c r="F15" i="3"/>
  <c r="G15" i="3"/>
  <c r="H15" i="3"/>
  <c r="I15" i="3"/>
  <c r="J15" i="3"/>
  <c r="D16" i="3"/>
  <c r="E16" i="3"/>
  <c r="F16" i="3"/>
  <c r="G16" i="3"/>
  <c r="H16" i="3"/>
  <c r="I16" i="3"/>
  <c r="J16" i="3"/>
  <c r="D17" i="3"/>
  <c r="E17" i="3"/>
  <c r="F17" i="3"/>
  <c r="G17" i="3"/>
  <c r="H17" i="3"/>
  <c r="I17" i="3"/>
  <c r="J17" i="3"/>
  <c r="D18" i="3"/>
  <c r="E18" i="3"/>
  <c r="F18" i="3"/>
  <c r="G18" i="3"/>
  <c r="H18" i="3"/>
  <c r="I18" i="3"/>
  <c r="J18" i="3"/>
  <c r="D19" i="3"/>
  <c r="E19" i="3"/>
  <c r="F19" i="3"/>
  <c r="G19" i="3"/>
  <c r="H19" i="3"/>
  <c r="I19" i="3"/>
  <c r="J19" i="3"/>
  <c r="E12" i="3"/>
  <c r="F12" i="3"/>
  <c r="G12" i="3"/>
  <c r="H12" i="3"/>
  <c r="I12" i="3"/>
  <c r="J12" i="3"/>
  <c r="D12" i="3"/>
  <c r="W36" i="6" l="1"/>
  <c r="A1" i="1"/>
  <c r="A2" i="9"/>
  <c r="A1" i="6"/>
  <c r="A3" i="8"/>
  <c r="T13" i="1"/>
  <c r="U17" i="1"/>
  <c r="U19" i="1" s="1"/>
  <c r="U22" i="1" s="1"/>
  <c r="T6" i="1"/>
  <c r="T11" i="1"/>
  <c r="T12" i="1"/>
  <c r="T9" i="1"/>
  <c r="T10" i="1"/>
  <c r="T8" i="1"/>
  <c r="T7" i="1"/>
  <c r="L7" i="9"/>
  <c r="L8" i="9"/>
  <c r="L9" i="9"/>
  <c r="L10" i="9"/>
  <c r="L11" i="9"/>
  <c r="L12" i="9"/>
  <c r="L13" i="9"/>
  <c r="L6" i="9"/>
  <c r="I14" i="9"/>
  <c r="J14" i="9"/>
  <c r="A3" i="6"/>
  <c r="U21" i="1" l="1"/>
  <c r="P35" i="6" l="1"/>
  <c r="O35" i="6"/>
  <c r="I35" i="6"/>
  <c r="H35" i="6"/>
  <c r="G35" i="6"/>
  <c r="V34" i="6"/>
  <c r="N34" i="6"/>
  <c r="M34" i="6"/>
  <c r="L34" i="6"/>
  <c r="K34" i="6"/>
  <c r="J34" i="6"/>
  <c r="V33" i="6"/>
  <c r="U33" i="6"/>
  <c r="N33" i="6"/>
  <c r="M33" i="6"/>
  <c r="L33" i="6"/>
  <c r="K33" i="6"/>
  <c r="J33" i="6"/>
  <c r="Q33" i="6" s="1"/>
  <c r="U32" i="6"/>
  <c r="N32" i="6"/>
  <c r="M32" i="6"/>
  <c r="L32" i="6"/>
  <c r="K32" i="6"/>
  <c r="J32" i="6"/>
  <c r="U31" i="6"/>
  <c r="V31" i="6" s="1"/>
  <c r="N31" i="6"/>
  <c r="M31" i="6"/>
  <c r="L31" i="6"/>
  <c r="K31" i="6"/>
  <c r="J31" i="6"/>
  <c r="Q31" i="6" s="1"/>
  <c r="U30" i="6"/>
  <c r="V30" i="6"/>
  <c r="N30" i="6"/>
  <c r="M30" i="6"/>
  <c r="L30" i="6"/>
  <c r="K30" i="6"/>
  <c r="J30" i="6"/>
  <c r="U29" i="6"/>
  <c r="V29" i="6"/>
  <c r="N29" i="6"/>
  <c r="M29" i="6"/>
  <c r="L29" i="6"/>
  <c r="K29" i="6"/>
  <c r="J29" i="6"/>
  <c r="Q29" i="6" s="1"/>
  <c r="U28" i="6"/>
  <c r="V28" i="6"/>
  <c r="N28" i="6"/>
  <c r="M28" i="6"/>
  <c r="L28" i="6"/>
  <c r="K28" i="6"/>
  <c r="J28" i="6"/>
  <c r="U27" i="6"/>
  <c r="V27" i="6"/>
  <c r="N27" i="6"/>
  <c r="M27" i="6"/>
  <c r="L27" i="6"/>
  <c r="K27" i="6"/>
  <c r="J27" i="6"/>
  <c r="U26" i="6"/>
  <c r="V26" i="6"/>
  <c r="N26" i="6"/>
  <c r="M26" i="6"/>
  <c r="L26" i="6"/>
  <c r="K26" i="6"/>
  <c r="J26" i="6"/>
  <c r="U25" i="6"/>
  <c r="V25" i="6"/>
  <c r="N25" i="6"/>
  <c r="M25" i="6"/>
  <c r="L25" i="6"/>
  <c r="K25" i="6"/>
  <c r="J25" i="6"/>
  <c r="U24" i="6"/>
  <c r="V24" i="6"/>
  <c r="N24" i="6"/>
  <c r="M24" i="6"/>
  <c r="L24" i="6"/>
  <c r="K24" i="6"/>
  <c r="J24" i="6"/>
  <c r="U23" i="6"/>
  <c r="V23" i="6"/>
  <c r="N23" i="6"/>
  <c r="M23" i="6"/>
  <c r="L23" i="6"/>
  <c r="K23" i="6"/>
  <c r="J23" i="6"/>
  <c r="U22" i="6"/>
  <c r="N22" i="6"/>
  <c r="M22" i="6"/>
  <c r="L22" i="6"/>
  <c r="K22" i="6"/>
  <c r="Q22" i="6" s="1"/>
  <c r="J22" i="6"/>
  <c r="U21" i="6"/>
  <c r="U35" i="6" s="1"/>
  <c r="V21" i="6"/>
  <c r="N21" i="6"/>
  <c r="M21" i="6"/>
  <c r="L21" i="6"/>
  <c r="K21" i="6"/>
  <c r="J21" i="6"/>
  <c r="V20" i="6"/>
  <c r="N20" i="6"/>
  <c r="M20" i="6"/>
  <c r="L20" i="6"/>
  <c r="K20" i="6"/>
  <c r="J20" i="6"/>
  <c r="Q20" i="6" s="1"/>
  <c r="W20" i="6" s="1"/>
  <c r="S19" i="6"/>
  <c r="V19" i="6" s="1"/>
  <c r="N19" i="6"/>
  <c r="M19" i="6"/>
  <c r="L19" i="6"/>
  <c r="K19" i="6"/>
  <c r="J19" i="6"/>
  <c r="T18" i="6"/>
  <c r="S18" i="6"/>
  <c r="N18" i="6"/>
  <c r="M18" i="6"/>
  <c r="L18" i="6"/>
  <c r="K18" i="6"/>
  <c r="J18" i="6"/>
  <c r="T17" i="6"/>
  <c r="S17" i="6"/>
  <c r="V17" i="6" s="1"/>
  <c r="N17" i="6"/>
  <c r="M17" i="6"/>
  <c r="L17" i="6"/>
  <c r="K17" i="6"/>
  <c r="J17" i="6"/>
  <c r="T16" i="6"/>
  <c r="S16" i="6"/>
  <c r="N16" i="6"/>
  <c r="M16" i="6"/>
  <c r="L16" i="6"/>
  <c r="K16" i="6"/>
  <c r="J16" i="6"/>
  <c r="T15" i="6"/>
  <c r="S15" i="6"/>
  <c r="N15" i="6"/>
  <c r="M15" i="6"/>
  <c r="L15" i="6"/>
  <c r="K15" i="6"/>
  <c r="Q15" i="6" s="1"/>
  <c r="J15" i="6"/>
  <c r="T14" i="6"/>
  <c r="S14" i="6"/>
  <c r="N14" i="6"/>
  <c r="M14" i="6"/>
  <c r="L14" i="6"/>
  <c r="K14" i="6"/>
  <c r="J14" i="6"/>
  <c r="Q14" i="6" s="1"/>
  <c r="T13" i="6"/>
  <c r="S13" i="6"/>
  <c r="V13" i="6" s="1"/>
  <c r="N13" i="6"/>
  <c r="M13" i="6"/>
  <c r="L13" i="6"/>
  <c r="K13" i="6"/>
  <c r="J13" i="6"/>
  <c r="T12" i="6"/>
  <c r="V12" i="6" s="1"/>
  <c r="S12" i="6"/>
  <c r="N12" i="6"/>
  <c r="M12" i="6"/>
  <c r="L12" i="6"/>
  <c r="K12" i="6"/>
  <c r="J12" i="6"/>
  <c r="Q12" i="6" s="1"/>
  <c r="T11" i="6"/>
  <c r="T35" i="6" s="1"/>
  <c r="N11" i="6"/>
  <c r="M11" i="6"/>
  <c r="L11" i="6"/>
  <c r="K11" i="6"/>
  <c r="J11" i="6"/>
  <c r="Q11" i="6" s="1"/>
  <c r="S10" i="6"/>
  <c r="V10" i="6" s="1"/>
  <c r="N10" i="6"/>
  <c r="M10" i="6"/>
  <c r="L10" i="6"/>
  <c r="K10" i="6"/>
  <c r="J10" i="6"/>
  <c r="S9" i="6"/>
  <c r="V9" i="6" s="1"/>
  <c r="N9" i="6"/>
  <c r="M9" i="6"/>
  <c r="L9" i="6"/>
  <c r="K9" i="6"/>
  <c r="J9" i="6"/>
  <c r="S8" i="6"/>
  <c r="V8" i="6" s="1"/>
  <c r="N8" i="6"/>
  <c r="M8" i="6"/>
  <c r="L8" i="6"/>
  <c r="K8" i="6"/>
  <c r="J8" i="6"/>
  <c r="Q8" i="6" s="1"/>
  <c r="S7" i="6"/>
  <c r="V7" i="6" s="1"/>
  <c r="N7" i="6"/>
  <c r="M7" i="6"/>
  <c r="L7" i="6"/>
  <c r="K7" i="6"/>
  <c r="J7" i="6"/>
  <c r="S6" i="6"/>
  <c r="N6" i="6"/>
  <c r="M6" i="6"/>
  <c r="L6" i="6"/>
  <c r="K6" i="6"/>
  <c r="J6" i="6"/>
  <c r="V5" i="6"/>
  <c r="N5" i="6"/>
  <c r="M5" i="6"/>
  <c r="L5" i="6"/>
  <c r="L35" i="6" s="1"/>
  <c r="K5" i="6"/>
  <c r="J5" i="6"/>
  <c r="V11" i="6" l="1"/>
  <c r="W11" i="6" s="1"/>
  <c r="V18" i="6"/>
  <c r="W31" i="6"/>
  <c r="Q34" i="6"/>
  <c r="W34" i="6" s="1"/>
  <c r="Q6" i="6"/>
  <c r="Q25" i="6"/>
  <c r="W25" i="6" s="1"/>
  <c r="N35" i="6"/>
  <c r="Q10" i="6"/>
  <c r="W10" i="6" s="1"/>
  <c r="V14" i="6"/>
  <c r="W14" i="6" s="1"/>
  <c r="Q16" i="6"/>
  <c r="Q17" i="6"/>
  <c r="W17" i="6" s="1"/>
  <c r="Q23" i="6"/>
  <c r="W23" i="6" s="1"/>
  <c r="Q26" i="6"/>
  <c r="W26" i="6" s="1"/>
  <c r="W8" i="6"/>
  <c r="S35" i="6"/>
  <c r="M35" i="6"/>
  <c r="W29" i="6"/>
  <c r="Q28" i="6"/>
  <c r="W28" i="6" s="1"/>
  <c r="K35" i="6"/>
  <c r="Q9" i="6"/>
  <c r="W9" i="6" s="1"/>
  <c r="Q21" i="6"/>
  <c r="W21" i="6" s="1"/>
  <c r="Q24" i="6"/>
  <c r="W24" i="6" s="1"/>
  <c r="V32" i="6"/>
  <c r="W33" i="6"/>
  <c r="J35" i="6"/>
  <c r="Q13" i="6"/>
  <c r="W13" i="6" s="1"/>
  <c r="Q32" i="6"/>
  <c r="V15" i="6"/>
  <c r="W15" i="6" s="1"/>
  <c r="V16" i="6"/>
  <c r="W16" i="6" s="1"/>
  <c r="Q18" i="6"/>
  <c r="Q19" i="6"/>
  <c r="W19" i="6" s="1"/>
  <c r="R35" i="6"/>
  <c r="Q27" i="6"/>
  <c r="W27" i="6" s="1"/>
  <c r="Q30" i="6"/>
  <c r="W30" i="6" s="1"/>
  <c r="W12" i="6"/>
  <c r="Q5" i="6"/>
  <c r="Q7" i="6"/>
  <c r="W7" i="6" s="1"/>
  <c r="V6" i="6"/>
  <c r="V22" i="6"/>
  <c r="W22" i="6" s="1"/>
  <c r="W18" i="6" l="1"/>
  <c r="W32" i="6"/>
  <c r="W6" i="6"/>
  <c r="V35" i="6"/>
  <c r="W5" i="6"/>
  <c r="Q35" i="6"/>
  <c r="W35" i="6" l="1"/>
  <c r="G14" i="9" l="1"/>
  <c r="D9" i="3" l="1"/>
  <c r="G10" i="8" l="1"/>
  <c r="G8" i="8"/>
  <c r="G9" i="8"/>
  <c r="G14" i="8"/>
  <c r="G11" i="8"/>
  <c r="G13" i="8"/>
  <c r="G12" i="8"/>
  <c r="G7" i="8" l="1"/>
  <c r="B7" i="8" l="1"/>
  <c r="B8" i="9"/>
  <c r="B10" i="8"/>
  <c r="H10" i="8" s="1"/>
  <c r="B11" i="8"/>
  <c r="B13" i="9"/>
  <c r="H3" i="1"/>
  <c r="A4" i="9"/>
  <c r="A5" i="8"/>
  <c r="B8" i="8"/>
  <c r="B12" i="8"/>
  <c r="B13" i="8"/>
  <c r="B7" i="9"/>
  <c r="B10" i="9"/>
  <c r="B11" i="9"/>
  <c r="B12" i="9"/>
  <c r="B9" i="8" l="1"/>
  <c r="B6" i="9"/>
  <c r="B9" i="9"/>
  <c r="B14" i="8"/>
  <c r="E8" i="1"/>
  <c r="E9" i="1"/>
  <c r="E12" i="1"/>
  <c r="E13" i="1"/>
  <c r="C20" i="3"/>
  <c r="R7" i="1" l="1"/>
  <c r="U7" i="1" s="1"/>
  <c r="E7" i="1"/>
  <c r="R11" i="1"/>
  <c r="U11" i="1" s="1"/>
  <c r="E11" i="1"/>
  <c r="R10" i="1"/>
  <c r="U10" i="1" s="1"/>
  <c r="E10" i="1"/>
  <c r="R6" i="1"/>
  <c r="U6" i="1" s="1"/>
  <c r="E6" i="1"/>
  <c r="G9" i="1"/>
  <c r="R8" i="1"/>
  <c r="U8" i="1" s="1"/>
  <c r="R12" i="1"/>
  <c r="U12" i="1" s="1"/>
  <c r="R9" i="1"/>
  <c r="U9" i="1" s="1"/>
  <c r="R13" i="1"/>
  <c r="U13" i="1" s="1"/>
  <c r="R14" i="1" l="1"/>
  <c r="U14" i="1"/>
  <c r="W15" i="1" s="1"/>
  <c r="F6" i="1"/>
  <c r="T14" i="1"/>
  <c r="W17" i="1" s="1"/>
  <c r="W19" i="1" s="1"/>
  <c r="K14" i="9"/>
  <c r="W16" i="1" l="1"/>
  <c r="B14" i="1"/>
  <c r="S24" i="1" s="1"/>
  <c r="F9" i="1"/>
  <c r="K13" i="3"/>
  <c r="L13" i="3" s="1"/>
  <c r="K14" i="3"/>
  <c r="L14" i="3" s="1"/>
  <c r="K15" i="3"/>
  <c r="L15" i="3" s="1"/>
  <c r="C9" i="1" s="1"/>
  <c r="D9" i="1" s="1"/>
  <c r="K16" i="3"/>
  <c r="L16" i="3" s="1"/>
  <c r="K17" i="3"/>
  <c r="L17" i="3" s="1"/>
  <c r="K18" i="3"/>
  <c r="L18" i="3" s="1"/>
  <c r="C12" i="1" s="1"/>
  <c r="K19" i="3"/>
  <c r="L19" i="3" s="1"/>
  <c r="C13" i="1" s="1"/>
  <c r="D13" i="1" s="1"/>
  <c r="K12" i="3"/>
  <c r="L12" i="3" s="1"/>
  <c r="H9" i="8"/>
  <c r="G8" i="1" s="1"/>
  <c r="H9" i="1"/>
  <c r="H13" i="8"/>
  <c r="H14" i="8"/>
  <c r="H7" i="8"/>
  <c r="G6" i="1" s="1"/>
  <c r="F15" i="8"/>
  <c r="E15" i="8"/>
  <c r="D15" i="8"/>
  <c r="C15" i="8"/>
  <c r="B15" i="8"/>
  <c r="C14" i="9"/>
  <c r="B14" i="9"/>
  <c r="M12" i="9"/>
  <c r="M8" i="9"/>
  <c r="G13" i="1" l="1"/>
  <c r="H13" i="1" s="1"/>
  <c r="G12" i="1"/>
  <c r="H12" i="1" s="1"/>
  <c r="H6" i="1"/>
  <c r="I12" i="1"/>
  <c r="J12" i="1" s="1"/>
  <c r="I8" i="1"/>
  <c r="J8" i="1" s="1"/>
  <c r="H12" i="8"/>
  <c r="H8" i="8"/>
  <c r="G7" i="1" s="1"/>
  <c r="H11" i="8"/>
  <c r="H8" i="1"/>
  <c r="M13" i="9"/>
  <c r="M10" i="9"/>
  <c r="M9" i="9"/>
  <c r="M7" i="9"/>
  <c r="M11" i="9"/>
  <c r="F14" i="9"/>
  <c r="D14" i="9"/>
  <c r="E14" i="9"/>
  <c r="H14" i="9"/>
  <c r="G15" i="8"/>
  <c r="H28" i="1" s="1"/>
  <c r="D12" i="1"/>
  <c r="G11" i="1" l="1"/>
  <c r="H11" i="1" s="1"/>
  <c r="G10" i="1"/>
  <c r="I9" i="1"/>
  <c r="J9" i="1" s="1"/>
  <c r="M6" i="9"/>
  <c r="I6" i="1" s="1"/>
  <c r="L14" i="9"/>
  <c r="I11" i="1"/>
  <c r="J11" i="1" s="1"/>
  <c r="I10" i="1"/>
  <c r="J10" i="1" s="1"/>
  <c r="I7" i="1"/>
  <c r="J7" i="1" s="1"/>
  <c r="I13" i="1"/>
  <c r="J13" i="1" s="1"/>
  <c r="H15" i="8"/>
  <c r="H7" i="1"/>
  <c r="G14" i="1" l="1"/>
  <c r="H10" i="1"/>
  <c r="H14" i="1" s="1"/>
  <c r="J28" i="1"/>
  <c r="L21" i="9"/>
  <c r="K9" i="1"/>
  <c r="L9" i="1" s="1"/>
  <c r="I14" i="1"/>
  <c r="M14" i="9"/>
  <c r="J6" i="1"/>
  <c r="J14" i="1" s="1"/>
  <c r="F28" i="1"/>
  <c r="C7" i="1"/>
  <c r="C8" i="1"/>
  <c r="C10" i="1"/>
  <c r="C11" i="1"/>
  <c r="E20" i="3"/>
  <c r="F20" i="3"/>
  <c r="G20" i="3"/>
  <c r="H20" i="3"/>
  <c r="I20" i="3"/>
  <c r="J20" i="3"/>
  <c r="D20" i="3"/>
  <c r="F9" i="3"/>
  <c r="G9" i="3"/>
  <c r="H9" i="3"/>
  <c r="I9" i="3"/>
  <c r="J9" i="3"/>
  <c r="E9" i="3"/>
  <c r="C6" i="1" l="1"/>
  <c r="L20" i="3"/>
  <c r="M9" i="1"/>
  <c r="Q9" i="1"/>
  <c r="N9" i="1"/>
  <c r="F10" i="1"/>
  <c r="F8" i="1"/>
  <c r="K20" i="3"/>
  <c r="D28" i="1" s="1"/>
  <c r="K7" i="3"/>
  <c r="K9" i="3"/>
  <c r="D8" i="1"/>
  <c r="D7" i="1"/>
  <c r="D11" i="1"/>
  <c r="D10" i="1"/>
  <c r="K7" i="1" l="1"/>
  <c r="L7" i="1" s="1"/>
  <c r="Q7" i="1" s="1"/>
  <c r="E14" i="1"/>
  <c r="D6" i="1"/>
  <c r="D14" i="1" s="1"/>
  <c r="C14" i="1"/>
  <c r="O9" i="1"/>
  <c r="S9" i="1"/>
  <c r="K10" i="1"/>
  <c r="F12" i="1"/>
  <c r="K12" i="1"/>
  <c r="L12" i="1" s="1"/>
  <c r="F7" i="1"/>
  <c r="F13" i="1"/>
  <c r="K13" i="1"/>
  <c r="L13" i="1" s="1"/>
  <c r="F11" i="1"/>
  <c r="K6" i="1"/>
  <c r="K11" i="1"/>
  <c r="L11" i="1" s="1"/>
  <c r="K8" i="1"/>
  <c r="L8" i="1" s="1"/>
  <c r="L10" i="1" l="1"/>
  <c r="Q10" i="1" s="1"/>
  <c r="L6" i="1"/>
  <c r="Q6" i="1" s="1"/>
  <c r="K14" i="1"/>
  <c r="K16" i="1" s="1"/>
  <c r="M7" i="1"/>
  <c r="Q12" i="1"/>
  <c r="F14" i="1"/>
  <c r="N7" i="1"/>
  <c r="S7" i="1" s="1"/>
  <c r="M10" i="1" l="1"/>
  <c r="N6" i="1"/>
  <c r="O6" i="1" s="1"/>
  <c r="N10" i="1"/>
  <c r="S10" i="1" s="1"/>
  <c r="L14" i="1"/>
  <c r="L16" i="1" s="1"/>
  <c r="N13" i="1"/>
  <c r="Q13" i="1"/>
  <c r="N8" i="1"/>
  <c r="S8" i="1" s="1"/>
  <c r="Q8" i="1"/>
  <c r="N11" i="1"/>
  <c r="S11" i="1" s="1"/>
  <c r="Q11" i="1"/>
  <c r="M6" i="1"/>
  <c r="M11" i="1"/>
  <c r="M8" i="1"/>
  <c r="M12" i="1"/>
  <c r="M13" i="1"/>
  <c r="N12" i="1"/>
  <c r="O7" i="1"/>
  <c r="S6" i="1" l="1"/>
  <c r="N14" i="1"/>
  <c r="O10" i="1"/>
  <c r="O11" i="1"/>
  <c r="O8" i="1"/>
  <c r="O12" i="1"/>
  <c r="S12" i="1"/>
  <c r="O13" i="1"/>
  <c r="S13" i="1"/>
  <c r="M14" i="1"/>
  <c r="S14" i="1" l="1"/>
  <c r="Q14" i="1" l="1"/>
  <c r="M28" i="1" s="1"/>
  <c r="K15" i="1" l="1"/>
  <c r="C15" i="1"/>
  <c r="I15" i="1"/>
  <c r="G15" i="1"/>
  <c r="E15" i="1"/>
  <c r="L15" i="1"/>
  <c r="O28" i="1"/>
  <c r="M29" i="1"/>
  <c r="O14" i="1"/>
  <c r="U15" i="1" l="1"/>
  <c r="U16" i="1" s="1"/>
  <c r="P15" i="1"/>
  <c r="W23" i="1"/>
  <c r="W21" i="1"/>
  <c r="V21" i="1" s="1"/>
  <c r="T24" i="1" l="1"/>
  <c r="T25" i="1" s="1"/>
  <c r="P16" i="1"/>
  <c r="U23" i="1"/>
  <c r="P17" i="1" l="1"/>
</calcChain>
</file>

<file path=xl/sharedStrings.xml><?xml version="1.0" encoding="utf-8"?>
<sst xmlns="http://schemas.openxmlformats.org/spreadsheetml/2006/main" count="188" uniqueCount="158">
  <si>
    <t>المنتج</t>
  </si>
  <si>
    <t>مواد مباشرة</t>
  </si>
  <si>
    <t>تكاليف تشغيل الآلات</t>
  </si>
  <si>
    <t>تكاليف صناعية أخرى</t>
  </si>
  <si>
    <t>م عمومية وإدارية</t>
  </si>
  <si>
    <t xml:space="preserve">Sum of الرمل </t>
  </si>
  <si>
    <t>كهرباء</t>
  </si>
  <si>
    <t>استهلاك</t>
  </si>
  <si>
    <t>Grand Total</t>
  </si>
  <si>
    <t>أحمد أبوعوف</t>
  </si>
  <si>
    <t>تحت اشراف</t>
  </si>
  <si>
    <t>اجمالي لكل منتج تام</t>
  </si>
  <si>
    <t>الاجمالي لكل ماده خام</t>
  </si>
  <si>
    <t>متوسط أسعار المواد الخام</t>
  </si>
  <si>
    <t>اجمالي كميات المواد الخام</t>
  </si>
  <si>
    <t>اجمالي تكلفة المواد الخام</t>
  </si>
  <si>
    <t>الأســم</t>
  </si>
  <si>
    <t>الوظيفة</t>
  </si>
  <si>
    <t>رقم الإقامة</t>
  </si>
  <si>
    <t xml:space="preserve">أساسي </t>
  </si>
  <si>
    <t xml:space="preserve">التأمينات الأجتماعية </t>
  </si>
  <si>
    <t xml:space="preserve">التأمين الطبي </t>
  </si>
  <si>
    <t>السكن</t>
  </si>
  <si>
    <t xml:space="preserve">السيارة </t>
  </si>
  <si>
    <t>عمولة انتاج</t>
  </si>
  <si>
    <t>وجبات</t>
  </si>
  <si>
    <t>الإجمالي</t>
  </si>
  <si>
    <t>باكستان</t>
  </si>
  <si>
    <t>بوم لاند</t>
  </si>
  <si>
    <t>الاجمـــــــــــــــــــــــــــــــــــــــــــــــــــــــــــالــــــــــــــــــــــــــــي</t>
  </si>
  <si>
    <t xml:space="preserve">تقرير تكاليف صناعيه اخري </t>
  </si>
  <si>
    <t>عدد الامتار</t>
  </si>
  <si>
    <t>صيانه</t>
  </si>
  <si>
    <t>اجمالي ت الصنف</t>
  </si>
  <si>
    <t xml:space="preserve">اجمالي  ت </t>
  </si>
  <si>
    <t>اعداد</t>
  </si>
  <si>
    <t>أحمد ابوعوف</t>
  </si>
  <si>
    <t>اجمالي التكاليف</t>
  </si>
  <si>
    <t>أجور مباشرة</t>
  </si>
  <si>
    <t>المشاركة في الاعداد</t>
  </si>
  <si>
    <t>ملاحظات:</t>
  </si>
  <si>
    <t>شهرياً</t>
  </si>
  <si>
    <t>تقرير تكاليف المواد المباشرة</t>
  </si>
  <si>
    <t>ت ص اخري</t>
  </si>
  <si>
    <t>2- تم تحميل م إدارية وعمومية بنسبة 4% من اجمالي التكاليف يجب ألا تتعدى المصروفات الإدارية 10% من اجمالي التكاليف</t>
  </si>
  <si>
    <t xml:space="preserve"> </t>
  </si>
  <si>
    <t>ثلج</t>
  </si>
  <si>
    <t xml:space="preserve">الإقامة </t>
  </si>
  <si>
    <t xml:space="preserve">الكفالة </t>
  </si>
  <si>
    <t xml:space="preserve">الاجازات </t>
  </si>
  <si>
    <t>نهاية الخدمة</t>
  </si>
  <si>
    <t xml:space="preserve">تذاكر السفر </t>
  </si>
  <si>
    <t xml:space="preserve">الأجور الثابتة </t>
  </si>
  <si>
    <t xml:space="preserve">الأجور المتغيرة </t>
  </si>
  <si>
    <t>المتوسطات خطأ</t>
  </si>
  <si>
    <t>تم اعتماد الإجمالي وليس المتوسطات</t>
  </si>
  <si>
    <t>التكاليف:</t>
  </si>
  <si>
    <t>الربح:</t>
  </si>
  <si>
    <t>الربح قيمة:</t>
  </si>
  <si>
    <t>الهامش شامل القيمة المضافة:</t>
  </si>
  <si>
    <t>1- يوجد انخفاض في معدل المواد المباشرة نظراً لعدم دقة البيانات الواردة من المحطات خاصة</t>
  </si>
  <si>
    <t>3- تم حساب التكاليف للكميات المباعة فعلياً بغض النظر عن الكميات المنتجة لعدم وجود دقة في تقارير الإنتاج</t>
  </si>
  <si>
    <t>أحمد 1</t>
  </si>
  <si>
    <t>أحمد 2</t>
  </si>
  <si>
    <t>أحمد 3</t>
  </si>
  <si>
    <t>تقرير التكاليف الصناعية</t>
  </si>
  <si>
    <t>وقود</t>
  </si>
  <si>
    <t>متوسط تكلفة الوحدة</t>
  </si>
  <si>
    <t>عدد الوحدات</t>
  </si>
  <si>
    <t>ايجار مبانى خدمات إنتاجية</t>
  </si>
  <si>
    <t>رواتب خدمة 1</t>
  </si>
  <si>
    <t>كهرباء خدمة 1</t>
  </si>
  <si>
    <t>ايجار خدمة 1</t>
  </si>
  <si>
    <t>استهلاك خدمة 1</t>
  </si>
  <si>
    <t>ديزل خدمة 1</t>
  </si>
  <si>
    <t>استهلاك خدمة 2</t>
  </si>
  <si>
    <t>احمد 1</t>
  </si>
  <si>
    <t>احمد 2</t>
  </si>
  <si>
    <t>احمد 3</t>
  </si>
  <si>
    <t>احمد 4</t>
  </si>
  <si>
    <t>احمد 5</t>
  </si>
  <si>
    <t>احمد 6</t>
  </si>
  <si>
    <t>احمد 7</t>
  </si>
  <si>
    <t>احمد 8</t>
  </si>
  <si>
    <t>احمد 9</t>
  </si>
  <si>
    <t>احمد 10</t>
  </si>
  <si>
    <t>احمد 11</t>
  </si>
  <si>
    <t>احمد 12</t>
  </si>
  <si>
    <t>احمد 13</t>
  </si>
  <si>
    <t>احمد 14</t>
  </si>
  <si>
    <t>احمد 15</t>
  </si>
  <si>
    <t>احمد 16</t>
  </si>
  <si>
    <t>احمد 17</t>
  </si>
  <si>
    <t>احمد 18</t>
  </si>
  <si>
    <t>احمد 19</t>
  </si>
  <si>
    <t>احمد 20</t>
  </si>
  <si>
    <t>احمد 21</t>
  </si>
  <si>
    <t>احمد 22</t>
  </si>
  <si>
    <t>احمد 23</t>
  </si>
  <si>
    <t>احمد 24</t>
  </si>
  <si>
    <t>احمد 25</t>
  </si>
  <si>
    <t>احمد 26</t>
  </si>
  <si>
    <t>احمد 27</t>
  </si>
  <si>
    <t>احمد 28</t>
  </si>
  <si>
    <t>احمد 29</t>
  </si>
  <si>
    <t>احمد 30</t>
  </si>
  <si>
    <t>مهنة 1</t>
  </si>
  <si>
    <t>مهنة 0</t>
  </si>
  <si>
    <t>مهنة 2</t>
  </si>
  <si>
    <t>مهنة 3</t>
  </si>
  <si>
    <t>مهنة 4</t>
  </si>
  <si>
    <t>مهنة 5</t>
  </si>
  <si>
    <t>مهنة 6</t>
  </si>
  <si>
    <t>مهنة 7</t>
  </si>
  <si>
    <t>مهنة 8</t>
  </si>
  <si>
    <t>مهنة 9</t>
  </si>
  <si>
    <t>مهنة 10</t>
  </si>
  <si>
    <t>مهنة 11</t>
  </si>
  <si>
    <t>مهنة 12</t>
  </si>
  <si>
    <t>مهنة 13</t>
  </si>
  <si>
    <t>مهنة 14</t>
  </si>
  <si>
    <t>مهنة 15</t>
  </si>
  <si>
    <t>مهنة 16</t>
  </si>
  <si>
    <t>مهنة 17</t>
  </si>
  <si>
    <t>مهنة 18</t>
  </si>
  <si>
    <t>مهنة 19</t>
  </si>
  <si>
    <t>مهنة 20</t>
  </si>
  <si>
    <t>مهنة 21</t>
  </si>
  <si>
    <t>مهنة 22</t>
  </si>
  <si>
    <t>مهنة 23</t>
  </si>
  <si>
    <t>مهنة 24</t>
  </si>
  <si>
    <t>مهنة 25</t>
  </si>
  <si>
    <t>مهنة 26</t>
  </si>
  <si>
    <t>مهنة 27</t>
  </si>
  <si>
    <t>مهنة 28</t>
  </si>
  <si>
    <t>مهنة 29</t>
  </si>
  <si>
    <t>من  00/00/2000  الي 31/00/2000</t>
  </si>
  <si>
    <t>تقرير التكاليف الصناعية / الأجور المباشرة</t>
  </si>
  <si>
    <t>وقود الخدمة 2</t>
  </si>
  <si>
    <t>Aluminum Construction System Factory Co.</t>
  </si>
  <si>
    <t>متوسط تكلفة للوحدة</t>
  </si>
  <si>
    <t>التكلفة الصناعية للوحدة</t>
  </si>
  <si>
    <t>للوحدة</t>
  </si>
  <si>
    <t>الكمية المنتجة بالوحدة</t>
  </si>
  <si>
    <t>تقرير تكاليف تشغيل الالات</t>
  </si>
  <si>
    <t>متوسط التكلفة للوحدة</t>
  </si>
  <si>
    <t>تكلف الوقت</t>
  </si>
  <si>
    <t>تكلفة الساعة</t>
  </si>
  <si>
    <t>حافز</t>
  </si>
  <si>
    <t>الكمية المنتجة</t>
  </si>
  <si>
    <t>AC200103</t>
  </si>
  <si>
    <t>ALU101255</t>
  </si>
  <si>
    <t>ALU102164</t>
  </si>
  <si>
    <t>ALU102625</t>
  </si>
  <si>
    <t>ALU102629</t>
  </si>
  <si>
    <t>GAS30077</t>
  </si>
  <si>
    <t>GAS30102</t>
  </si>
  <si>
    <t>ALUPCO 56 Hinged Widow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</si>
</sst>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\ _ر_._س_._‏_-;\-* #,##0.00\ _ر_._س_._‏_-;_-* &quot;-&quot;??\ _ر_._س_._‏_-;_-@_-"/>
    <numFmt numFmtId="165" formatCode="_-* #,##0\ _ر_._س_._‏_-;\-* #,##0\ _ر_._س_._‏_-;_-* &quot;-&quot;??\ _ر_._س_._‏_-;_-@_-"/>
    <numFmt numFmtId="166" formatCode="_-* #,##0_-;\-* #,##0_-;_-* &quot;-&quot;??_-;_-@_-"/>
    <numFmt numFmtId="167" formatCode="_-* #,##0.00000\ _ر_._س_._‏_-;\-* #,##0.00000\ _ر_._س_._‏_-;_-* &quot;-&quot;??\ _ر_._س_._‏_-;_-@_-"/>
    <numFmt numFmtId="168" formatCode="#,##0_ ;\-#,##0\ "/>
    <numFmt numFmtId="169" formatCode="0_ ;\-0\ "/>
  </numFmts>
  <fonts count="30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b/>
      <sz val="18"/>
      <color theme="3" tint="0.39997558519241921"/>
      <name val="Arial"/>
      <family val="2"/>
      <scheme val="minor"/>
    </font>
    <font>
      <b/>
      <sz val="14"/>
      <color theme="9"/>
      <name val="Arial"/>
      <family val="2"/>
      <scheme val="minor"/>
    </font>
    <font>
      <b/>
      <sz val="11"/>
      <color theme="3" tint="-0.249977111117893"/>
      <name val="Arial"/>
      <family val="2"/>
      <scheme val="minor"/>
    </font>
    <font>
      <sz val="11"/>
      <color theme="3" tint="-0.249977111117893"/>
      <name val="Arial"/>
      <family val="2"/>
      <scheme val="minor"/>
    </font>
    <font>
      <sz val="11"/>
      <color theme="1"/>
      <name val="Arial"/>
      <family val="2"/>
      <scheme val="minor"/>
    </font>
    <font>
      <sz val="14"/>
      <color theme="1"/>
      <name val="Sakkal Majalla"/>
    </font>
    <font>
      <b/>
      <sz val="12"/>
      <color theme="1"/>
      <name val="Arial"/>
      <family val="2"/>
      <scheme val="minor"/>
    </font>
    <font>
      <sz val="10"/>
      <color indexed="8"/>
      <name val="MS Sans Serif"/>
      <charset val="178"/>
    </font>
    <font>
      <b/>
      <sz val="16"/>
      <name val="Arial"/>
      <family val="2"/>
      <scheme val="minor"/>
    </font>
    <font>
      <b/>
      <sz val="16"/>
      <name val="Calibri"/>
      <family val="2"/>
    </font>
    <font>
      <sz val="10"/>
      <color indexed="8"/>
      <name val="MS Sans Serif"/>
      <family val="2"/>
      <charset val="178"/>
    </font>
    <font>
      <b/>
      <sz val="20"/>
      <name val="Calibri"/>
      <family val="2"/>
    </font>
    <font>
      <b/>
      <sz val="20"/>
      <name val="Arial"/>
      <family val="2"/>
      <scheme val="minor"/>
    </font>
    <font>
      <b/>
      <sz val="18"/>
      <name val="Calibri"/>
      <family val="2"/>
    </font>
    <font>
      <b/>
      <sz val="20"/>
      <name val="Calibri"/>
      <family val="2"/>
      <charset val="178"/>
    </font>
    <font>
      <b/>
      <sz val="20"/>
      <name val="Effra-arabic"/>
    </font>
    <font>
      <b/>
      <sz val="14"/>
      <name val="Arial"/>
      <family val="2"/>
      <scheme val="minor"/>
    </font>
    <font>
      <b/>
      <sz val="22"/>
      <name val="Calibri"/>
      <family val="2"/>
    </font>
    <font>
      <b/>
      <sz val="18"/>
      <name val="Arial"/>
      <family val="2"/>
      <scheme val="minor"/>
    </font>
    <font>
      <b/>
      <sz val="18"/>
      <name val="Calibri"/>
      <family val="2"/>
      <charset val="178"/>
    </font>
    <font>
      <b/>
      <sz val="16"/>
      <name val="Tahoma"/>
      <family val="2"/>
    </font>
    <font>
      <b/>
      <sz val="18"/>
      <color theme="1"/>
      <name val="Sakkal Majalla"/>
    </font>
    <font>
      <b/>
      <sz val="14"/>
      <color theme="1"/>
      <name val="Sakkal Majalla"/>
    </font>
    <font>
      <sz val="9"/>
      <color theme="1"/>
      <name val="Arial"/>
      <family val="2"/>
      <charset val="178"/>
      <scheme val="minor"/>
    </font>
    <font>
      <sz val="11"/>
      <color theme="1"/>
      <name val="Arial"/>
      <family val="2"/>
    </font>
    <font>
      <sz val="11"/>
      <name val="Arial"/>
      <family val="2"/>
      <scheme val="minor"/>
    </font>
    <font>
      <sz val="8"/>
      <name val="Arial"/>
      <family val="2"/>
      <charset val="17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7558519241921"/>
      </top>
      <bottom/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7558519241921"/>
      </bottom>
      <diagonal/>
    </border>
    <border>
      <left/>
      <right/>
      <top style="thin">
        <color theme="4" tint="0.39994506668294322"/>
      </top>
      <bottom style="thin">
        <color theme="4" tint="0.39997558519241921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indexed="64"/>
      </bottom>
      <diagonal/>
    </border>
    <border>
      <left style="thin">
        <color theme="4" tint="0.39994506668294322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4506668294322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thick">
        <color theme="4" tint="-0.24994659260841701"/>
      </left>
      <right style="thin">
        <color theme="4" tint="0.39991454817346722"/>
      </right>
      <top style="thick">
        <color theme="4" tint="-0.24994659260841701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1454817346722"/>
      </right>
      <top style="thick">
        <color theme="4" tint="-0.24994659260841701"/>
      </top>
      <bottom style="thin">
        <color theme="4" tint="0.39991454817346722"/>
      </bottom>
      <diagonal/>
    </border>
    <border>
      <left style="thin">
        <color theme="4" tint="0.39991454817346722"/>
      </left>
      <right style="thick">
        <color theme="4" tint="-0.24994659260841701"/>
      </right>
      <top style="thick">
        <color theme="4" tint="-0.24994659260841701"/>
      </top>
      <bottom style="thin">
        <color theme="4" tint="0.39991454817346722"/>
      </bottom>
      <diagonal/>
    </border>
    <border>
      <left style="thick">
        <color theme="4" tint="-0.24994659260841701"/>
      </left>
      <right/>
      <top/>
      <bottom/>
      <diagonal/>
    </border>
    <border>
      <left/>
      <right style="thick">
        <color theme="4" tint="-0.24994659260841701"/>
      </right>
      <top/>
      <bottom/>
      <diagonal/>
    </border>
    <border>
      <left style="thick">
        <color theme="4" tint="-0.24994659260841701"/>
      </left>
      <right/>
      <top/>
      <bottom style="thick">
        <color theme="4" tint="-0.24994659260841701"/>
      </bottom>
      <diagonal/>
    </border>
    <border>
      <left/>
      <right/>
      <top/>
      <bottom style="thick">
        <color theme="4" tint="-0.24994659260841701"/>
      </bottom>
      <diagonal/>
    </border>
    <border>
      <left/>
      <right style="thick">
        <color theme="4" tint="-0.24994659260841701"/>
      </right>
      <top/>
      <bottom style="thick">
        <color theme="4" tint="-0.24994659260841701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0" borderId="0"/>
    <xf numFmtId="43" fontId="13" fillId="0" borderId="0" applyFont="0" applyFill="0" applyBorder="0" applyAlignment="0" applyProtection="0"/>
  </cellStyleXfs>
  <cellXfs count="14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5" xfId="1" applyFont="1" applyBorder="1" applyAlignment="1">
      <alignment horizontal="center" vertical="center"/>
    </xf>
    <xf numFmtId="164" fontId="0" fillId="0" borderId="0" xfId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1" fillId="4" borderId="0" xfId="6" applyFont="1" applyFill="1" applyAlignment="1">
      <alignment horizontal="center" vertical="center"/>
    </xf>
    <xf numFmtId="0" fontId="12" fillId="4" borderId="0" xfId="6" applyFont="1" applyFill="1" applyAlignment="1">
      <alignment horizontal="center" vertical="center"/>
    </xf>
    <xf numFmtId="0" fontId="11" fillId="5" borderId="12" xfId="6" applyFont="1" applyFill="1" applyBorder="1" applyAlignment="1">
      <alignment horizontal="center" vertical="center" wrapText="1"/>
    </xf>
    <xf numFmtId="0" fontId="12" fillId="5" borderId="13" xfId="6" applyFont="1" applyFill="1" applyBorder="1" applyAlignment="1">
      <alignment horizontal="center" vertical="center" wrapText="1"/>
    </xf>
    <xf numFmtId="0" fontId="11" fillId="5" borderId="13" xfId="6" applyFont="1" applyFill="1" applyBorder="1" applyAlignment="1">
      <alignment horizontal="center" vertical="center" wrapText="1"/>
    </xf>
    <xf numFmtId="43" fontId="11" fillId="5" borderId="13" xfId="7" applyFont="1" applyFill="1" applyBorder="1" applyAlignment="1">
      <alignment horizontal="center" vertical="center" wrapText="1"/>
    </xf>
    <xf numFmtId="1" fontId="11" fillId="5" borderId="13" xfId="6" applyNumberFormat="1" applyFont="1" applyFill="1" applyBorder="1" applyAlignment="1">
      <alignment horizontal="center" vertical="center" wrapText="1"/>
    </xf>
    <xf numFmtId="1" fontId="11" fillId="6" borderId="13" xfId="6" applyNumberFormat="1" applyFont="1" applyFill="1" applyBorder="1" applyAlignment="1">
      <alignment horizontal="center" vertical="center" wrapText="1"/>
    </xf>
    <xf numFmtId="0" fontId="11" fillId="7" borderId="14" xfId="6" applyFont="1" applyFill="1" applyBorder="1" applyAlignment="1">
      <alignment horizontal="center" vertical="center" wrapText="1"/>
    </xf>
    <xf numFmtId="0" fontId="14" fillId="7" borderId="5" xfId="6" applyFont="1" applyFill="1" applyBorder="1" applyAlignment="1">
      <alignment horizontal="center" vertical="center"/>
    </xf>
    <xf numFmtId="0" fontId="12" fillId="7" borderId="5" xfId="6" applyFont="1" applyFill="1" applyBorder="1" applyAlignment="1">
      <alignment horizontal="center" vertical="center"/>
    </xf>
    <xf numFmtId="0" fontId="15" fillId="7" borderId="5" xfId="6" applyFont="1" applyFill="1" applyBorder="1" applyAlignment="1">
      <alignment horizontal="center" vertical="center"/>
    </xf>
    <xf numFmtId="166" fontId="15" fillId="7" borderId="10" xfId="7" applyNumberFormat="1" applyFont="1" applyFill="1" applyBorder="1" applyAlignment="1">
      <alignment horizontal="center" vertical="center" wrapText="1"/>
    </xf>
    <xf numFmtId="166" fontId="15" fillId="7" borderId="5" xfId="7" applyNumberFormat="1" applyFont="1" applyFill="1" applyBorder="1" applyAlignment="1">
      <alignment vertical="center" wrapText="1"/>
    </xf>
    <xf numFmtId="166" fontId="15" fillId="3" borderId="10" xfId="7" applyNumberFormat="1" applyFont="1" applyFill="1" applyBorder="1" applyAlignment="1">
      <alignment horizontal="center" vertical="center" wrapText="1"/>
    </xf>
    <xf numFmtId="0" fontId="11" fillId="4" borderId="0" xfId="6" applyFont="1" applyFill="1" applyAlignment="1">
      <alignment horizontal="center" vertical="center" wrapText="1"/>
    </xf>
    <xf numFmtId="1" fontId="11" fillId="0" borderId="0" xfId="6" applyNumberFormat="1" applyFont="1" applyAlignment="1">
      <alignment horizontal="center" vertical="center" wrapText="1"/>
    </xf>
    <xf numFmtId="166" fontId="15" fillId="0" borderId="0" xfId="7" applyNumberFormat="1" applyFont="1" applyFill="1" applyBorder="1" applyAlignment="1">
      <alignment horizontal="center" vertical="center" wrapText="1"/>
    </xf>
    <xf numFmtId="0" fontId="17" fillId="7" borderId="5" xfId="6" applyFont="1" applyFill="1" applyBorder="1" applyAlignment="1">
      <alignment horizontal="center" vertical="center"/>
    </xf>
    <xf numFmtId="0" fontId="18" fillId="7" borderId="5" xfId="6" applyFont="1" applyFill="1" applyBorder="1" applyAlignment="1">
      <alignment horizontal="center" vertical="center" wrapText="1"/>
    </xf>
    <xf numFmtId="0" fontId="15" fillId="7" borderId="10" xfId="6" applyFont="1" applyFill="1" applyBorder="1" applyAlignment="1">
      <alignment horizontal="center" vertical="center"/>
    </xf>
    <xf numFmtId="166" fontId="15" fillId="7" borderId="10" xfId="7" applyNumberFormat="1" applyFont="1" applyFill="1" applyBorder="1" applyAlignment="1">
      <alignment vertical="center" wrapText="1"/>
    </xf>
    <xf numFmtId="0" fontId="15" fillId="7" borderId="6" xfId="6" applyFont="1" applyFill="1" applyBorder="1" applyAlignment="1">
      <alignment horizontal="center" vertical="center"/>
    </xf>
    <xf numFmtId="166" fontId="15" fillId="7" borderId="8" xfId="7" applyNumberFormat="1" applyFont="1" applyFill="1" applyBorder="1" applyAlignment="1">
      <alignment horizontal="center" vertical="center" wrapText="1"/>
    </xf>
    <xf numFmtId="166" fontId="15" fillId="7" borderId="15" xfId="7" applyNumberFormat="1" applyFont="1" applyFill="1" applyBorder="1" applyAlignment="1">
      <alignment horizontal="center" vertical="center" wrapText="1"/>
    </xf>
    <xf numFmtId="166" fontId="15" fillId="7" borderId="5" xfId="7" applyNumberFormat="1" applyFont="1" applyFill="1" applyBorder="1" applyAlignment="1">
      <alignment horizontal="center" vertical="center" wrapText="1"/>
    </xf>
    <xf numFmtId="166" fontId="15" fillId="3" borderId="5" xfId="7" applyNumberFormat="1" applyFont="1" applyFill="1" applyBorder="1" applyAlignment="1">
      <alignment horizontal="center" vertical="center" wrapText="1"/>
    </xf>
    <xf numFmtId="0" fontId="19" fillId="4" borderId="0" xfId="6" applyFont="1" applyFill="1" applyAlignment="1">
      <alignment horizontal="center" vertical="center"/>
    </xf>
    <xf numFmtId="0" fontId="20" fillId="4" borderId="0" xfId="6" applyFont="1" applyFill="1" applyAlignment="1">
      <alignment horizontal="center" vertical="center"/>
    </xf>
    <xf numFmtId="1" fontId="11" fillId="4" borderId="0" xfId="6" applyNumberFormat="1" applyFont="1" applyFill="1" applyAlignment="1">
      <alignment horizontal="center" vertical="center"/>
    </xf>
    <xf numFmtId="0" fontId="16" fillId="4" borderId="0" xfId="6" applyFont="1" applyFill="1" applyAlignment="1">
      <alignment horizontal="center" vertical="center"/>
    </xf>
    <xf numFmtId="0" fontId="21" fillId="4" borderId="0" xfId="6" applyFont="1" applyFill="1" applyAlignment="1">
      <alignment horizontal="center" vertical="center"/>
    </xf>
    <xf numFmtId="0" fontId="22" fillId="4" borderId="0" xfId="6" applyFont="1" applyFill="1" applyAlignment="1">
      <alignment horizontal="center" vertical="center"/>
    </xf>
    <xf numFmtId="0" fontId="23" fillId="4" borderId="0" xfId="6" applyFont="1" applyFill="1" applyAlignment="1">
      <alignment horizontal="center" vertical="center"/>
    </xf>
    <xf numFmtId="0" fontId="11" fillId="4" borderId="7" xfId="6" applyFont="1" applyFill="1" applyBorder="1" applyAlignment="1">
      <alignment horizontal="center" vertical="center"/>
    </xf>
    <xf numFmtId="0" fontId="12" fillId="4" borderId="5" xfId="6" applyFont="1" applyFill="1" applyBorder="1" applyAlignment="1">
      <alignment horizontal="center" vertical="center"/>
    </xf>
    <xf numFmtId="0" fontId="11" fillId="4" borderId="5" xfId="6" applyFont="1" applyFill="1" applyBorder="1" applyAlignment="1">
      <alignment horizontal="center" vertical="center"/>
    </xf>
    <xf numFmtId="1" fontId="11" fillId="4" borderId="5" xfId="6" applyNumberFormat="1" applyFont="1" applyFill="1" applyBorder="1" applyAlignment="1">
      <alignment horizontal="center" vertical="center"/>
    </xf>
    <xf numFmtId="165" fontId="25" fillId="0" borderId="5" xfId="1" applyNumberFormat="1" applyFont="1" applyBorder="1" applyAlignment="1">
      <alignment horizontal="center" vertical="center"/>
    </xf>
    <xf numFmtId="165" fontId="25" fillId="8" borderId="5" xfId="1" applyNumberFormat="1" applyFont="1" applyFill="1" applyBorder="1" applyAlignment="1">
      <alignment horizontal="center" vertical="center"/>
    </xf>
    <xf numFmtId="165" fontId="8" fillId="0" borderId="5" xfId="1" applyNumberFormat="1" applyFont="1" applyBorder="1" applyAlignment="1">
      <alignment horizontal="center" vertical="center"/>
    </xf>
    <xf numFmtId="165" fontId="25" fillId="8" borderId="5" xfId="1" applyNumberFormat="1" applyFont="1" applyFill="1" applyBorder="1" applyAlignment="1">
      <alignment horizontal="center" vertical="center" wrapText="1"/>
    </xf>
    <xf numFmtId="164" fontId="8" fillId="0" borderId="5" xfId="1" applyFont="1" applyBorder="1" applyAlignment="1">
      <alignment horizontal="center" vertical="center"/>
    </xf>
    <xf numFmtId="164" fontId="25" fillId="0" borderId="5" xfId="1" applyFont="1" applyBorder="1" applyAlignment="1">
      <alignment horizontal="center" vertical="center"/>
    </xf>
    <xf numFmtId="164" fontId="0" fillId="0" borderId="5" xfId="1" applyFont="1" applyBorder="1" applyAlignment="1">
      <alignment vertical="center"/>
    </xf>
    <xf numFmtId="0" fontId="0" fillId="0" borderId="5" xfId="0" applyBorder="1" applyAlignment="1">
      <alignment vertical="center"/>
    </xf>
    <xf numFmtId="164" fontId="0" fillId="0" borderId="0" xfId="1" applyFont="1" applyAlignment="1">
      <alignment horizontal="center" vertical="center"/>
    </xf>
    <xf numFmtId="165" fontId="26" fillId="0" borderId="0" xfId="1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8" fillId="0" borderId="0" xfId="0" applyFont="1" applyAlignment="1">
      <alignment horizontal="center" vertical="center"/>
    </xf>
    <xf numFmtId="9" fontId="0" fillId="0" borderId="0" xfId="2" applyFont="1" applyAlignment="1">
      <alignment vertical="center"/>
    </xf>
    <xf numFmtId="0" fontId="9" fillId="8" borderId="21" xfId="0" applyFont="1" applyFill="1" applyBorder="1" applyAlignment="1">
      <alignment horizontal="center" vertical="center" wrapText="1"/>
    </xf>
    <xf numFmtId="0" fontId="9" fillId="8" borderId="22" xfId="0" applyFont="1" applyFill="1" applyBorder="1" applyAlignment="1">
      <alignment horizontal="center" vertical="center" wrapText="1"/>
    </xf>
    <xf numFmtId="164" fontId="0" fillId="0" borderId="22" xfId="1" applyFont="1" applyBorder="1" applyAlignment="1">
      <alignment vertical="center"/>
    </xf>
    <xf numFmtId="164" fontId="0" fillId="0" borderId="23" xfId="0" applyNumberFormat="1" applyBorder="1" applyAlignment="1">
      <alignment vertical="center"/>
    </xf>
    <xf numFmtId="0" fontId="0" fillId="0" borderId="25" xfId="0" applyBorder="1" applyAlignment="1">
      <alignment vertical="center"/>
    </xf>
    <xf numFmtId="164" fontId="0" fillId="0" borderId="27" xfId="1" applyFont="1" applyBorder="1" applyAlignment="1">
      <alignment vertical="center"/>
    </xf>
    <xf numFmtId="164" fontId="0" fillId="0" borderId="28" xfId="0" applyNumberFormat="1" applyBorder="1" applyAlignment="1">
      <alignment vertical="center"/>
    </xf>
    <xf numFmtId="0" fontId="9" fillId="0" borderId="0" xfId="0" applyFont="1" applyAlignment="1">
      <alignment horizontal="center" vertical="center" wrapText="1"/>
    </xf>
    <xf numFmtId="164" fontId="0" fillId="0" borderId="0" xfId="1" applyFont="1" applyBorder="1" applyAlignment="1">
      <alignment vertical="center"/>
    </xf>
    <xf numFmtId="0" fontId="9" fillId="8" borderId="23" xfId="0" applyFont="1" applyFill="1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164" fontId="0" fillId="0" borderId="25" xfId="1" applyFont="1" applyBorder="1" applyAlignment="1">
      <alignment vertical="center"/>
    </xf>
    <xf numFmtId="0" fontId="9" fillId="0" borderId="26" xfId="0" applyFont="1" applyBorder="1" applyAlignment="1">
      <alignment horizontal="center" vertical="center" wrapText="1"/>
    </xf>
    <xf numFmtId="0" fontId="0" fillId="0" borderId="27" xfId="0" applyBorder="1" applyAlignment="1">
      <alignment vertical="center"/>
    </xf>
    <xf numFmtId="164" fontId="0" fillId="0" borderId="28" xfId="1" applyFont="1" applyBorder="1" applyAlignment="1">
      <alignment vertical="center"/>
    </xf>
    <xf numFmtId="0" fontId="3" fillId="0" borderId="0" xfId="0" applyFont="1" applyAlignment="1">
      <alignment vertical="center"/>
    </xf>
    <xf numFmtId="167" fontId="0" fillId="0" borderId="0" xfId="0" applyNumberFormat="1"/>
    <xf numFmtId="9" fontId="0" fillId="0" borderId="0" xfId="2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4" fontId="0" fillId="0" borderId="0" xfId="1" applyFont="1" applyAlignment="1">
      <alignment horizontal="right" vertical="center"/>
    </xf>
    <xf numFmtId="165" fontId="0" fillId="0" borderId="0" xfId="0" applyNumberFormat="1"/>
    <xf numFmtId="4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0" fontId="0" fillId="0" borderId="0" xfId="2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3" fontId="11" fillId="4" borderId="0" xfId="6" applyNumberFormat="1" applyFont="1" applyFill="1" applyAlignment="1">
      <alignment horizontal="center" vertical="center" wrapText="1"/>
    </xf>
    <xf numFmtId="164" fontId="15" fillId="4" borderId="0" xfId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0" fontId="0" fillId="0" borderId="0" xfId="2" applyNumberFormat="1" applyFont="1" applyAlignment="1">
      <alignment vertical="center"/>
    </xf>
    <xf numFmtId="164" fontId="0" fillId="0" borderId="6" xfId="0" applyNumberFormat="1" applyBorder="1" applyAlignment="1">
      <alignment horizontal="center" vertical="center"/>
    </xf>
    <xf numFmtId="164" fontId="0" fillId="0" borderId="6" xfId="1" applyFont="1" applyBorder="1" applyAlignment="1">
      <alignment horizontal="center" vertical="center"/>
    </xf>
    <xf numFmtId="164" fontId="2" fillId="2" borderId="30" xfId="1" applyFont="1" applyFill="1" applyBorder="1" applyAlignment="1">
      <alignment horizontal="center" vertical="center"/>
    </xf>
    <xf numFmtId="164" fontId="2" fillId="2" borderId="31" xfId="1" applyFont="1" applyFill="1" applyBorder="1" applyAlignment="1">
      <alignment horizontal="center" vertical="center"/>
    </xf>
    <xf numFmtId="164" fontId="2" fillId="2" borderId="32" xfId="1" applyFont="1" applyFill="1" applyBorder="1" applyAlignment="1">
      <alignment horizontal="center" vertical="center"/>
    </xf>
    <xf numFmtId="0" fontId="0" fillId="0" borderId="33" xfId="0" applyBorder="1" applyAlignment="1">
      <alignment horizontal="left" vertical="center"/>
    </xf>
    <xf numFmtId="9" fontId="0" fillId="0" borderId="0" xfId="2" applyFont="1" applyBorder="1" applyAlignment="1">
      <alignment horizontal="center" vertical="center"/>
    </xf>
    <xf numFmtId="9" fontId="0" fillId="0" borderId="0" xfId="2" applyFont="1" applyBorder="1" applyAlignment="1">
      <alignment horizontal="left" vertical="center"/>
    </xf>
    <xf numFmtId="9" fontId="0" fillId="0" borderId="34" xfId="0" applyNumberFormat="1" applyBorder="1" applyAlignment="1">
      <alignment horizontal="right" vertical="center"/>
    </xf>
    <xf numFmtId="0" fontId="0" fillId="0" borderId="33" xfId="0" applyBorder="1" applyAlignment="1">
      <alignment vertical="center"/>
    </xf>
    <xf numFmtId="0" fontId="27" fillId="0" borderId="0" xfId="0" applyFont="1" applyAlignment="1">
      <alignment horizontal="right" vertical="top" readingOrder="2"/>
    </xf>
    <xf numFmtId="164" fontId="5" fillId="0" borderId="0" xfId="0" applyNumberFormat="1" applyFont="1" applyAlignment="1">
      <alignment horizontal="center" vertical="center"/>
    </xf>
    <xf numFmtId="168" fontId="0" fillId="0" borderId="34" xfId="0" applyNumberFormat="1" applyBorder="1" applyAlignment="1">
      <alignment horizontal="right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27" fillId="0" borderId="36" xfId="0" applyFont="1" applyBorder="1" applyAlignment="1">
      <alignment horizontal="right" vertical="top" readingOrder="2"/>
    </xf>
    <xf numFmtId="0" fontId="5" fillId="0" borderId="36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69" fontId="25" fillId="0" borderId="5" xfId="1" applyNumberFormat="1" applyFont="1" applyBorder="1" applyAlignment="1">
      <alignment horizontal="center" vertical="center"/>
    </xf>
    <xf numFmtId="169" fontId="0" fillId="0" borderId="5" xfId="0" applyNumberFormat="1" applyBorder="1" applyAlignment="1">
      <alignment horizontal="center" vertical="center"/>
    </xf>
    <xf numFmtId="169" fontId="0" fillId="0" borderId="6" xfId="0" applyNumberFormat="1" applyBorder="1" applyAlignment="1">
      <alignment horizontal="center" vertical="center"/>
    </xf>
    <xf numFmtId="0" fontId="9" fillId="8" borderId="26" xfId="0" applyFont="1" applyFill="1" applyBorder="1" applyAlignment="1">
      <alignment horizontal="center" vertical="center" wrapText="1"/>
    </xf>
    <xf numFmtId="0" fontId="9" fillId="8" borderId="2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24" fillId="0" borderId="0" xfId="1" applyNumberFormat="1" applyFont="1" applyBorder="1" applyAlignment="1">
      <alignment horizontal="center" vertical="center"/>
    </xf>
    <xf numFmtId="165" fontId="25" fillId="0" borderId="0" xfId="1" applyNumberFormat="1" applyFont="1" applyBorder="1" applyAlignment="1">
      <alignment horizontal="center" vertical="center"/>
    </xf>
    <xf numFmtId="0" fontId="9" fillId="8" borderId="24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9" fillId="8" borderId="21" xfId="0" applyFont="1" applyFill="1" applyBorder="1" applyAlignment="1">
      <alignment horizontal="center" vertical="center" wrapText="1"/>
    </xf>
    <xf numFmtId="0" fontId="9" fillId="8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4" borderId="11" xfId="6" applyFont="1" applyFill="1" applyBorder="1" applyAlignment="1">
      <alignment horizontal="center" vertical="center"/>
    </xf>
    <xf numFmtId="0" fontId="12" fillId="7" borderId="29" xfId="6" applyFont="1" applyFill="1" applyBorder="1" applyAlignment="1">
      <alignment horizontal="center" vertical="center" wrapText="1"/>
    </xf>
    <xf numFmtId="0" fontId="12" fillId="7" borderId="16" xfId="6" applyFont="1" applyFill="1" applyBorder="1" applyAlignment="1">
      <alignment horizontal="center" vertical="center" wrapText="1"/>
    </xf>
    <xf numFmtId="0" fontId="12" fillId="7" borderId="17" xfId="6" applyFont="1" applyFill="1" applyBorder="1" applyAlignment="1">
      <alignment horizontal="center" vertical="center" wrapText="1"/>
    </xf>
    <xf numFmtId="165" fontId="25" fillId="0" borderId="9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2" fillId="2" borderId="31" xfId="1" applyNumberFormat="1" applyFont="1" applyFill="1" applyBorder="1" applyAlignment="1">
      <alignment horizontal="center" vertical="center"/>
    </xf>
  </cellXfs>
  <cellStyles count="8">
    <cellStyle name="Comma" xfId="1" builtinId="3"/>
    <cellStyle name="Comma 2" xfId="4" xr:uid="{1568B562-C72A-417D-A014-C759499EC0A7}"/>
    <cellStyle name="Comma 2 2" xfId="5" xr:uid="{FF62DF93-538A-43A5-A6BD-5C724FBDBB06}"/>
    <cellStyle name="Comma 2 3" xfId="7" xr:uid="{6607C67F-2325-4134-B622-60220EEAB34A}"/>
    <cellStyle name="Normal" xfId="0" builtinId="0"/>
    <cellStyle name="Normal 2" xfId="3" xr:uid="{72384ABE-5867-420A-9229-C58AA996CA72}"/>
    <cellStyle name="Normal 2 2" xfId="6" xr:uid="{F7C75F19-7802-4FBD-B5EB-54009C14718B}"/>
    <cellStyle name="Percent" xfId="2" builtinId="5"/>
  </cellStyles>
  <dxfs count="0"/>
  <tableStyles count="1" defaultTableStyle="TableStyleMedium2" defaultPivotStyle="PivotStyleLight16">
    <tableStyle name="Invisible" pivot="0" table="0" count="0" xr9:uid="{3C7AA1E6-2284-4241-B1F8-49A5D0C2360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2B198-75D8-4311-B971-F2BA986A0F58}">
  <sheetPr>
    <pageSetUpPr fitToPage="1"/>
  </sheetPr>
  <dimension ref="A1:V23"/>
  <sheetViews>
    <sheetView rightToLeft="1" zoomScaleNormal="100" workbookViewId="0">
      <selection activeCell="H17" sqref="H17"/>
    </sheetView>
  </sheetViews>
  <sheetFormatPr defaultColWidth="9.125" defaultRowHeight="14.25"/>
  <cols>
    <col min="1" max="1" width="9.125" style="1"/>
    <col min="2" max="2" width="11" style="1" bestFit="1" customWidth="1"/>
    <col min="3" max="3" width="10.375" style="1" bestFit="1" customWidth="1"/>
    <col min="4" max="8" width="16" style="1" bestFit="1" customWidth="1"/>
    <col min="9" max="9" width="17.75" style="1" bestFit="1" customWidth="1"/>
    <col min="10" max="10" width="16" style="1" bestFit="1" customWidth="1"/>
    <col min="11" max="11" width="17.75" style="1" bestFit="1" customWidth="1"/>
    <col min="12" max="12" width="12.25" style="1" bestFit="1" customWidth="1"/>
    <col min="13" max="16384" width="9.125" style="1"/>
  </cols>
  <sheetData>
    <row r="1" spans="1:22" ht="27.75" customHeight="1">
      <c r="B1" s="117" t="s">
        <v>139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80"/>
      <c r="N1" s="80"/>
      <c r="O1" s="80"/>
    </row>
    <row r="2" spans="1:22" ht="27.75" customHeight="1">
      <c r="B2" s="118" t="s">
        <v>65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2"/>
      <c r="N2" s="2"/>
      <c r="O2" s="2"/>
    </row>
    <row r="3" spans="1:22" customFormat="1" ht="36" customHeight="1">
      <c r="A3" s="1"/>
      <c r="B3" s="119" t="s">
        <v>42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</row>
    <row r="4" spans="1:22" customFormat="1" ht="30.75" customHeight="1">
      <c r="A4" s="1"/>
      <c r="B4" s="120" t="s">
        <v>136</v>
      </c>
      <c r="C4" s="120"/>
      <c r="D4" s="120"/>
      <c r="E4" s="120"/>
      <c r="F4" s="120"/>
      <c r="G4" s="120"/>
      <c r="H4" s="120"/>
      <c r="I4" s="120"/>
      <c r="J4" s="120"/>
      <c r="K4" s="120"/>
      <c r="L4" s="120"/>
    </row>
    <row r="6" spans="1:22" ht="15" thickBot="1"/>
    <row r="7" spans="1:22" ht="33.75" customHeight="1">
      <c r="B7" s="123" t="s">
        <v>14</v>
      </c>
      <c r="C7" s="124"/>
      <c r="D7" s="67">
        <v>206</v>
      </c>
      <c r="E7" s="67">
        <v>5</v>
      </c>
      <c r="F7" s="67">
        <v>102</v>
      </c>
      <c r="G7" s="67">
        <v>48</v>
      </c>
      <c r="H7" s="67">
        <v>139</v>
      </c>
      <c r="I7" s="67">
        <v>1</v>
      </c>
      <c r="J7" s="67">
        <v>1</v>
      </c>
      <c r="K7" s="68">
        <f>SUM(D7:J7)</f>
        <v>502</v>
      </c>
      <c r="P7"/>
      <c r="Q7"/>
      <c r="R7"/>
      <c r="S7"/>
      <c r="T7"/>
      <c r="U7"/>
      <c r="V7"/>
    </row>
    <row r="8" spans="1:22" ht="33.75" customHeight="1">
      <c r="B8" s="121" t="s">
        <v>13</v>
      </c>
      <c r="C8" s="122"/>
      <c r="D8" s="58">
        <v>88.090200728155338</v>
      </c>
      <c r="E8" s="58">
        <v>203.86172399999998</v>
      </c>
      <c r="F8" s="58">
        <v>45.545332647058821</v>
      </c>
      <c r="G8" s="58">
        <v>28.941832083333335</v>
      </c>
      <c r="H8" s="58">
        <v>91.067085035971232</v>
      </c>
      <c r="I8" s="58">
        <v>277.04730000000001</v>
      </c>
      <c r="J8" s="58">
        <v>221.88172</v>
      </c>
      <c r="K8" s="69"/>
    </row>
    <row r="9" spans="1:22" ht="33.75" customHeight="1" thickBot="1">
      <c r="B9" s="115" t="s">
        <v>15</v>
      </c>
      <c r="C9" s="116"/>
      <c r="D9" s="70">
        <f>D8*D7</f>
        <v>18146.58135</v>
      </c>
      <c r="E9" s="70">
        <f>E8*E7</f>
        <v>1019.3086199999999</v>
      </c>
      <c r="F9" s="70">
        <f t="shared" ref="F9:J9" si="0">F8*F7</f>
        <v>4645.6239299999997</v>
      </c>
      <c r="G9" s="70">
        <f t="shared" si="0"/>
        <v>1389.20794</v>
      </c>
      <c r="H9" s="70">
        <f t="shared" si="0"/>
        <v>12658.324820000002</v>
      </c>
      <c r="I9" s="70">
        <f t="shared" si="0"/>
        <v>277.04730000000001</v>
      </c>
      <c r="J9" s="70">
        <f t="shared" si="0"/>
        <v>221.88172</v>
      </c>
      <c r="K9" s="71">
        <f>SUM(D9:J9)</f>
        <v>38357.975679999996</v>
      </c>
    </row>
    <row r="10" spans="1:22" ht="33.75" customHeight="1" thickBot="1">
      <c r="B10" s="72"/>
      <c r="C10" s="72"/>
      <c r="D10" s="73"/>
      <c r="E10" s="73"/>
      <c r="F10" s="73"/>
      <c r="G10" s="73"/>
      <c r="H10" s="73"/>
      <c r="I10" s="73"/>
      <c r="J10" s="73"/>
      <c r="K10" s="11"/>
    </row>
    <row r="11" spans="1:22" ht="52.5" customHeight="1">
      <c r="B11" s="65" t="s">
        <v>0</v>
      </c>
      <c r="C11" s="66" t="s">
        <v>149</v>
      </c>
      <c r="D11" s="66" t="s">
        <v>150</v>
      </c>
      <c r="E11" s="66" t="s">
        <v>151</v>
      </c>
      <c r="F11" s="66" t="s">
        <v>152</v>
      </c>
      <c r="G11" s="66" t="s">
        <v>153</v>
      </c>
      <c r="H11" s="66" t="s">
        <v>154</v>
      </c>
      <c r="I11" s="66" t="s">
        <v>155</v>
      </c>
      <c r="J11" s="66" t="s">
        <v>156</v>
      </c>
      <c r="K11" s="66" t="s">
        <v>11</v>
      </c>
      <c r="L11" s="74" t="s">
        <v>140</v>
      </c>
    </row>
    <row r="12" spans="1:22" ht="24.75" customHeight="1">
      <c r="B12" s="75">
        <v>1001</v>
      </c>
      <c r="C12" s="59">
        <v>205</v>
      </c>
      <c r="D12" s="58">
        <f>D$9/$C$20*$C12</f>
        <v>18146.58135</v>
      </c>
      <c r="E12" s="58">
        <f t="shared" ref="E12:J19" si="1">E$9/$C$20*$C12</f>
        <v>1019.3086199999999</v>
      </c>
      <c r="F12" s="58">
        <f t="shared" si="1"/>
        <v>4645.6239299999997</v>
      </c>
      <c r="G12" s="58">
        <f t="shared" si="1"/>
        <v>1389.20794</v>
      </c>
      <c r="H12" s="58">
        <f t="shared" si="1"/>
        <v>12658.324820000002</v>
      </c>
      <c r="I12" s="58">
        <f t="shared" si="1"/>
        <v>277.04730000000001</v>
      </c>
      <c r="J12" s="58">
        <f t="shared" si="1"/>
        <v>221.88172</v>
      </c>
      <c r="K12" s="58">
        <f>SUM(D12:J12)</f>
        <v>38357.975679999996</v>
      </c>
      <c r="L12" s="76">
        <f>IF(C12&lt;&gt;0,K12/C12,0)</f>
        <v>187.11207648780487</v>
      </c>
    </row>
    <row r="13" spans="1:22" ht="24.75" customHeight="1">
      <c r="B13" s="75">
        <v>1002</v>
      </c>
      <c r="C13" s="59">
        <v>0</v>
      </c>
      <c r="D13" s="58">
        <f t="shared" ref="D13:D19" si="2">D$9/$C$20*$C13</f>
        <v>0</v>
      </c>
      <c r="E13" s="58">
        <f t="shared" si="1"/>
        <v>0</v>
      </c>
      <c r="F13" s="58">
        <f t="shared" si="1"/>
        <v>0</v>
      </c>
      <c r="G13" s="58">
        <f t="shared" si="1"/>
        <v>0</v>
      </c>
      <c r="H13" s="58">
        <f t="shared" si="1"/>
        <v>0</v>
      </c>
      <c r="I13" s="58">
        <f t="shared" si="1"/>
        <v>0</v>
      </c>
      <c r="J13" s="58">
        <f t="shared" si="1"/>
        <v>0</v>
      </c>
      <c r="K13" s="58">
        <f t="shared" ref="K13:K19" si="3">SUM(D13:J13)</f>
        <v>0</v>
      </c>
      <c r="L13" s="76">
        <f t="shared" ref="L13:L19" si="4">IF(C13&lt;&gt;0,K13/C13,0)</f>
        <v>0</v>
      </c>
    </row>
    <row r="14" spans="1:22" ht="24.75" customHeight="1">
      <c r="B14" s="75">
        <v>1003</v>
      </c>
      <c r="C14" s="59">
        <v>0</v>
      </c>
      <c r="D14" s="58">
        <f t="shared" si="2"/>
        <v>0</v>
      </c>
      <c r="E14" s="58">
        <f t="shared" si="1"/>
        <v>0</v>
      </c>
      <c r="F14" s="58">
        <f t="shared" si="1"/>
        <v>0</v>
      </c>
      <c r="G14" s="58">
        <f t="shared" si="1"/>
        <v>0</v>
      </c>
      <c r="H14" s="58">
        <f t="shared" si="1"/>
        <v>0</v>
      </c>
      <c r="I14" s="58">
        <f t="shared" si="1"/>
        <v>0</v>
      </c>
      <c r="J14" s="58">
        <f t="shared" si="1"/>
        <v>0</v>
      </c>
      <c r="K14" s="58">
        <f t="shared" si="3"/>
        <v>0</v>
      </c>
      <c r="L14" s="76">
        <f t="shared" si="4"/>
        <v>0</v>
      </c>
    </row>
    <row r="15" spans="1:22" ht="24.75" customHeight="1">
      <c r="B15" s="75">
        <v>1004</v>
      </c>
      <c r="C15" s="59">
        <v>0</v>
      </c>
      <c r="D15" s="58">
        <f t="shared" si="2"/>
        <v>0</v>
      </c>
      <c r="E15" s="58">
        <f t="shared" si="1"/>
        <v>0</v>
      </c>
      <c r="F15" s="58">
        <f t="shared" si="1"/>
        <v>0</v>
      </c>
      <c r="G15" s="58">
        <f t="shared" si="1"/>
        <v>0</v>
      </c>
      <c r="H15" s="58">
        <f t="shared" si="1"/>
        <v>0</v>
      </c>
      <c r="I15" s="58">
        <f t="shared" si="1"/>
        <v>0</v>
      </c>
      <c r="J15" s="58">
        <f t="shared" si="1"/>
        <v>0</v>
      </c>
      <c r="K15" s="58">
        <f t="shared" si="3"/>
        <v>0</v>
      </c>
      <c r="L15" s="76">
        <f t="shared" si="4"/>
        <v>0</v>
      </c>
    </row>
    <row r="16" spans="1:22" ht="24.75" customHeight="1">
      <c r="B16" s="75">
        <v>1005</v>
      </c>
      <c r="C16" s="59">
        <v>0</v>
      </c>
      <c r="D16" s="58">
        <f t="shared" si="2"/>
        <v>0</v>
      </c>
      <c r="E16" s="58">
        <f t="shared" si="1"/>
        <v>0</v>
      </c>
      <c r="F16" s="58">
        <f t="shared" si="1"/>
        <v>0</v>
      </c>
      <c r="G16" s="58">
        <f t="shared" si="1"/>
        <v>0</v>
      </c>
      <c r="H16" s="58">
        <f t="shared" si="1"/>
        <v>0</v>
      </c>
      <c r="I16" s="58">
        <f t="shared" si="1"/>
        <v>0</v>
      </c>
      <c r="J16" s="58">
        <f t="shared" si="1"/>
        <v>0</v>
      </c>
      <c r="K16" s="58">
        <f t="shared" si="3"/>
        <v>0</v>
      </c>
      <c r="L16" s="76">
        <f t="shared" si="4"/>
        <v>0</v>
      </c>
    </row>
    <row r="17" spans="2:12" ht="24.75" customHeight="1">
      <c r="B17" s="75">
        <v>1006</v>
      </c>
      <c r="C17" s="59">
        <v>0</v>
      </c>
      <c r="D17" s="58">
        <f t="shared" si="2"/>
        <v>0</v>
      </c>
      <c r="E17" s="58">
        <f t="shared" si="1"/>
        <v>0</v>
      </c>
      <c r="F17" s="58">
        <f t="shared" si="1"/>
        <v>0</v>
      </c>
      <c r="G17" s="58">
        <f t="shared" si="1"/>
        <v>0</v>
      </c>
      <c r="H17" s="58">
        <f t="shared" si="1"/>
        <v>0</v>
      </c>
      <c r="I17" s="58">
        <f t="shared" si="1"/>
        <v>0</v>
      </c>
      <c r="J17" s="58">
        <f t="shared" si="1"/>
        <v>0</v>
      </c>
      <c r="K17" s="58">
        <f t="shared" si="3"/>
        <v>0</v>
      </c>
      <c r="L17" s="76">
        <f t="shared" si="4"/>
        <v>0</v>
      </c>
    </row>
    <row r="18" spans="2:12" ht="24.75" customHeight="1">
      <c r="B18" s="75">
        <v>1007</v>
      </c>
      <c r="C18" s="59">
        <v>0</v>
      </c>
      <c r="D18" s="58">
        <f t="shared" si="2"/>
        <v>0</v>
      </c>
      <c r="E18" s="58">
        <f t="shared" si="1"/>
        <v>0</v>
      </c>
      <c r="F18" s="58">
        <f t="shared" si="1"/>
        <v>0</v>
      </c>
      <c r="G18" s="58">
        <f t="shared" si="1"/>
        <v>0</v>
      </c>
      <c r="H18" s="58">
        <f t="shared" si="1"/>
        <v>0</v>
      </c>
      <c r="I18" s="58">
        <f t="shared" si="1"/>
        <v>0</v>
      </c>
      <c r="J18" s="58">
        <f t="shared" si="1"/>
        <v>0</v>
      </c>
      <c r="K18" s="58">
        <f t="shared" si="3"/>
        <v>0</v>
      </c>
      <c r="L18" s="76">
        <f t="shared" si="4"/>
        <v>0</v>
      </c>
    </row>
    <row r="19" spans="2:12" ht="24.75" customHeight="1">
      <c r="B19" s="75">
        <v>1008</v>
      </c>
      <c r="C19" s="59">
        <v>0</v>
      </c>
      <c r="D19" s="58">
        <f t="shared" si="2"/>
        <v>0</v>
      </c>
      <c r="E19" s="58">
        <f t="shared" si="1"/>
        <v>0</v>
      </c>
      <c r="F19" s="58">
        <f t="shared" si="1"/>
        <v>0</v>
      </c>
      <c r="G19" s="58">
        <f t="shared" si="1"/>
        <v>0</v>
      </c>
      <c r="H19" s="58">
        <f t="shared" si="1"/>
        <v>0</v>
      </c>
      <c r="I19" s="58">
        <f t="shared" si="1"/>
        <v>0</v>
      </c>
      <c r="J19" s="58">
        <f t="shared" si="1"/>
        <v>0</v>
      </c>
      <c r="K19" s="58">
        <f t="shared" si="3"/>
        <v>0</v>
      </c>
      <c r="L19" s="76">
        <f t="shared" si="4"/>
        <v>0</v>
      </c>
    </row>
    <row r="20" spans="2:12" ht="32.25" thickBot="1">
      <c r="B20" s="77" t="s">
        <v>12</v>
      </c>
      <c r="C20" s="78">
        <f>SUM(C12:C19)</f>
        <v>205</v>
      </c>
      <c r="D20" s="70">
        <f>SUM(D12:D19)</f>
        <v>18146.58135</v>
      </c>
      <c r="E20" s="70">
        <f t="shared" ref="E20:J20" si="5">SUM(E12:E19)</f>
        <v>1019.3086199999999</v>
      </c>
      <c r="F20" s="70">
        <f t="shared" si="5"/>
        <v>4645.6239299999997</v>
      </c>
      <c r="G20" s="70">
        <f t="shared" si="5"/>
        <v>1389.20794</v>
      </c>
      <c r="H20" s="70">
        <f t="shared" si="5"/>
        <v>12658.324820000002</v>
      </c>
      <c r="I20" s="70">
        <f t="shared" si="5"/>
        <v>277.04730000000001</v>
      </c>
      <c r="J20" s="70">
        <f t="shared" si="5"/>
        <v>221.88172</v>
      </c>
      <c r="K20" s="70">
        <f>SUM(D20:J20)</f>
        <v>38357.975679999996</v>
      </c>
      <c r="L20" s="79">
        <f>SUM(L12:L19)/(COUNTA(L12:L19)-COUNTIF(L12:L19,0))</f>
        <v>187.11207648780487</v>
      </c>
    </row>
    <row r="22" spans="2:12">
      <c r="D22" s="2" t="s">
        <v>35</v>
      </c>
      <c r="E22"/>
      <c r="F22"/>
      <c r="G22"/>
      <c r="J22" t="s">
        <v>10</v>
      </c>
    </row>
    <row r="23" spans="2:12">
      <c r="D23" s="13" t="s">
        <v>63</v>
      </c>
      <c r="E23"/>
      <c r="F23"/>
      <c r="G23"/>
      <c r="J23" t="s">
        <v>36</v>
      </c>
    </row>
  </sheetData>
  <mergeCells count="7">
    <mergeCell ref="B9:C9"/>
    <mergeCell ref="B1:L1"/>
    <mergeCell ref="B2:L2"/>
    <mergeCell ref="B3:L3"/>
    <mergeCell ref="B4:L4"/>
    <mergeCell ref="B8:C8"/>
    <mergeCell ref="B7:C7"/>
  </mergeCells>
  <phoneticPr fontId="29" type="noConversion"/>
  <pageMargins left="0.70866141732283472" right="0.70866141732283472" top="0.74803149606299213" bottom="0.74803149606299213" header="0.31496062992125984" footer="0.31496062992125984"/>
  <pageSetup paperSize="9"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47CCB-DAC9-4906-823C-2DD4C2CE561F}">
  <sheetPr>
    <pageSetUpPr fitToPage="1"/>
  </sheetPr>
  <dimension ref="A1:AL307"/>
  <sheetViews>
    <sheetView rightToLeft="1" showWhiteSpace="0" topLeftCell="J10" zoomScale="60" zoomScaleNormal="60" zoomScaleSheetLayoutView="50" zoomScalePageLayoutView="70" workbookViewId="0">
      <selection activeCell="W36" sqref="W36"/>
    </sheetView>
  </sheetViews>
  <sheetFormatPr defaultColWidth="9.125" defaultRowHeight="25.5" customHeight="1"/>
  <cols>
    <col min="1" max="1" width="7.625" style="48" customWidth="1"/>
    <col min="2" max="2" width="67.375" style="49" customWidth="1"/>
    <col min="3" max="3" width="39.375" style="49" customWidth="1"/>
    <col min="4" max="4" width="23.75" style="50" customWidth="1"/>
    <col min="5" max="5" width="0.125" style="50" customWidth="1"/>
    <col min="6" max="6" width="27" style="50" customWidth="1"/>
    <col min="7" max="8" width="18.75" style="51" customWidth="1"/>
    <col min="9" max="9" width="26" style="51" bestFit="1" customWidth="1"/>
    <col min="10" max="14" width="26" style="43" customWidth="1"/>
    <col min="15" max="17" width="26.25" style="14" customWidth="1"/>
    <col min="18" max="23" width="19.875" style="14" customWidth="1"/>
    <col min="24" max="31" width="9.125" style="14"/>
    <col min="32" max="32" width="19.125" style="14" bestFit="1" customWidth="1"/>
    <col min="33" max="35" width="9.125" style="14"/>
    <col min="36" max="36" width="13.875" style="14" bestFit="1" customWidth="1"/>
    <col min="37" max="38" width="11.875" style="14" bestFit="1" customWidth="1"/>
    <col min="39" max="16384" width="9.125" style="14"/>
  </cols>
  <sheetData>
    <row r="1" spans="1:38" ht="25.5" customHeight="1">
      <c r="A1" s="117" t="str">
        <f>Material!B1</f>
        <v>Aluminum Construction System Factory Co.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80"/>
      <c r="Y1" s="80"/>
      <c r="Z1" s="80"/>
    </row>
    <row r="2" spans="1:38" ht="25.5" customHeight="1">
      <c r="A2" s="118" t="s">
        <v>137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89"/>
      <c r="Y2" s="89"/>
      <c r="Z2" s="89"/>
    </row>
    <row r="3" spans="1:38" ht="25.5" customHeight="1" thickBot="1">
      <c r="A3" s="126" t="str">
        <f>Material!B4</f>
        <v>من  00/00/2000  الي 31/00/2000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</row>
    <row r="4" spans="1:38" ht="45" customHeight="1" thickTop="1" thickBot="1">
      <c r="A4" s="16"/>
      <c r="B4" s="17" t="s">
        <v>16</v>
      </c>
      <c r="C4" s="17" t="s">
        <v>17</v>
      </c>
      <c r="D4" s="18"/>
      <c r="E4" s="18"/>
      <c r="F4" s="18" t="s">
        <v>18</v>
      </c>
      <c r="G4" s="19" t="s">
        <v>19</v>
      </c>
      <c r="H4" s="20" t="s">
        <v>20</v>
      </c>
      <c r="I4" s="20" t="s">
        <v>21</v>
      </c>
      <c r="J4" s="20" t="s">
        <v>47</v>
      </c>
      <c r="K4" s="20" t="s">
        <v>48</v>
      </c>
      <c r="L4" s="20" t="s">
        <v>49</v>
      </c>
      <c r="M4" s="20" t="s">
        <v>50</v>
      </c>
      <c r="N4" s="20" t="s">
        <v>51</v>
      </c>
      <c r="O4" s="20" t="s">
        <v>22</v>
      </c>
      <c r="P4" s="20" t="s">
        <v>23</v>
      </c>
      <c r="Q4" s="21" t="s">
        <v>52</v>
      </c>
      <c r="R4" s="20" t="s">
        <v>148</v>
      </c>
      <c r="S4" s="20" t="s">
        <v>24</v>
      </c>
      <c r="T4" s="20" t="s">
        <v>25</v>
      </c>
      <c r="U4" s="20" t="s">
        <v>148</v>
      </c>
      <c r="V4" s="21" t="s">
        <v>53</v>
      </c>
      <c r="W4" s="20" t="s">
        <v>26</v>
      </c>
    </row>
    <row r="5" spans="1:38" s="29" customFormat="1" ht="27" thickTop="1">
      <c r="A5" s="22">
        <v>1</v>
      </c>
      <c r="B5" s="23" t="s">
        <v>76</v>
      </c>
      <c r="C5" s="24" t="s">
        <v>107</v>
      </c>
      <c r="D5" s="25">
        <v>7023605566</v>
      </c>
      <c r="E5" s="25"/>
      <c r="F5" s="25">
        <v>2091100900</v>
      </c>
      <c r="G5" s="26">
        <v>2500</v>
      </c>
      <c r="H5" s="27">
        <v>18</v>
      </c>
      <c r="I5" s="26">
        <v>61</v>
      </c>
      <c r="J5" s="26">
        <f>750/12</f>
        <v>62.5</v>
      </c>
      <c r="K5" s="26">
        <f>2000/12</f>
        <v>166.66666666666666</v>
      </c>
      <c r="L5" s="26">
        <f>Y5/11</f>
        <v>247.72727272727272</v>
      </c>
      <c r="M5" s="26">
        <f>Y5/24</f>
        <v>113.54166666666667</v>
      </c>
      <c r="N5" s="26">
        <f>1750/12</f>
        <v>145.83333333333334</v>
      </c>
      <c r="O5" s="26"/>
      <c r="P5" s="26"/>
      <c r="Q5" s="28">
        <f>SUM(G5:P5)</f>
        <v>3315.268939393939</v>
      </c>
      <c r="R5" s="26"/>
      <c r="S5" s="26"/>
      <c r="T5" s="26"/>
      <c r="U5" s="26"/>
      <c r="V5" s="28">
        <f>SUM(R5:U5)</f>
        <v>0</v>
      </c>
      <c r="W5" s="26">
        <f>Q5+V5</f>
        <v>3315.268939393939</v>
      </c>
      <c r="Y5" s="90">
        <v>2725</v>
      </c>
      <c r="AJ5" s="30"/>
      <c r="AK5" s="30"/>
      <c r="AL5" s="30"/>
    </row>
    <row r="6" spans="1:38" s="29" customFormat="1" ht="26.25">
      <c r="A6" s="22">
        <v>2</v>
      </c>
      <c r="B6" s="23" t="s">
        <v>77</v>
      </c>
      <c r="C6" s="24" t="s">
        <v>106</v>
      </c>
      <c r="D6" s="25">
        <v>7023605567</v>
      </c>
      <c r="E6" s="25"/>
      <c r="F6" s="25">
        <v>2091100901</v>
      </c>
      <c r="G6" s="26">
        <v>3500</v>
      </c>
      <c r="H6" s="27">
        <v>8</v>
      </c>
      <c r="I6" s="26">
        <v>61</v>
      </c>
      <c r="J6" s="26">
        <f t="shared" ref="J6:J34" si="0">750/12</f>
        <v>62.5</v>
      </c>
      <c r="K6" s="26">
        <f t="shared" ref="K6:K34" si="1">2000/12</f>
        <v>166.66666666666666</v>
      </c>
      <c r="L6" s="26">
        <f>Y6/11</f>
        <v>337.72727272727275</v>
      </c>
      <c r="M6" s="26">
        <f>Y6/24</f>
        <v>154.79166666666666</v>
      </c>
      <c r="N6" s="26">
        <f t="shared" ref="N6:N34" si="2">1750/12</f>
        <v>145.83333333333334</v>
      </c>
      <c r="O6" s="26"/>
      <c r="P6" s="26"/>
      <c r="Q6" s="28">
        <f t="shared" ref="Q6:Q34" si="3">SUM(G6:P6)</f>
        <v>4436.518939393939</v>
      </c>
      <c r="R6" s="26"/>
      <c r="S6" s="26">
        <f>0.15*350*26</f>
        <v>1365</v>
      </c>
      <c r="T6" s="26"/>
      <c r="U6" s="26"/>
      <c r="V6" s="28">
        <f t="shared" ref="V6:V34" si="4">SUM(R6:U6)</f>
        <v>1365</v>
      </c>
      <c r="W6" s="26">
        <f t="shared" ref="W6:W34" si="5">Q6+V6</f>
        <v>5801.518939393939</v>
      </c>
      <c r="Y6" s="90">
        <v>3715</v>
      </c>
      <c r="AJ6" s="31"/>
      <c r="AK6" s="31"/>
      <c r="AL6" s="31"/>
    </row>
    <row r="7" spans="1:38" s="29" customFormat="1" ht="25.5" customHeight="1">
      <c r="A7" s="22">
        <v>3</v>
      </c>
      <c r="B7" s="23" t="s">
        <v>78</v>
      </c>
      <c r="C7" s="24" t="s">
        <v>108</v>
      </c>
      <c r="D7" s="25">
        <v>7023605568</v>
      </c>
      <c r="E7" s="25"/>
      <c r="F7" s="25">
        <v>2091100902</v>
      </c>
      <c r="G7" s="26">
        <v>1500</v>
      </c>
      <c r="H7" s="27">
        <v>14</v>
      </c>
      <c r="I7" s="26">
        <v>61</v>
      </c>
      <c r="J7" s="26">
        <f t="shared" si="0"/>
        <v>62.5</v>
      </c>
      <c r="K7" s="26">
        <f t="shared" si="1"/>
        <v>166.66666666666666</v>
      </c>
      <c r="L7" s="26">
        <f t="shared" ref="L7:L34" si="6">Y7/11</f>
        <v>156.45454545454547</v>
      </c>
      <c r="M7" s="26">
        <f t="shared" ref="M7:M34" si="7">Y7/24</f>
        <v>71.708333333333329</v>
      </c>
      <c r="N7" s="26">
        <f t="shared" si="2"/>
        <v>145.83333333333334</v>
      </c>
      <c r="O7" s="26"/>
      <c r="P7" s="26"/>
      <c r="Q7" s="28">
        <f t="shared" si="3"/>
        <v>2178.162878787879</v>
      </c>
      <c r="R7" s="26"/>
      <c r="S7" s="26">
        <f>0.1*350*26</f>
        <v>910</v>
      </c>
      <c r="T7" s="26"/>
      <c r="U7" s="26"/>
      <c r="V7" s="28">
        <f t="shared" si="4"/>
        <v>910</v>
      </c>
      <c r="W7" s="26">
        <f t="shared" si="5"/>
        <v>3088.162878787879</v>
      </c>
      <c r="Y7" s="90">
        <v>1721</v>
      </c>
      <c r="AJ7" s="31"/>
      <c r="AK7" s="31"/>
      <c r="AL7" s="31"/>
    </row>
    <row r="8" spans="1:38" s="29" customFormat="1" ht="25.5" customHeight="1">
      <c r="A8" s="22">
        <v>4</v>
      </c>
      <c r="B8" s="23" t="s">
        <v>79</v>
      </c>
      <c r="C8" s="24" t="s">
        <v>109</v>
      </c>
      <c r="D8" s="25">
        <v>7023605569</v>
      </c>
      <c r="E8" s="25"/>
      <c r="F8" s="25">
        <v>2091100903</v>
      </c>
      <c r="G8" s="26">
        <v>1700</v>
      </c>
      <c r="H8" s="27">
        <v>18</v>
      </c>
      <c r="I8" s="26">
        <v>61</v>
      </c>
      <c r="J8" s="26">
        <f t="shared" si="0"/>
        <v>62.5</v>
      </c>
      <c r="K8" s="26">
        <f t="shared" si="1"/>
        <v>166.66666666666666</v>
      </c>
      <c r="L8" s="26">
        <f t="shared" si="6"/>
        <v>175</v>
      </c>
      <c r="M8" s="26">
        <f t="shared" si="7"/>
        <v>80.208333333333329</v>
      </c>
      <c r="N8" s="26">
        <f t="shared" si="2"/>
        <v>145.83333333333334</v>
      </c>
      <c r="O8" s="26"/>
      <c r="P8" s="26"/>
      <c r="Q8" s="28">
        <f t="shared" si="3"/>
        <v>2409.2083333333339</v>
      </c>
      <c r="R8" s="26"/>
      <c r="S8" s="26">
        <f>0.1*350*26</f>
        <v>910</v>
      </c>
      <c r="T8" s="26"/>
      <c r="U8" s="26"/>
      <c r="V8" s="28">
        <f>SUM(R8:U8)</f>
        <v>910</v>
      </c>
      <c r="W8" s="26">
        <f t="shared" si="5"/>
        <v>3319.2083333333339</v>
      </c>
      <c r="Y8" s="90">
        <v>1925</v>
      </c>
      <c r="AJ8" s="31"/>
      <c r="AK8" s="31"/>
      <c r="AL8" s="31"/>
    </row>
    <row r="9" spans="1:38" s="29" customFormat="1" ht="25.5" customHeight="1">
      <c r="A9" s="22">
        <v>5</v>
      </c>
      <c r="B9" s="23" t="s">
        <v>80</v>
      </c>
      <c r="C9" s="24" t="s">
        <v>110</v>
      </c>
      <c r="D9" s="25">
        <v>7023605570</v>
      </c>
      <c r="E9" s="25"/>
      <c r="F9" s="25">
        <v>2091100904</v>
      </c>
      <c r="G9" s="26">
        <v>1500</v>
      </c>
      <c r="H9" s="27">
        <v>14</v>
      </c>
      <c r="I9" s="26">
        <v>61</v>
      </c>
      <c r="J9" s="26">
        <f t="shared" si="0"/>
        <v>62.5</v>
      </c>
      <c r="K9" s="26">
        <f t="shared" si="1"/>
        <v>166.66666666666666</v>
      </c>
      <c r="L9" s="26">
        <f t="shared" si="6"/>
        <v>156.45454545454547</v>
      </c>
      <c r="M9" s="26">
        <f t="shared" si="7"/>
        <v>71.708333333333329</v>
      </c>
      <c r="N9" s="26">
        <f t="shared" si="2"/>
        <v>145.83333333333334</v>
      </c>
      <c r="O9" s="26"/>
      <c r="P9" s="26"/>
      <c r="Q9" s="28">
        <f t="shared" si="3"/>
        <v>2178.162878787879</v>
      </c>
      <c r="R9" s="26"/>
      <c r="S9" s="26">
        <f>0.05*350*26</f>
        <v>455</v>
      </c>
      <c r="T9" s="26"/>
      <c r="U9" s="26"/>
      <c r="V9" s="28">
        <f t="shared" si="4"/>
        <v>455</v>
      </c>
      <c r="W9" s="26">
        <f t="shared" si="5"/>
        <v>2633.162878787879</v>
      </c>
      <c r="Y9" s="90">
        <v>1721</v>
      </c>
      <c r="AJ9" s="31"/>
      <c r="AK9" s="31"/>
      <c r="AL9" s="31"/>
    </row>
    <row r="10" spans="1:38" s="29" customFormat="1" ht="25.5" customHeight="1">
      <c r="A10" s="22">
        <v>6</v>
      </c>
      <c r="B10" s="23" t="s">
        <v>81</v>
      </c>
      <c r="C10" s="24" t="s">
        <v>111</v>
      </c>
      <c r="D10" s="25">
        <v>7023605571</v>
      </c>
      <c r="E10" s="25"/>
      <c r="F10" s="25">
        <v>2091100905</v>
      </c>
      <c r="G10" s="26">
        <v>1500</v>
      </c>
      <c r="H10" s="27">
        <v>18</v>
      </c>
      <c r="I10" s="26">
        <v>61</v>
      </c>
      <c r="J10" s="26">
        <f t="shared" si="0"/>
        <v>62.5</v>
      </c>
      <c r="K10" s="26">
        <f t="shared" si="1"/>
        <v>166.66666666666666</v>
      </c>
      <c r="L10" s="26">
        <f t="shared" si="6"/>
        <v>156.81818181818181</v>
      </c>
      <c r="M10" s="26">
        <f t="shared" si="7"/>
        <v>71.875</v>
      </c>
      <c r="N10" s="26">
        <f t="shared" si="2"/>
        <v>145.83333333333334</v>
      </c>
      <c r="O10" s="26"/>
      <c r="P10" s="26"/>
      <c r="Q10" s="28">
        <f t="shared" si="3"/>
        <v>2182.693181818182</v>
      </c>
      <c r="R10" s="26"/>
      <c r="S10" s="26">
        <f>0.05*350*26</f>
        <v>455</v>
      </c>
      <c r="T10" s="26"/>
      <c r="U10" s="26"/>
      <c r="V10" s="28">
        <f>SUM(R10:U10)</f>
        <v>455</v>
      </c>
      <c r="W10" s="26">
        <f t="shared" si="5"/>
        <v>2637.693181818182</v>
      </c>
      <c r="Y10" s="90">
        <v>1725</v>
      </c>
      <c r="AJ10" s="31"/>
      <c r="AK10" s="31"/>
      <c r="AL10" s="31"/>
    </row>
    <row r="11" spans="1:38" s="29" customFormat="1" ht="25.5" customHeight="1">
      <c r="A11" s="22">
        <v>7</v>
      </c>
      <c r="B11" s="23" t="s">
        <v>82</v>
      </c>
      <c r="C11" s="24" t="s">
        <v>112</v>
      </c>
      <c r="D11" s="25">
        <v>7023605572</v>
      </c>
      <c r="E11" s="25"/>
      <c r="F11" s="25">
        <v>2091100906</v>
      </c>
      <c r="G11" s="26">
        <v>2000</v>
      </c>
      <c r="H11" s="27">
        <v>20</v>
      </c>
      <c r="I11" s="26">
        <v>61</v>
      </c>
      <c r="J11" s="26">
        <f t="shared" si="0"/>
        <v>62.5</v>
      </c>
      <c r="K11" s="26">
        <f t="shared" si="1"/>
        <v>166.66666666666666</v>
      </c>
      <c r="L11" s="26">
        <f t="shared" si="6"/>
        <v>202.45454545454547</v>
      </c>
      <c r="M11" s="26">
        <f t="shared" si="7"/>
        <v>92.791666666666671</v>
      </c>
      <c r="N11" s="26">
        <f t="shared" si="2"/>
        <v>145.83333333333334</v>
      </c>
      <c r="O11" s="26"/>
      <c r="P11" s="26"/>
      <c r="Q11" s="28">
        <f t="shared" si="3"/>
        <v>2751.246212121212</v>
      </c>
      <c r="R11" s="26"/>
      <c r="S11" s="26">
        <v>1000</v>
      </c>
      <c r="T11" s="26">
        <f>2800/8</f>
        <v>350</v>
      </c>
      <c r="U11" s="26"/>
      <c r="V11" s="28">
        <f>SUM(R11:U11)</f>
        <v>1350</v>
      </c>
      <c r="W11" s="26">
        <f t="shared" si="5"/>
        <v>4101.246212121212</v>
      </c>
      <c r="Y11" s="90">
        <v>2227</v>
      </c>
      <c r="AJ11" s="31"/>
      <c r="AK11" s="31"/>
      <c r="AL11" s="31"/>
    </row>
    <row r="12" spans="1:38" s="29" customFormat="1" ht="25.5" customHeight="1">
      <c r="A12" s="22">
        <v>8</v>
      </c>
      <c r="B12" s="23" t="s">
        <v>83</v>
      </c>
      <c r="C12" s="24" t="s">
        <v>113</v>
      </c>
      <c r="D12" s="25">
        <v>7023605573</v>
      </c>
      <c r="E12" s="25"/>
      <c r="F12" s="25">
        <v>2091100907</v>
      </c>
      <c r="G12" s="26">
        <v>2000</v>
      </c>
      <c r="H12" s="27">
        <v>20</v>
      </c>
      <c r="I12" s="26">
        <v>61</v>
      </c>
      <c r="J12" s="26">
        <f t="shared" si="0"/>
        <v>62.5</v>
      </c>
      <c r="K12" s="26">
        <f t="shared" si="1"/>
        <v>166.66666666666666</v>
      </c>
      <c r="L12" s="26">
        <f t="shared" si="6"/>
        <v>202.45454545454547</v>
      </c>
      <c r="M12" s="26">
        <f t="shared" si="7"/>
        <v>92.791666666666671</v>
      </c>
      <c r="N12" s="26">
        <f t="shared" si="2"/>
        <v>145.83333333333334</v>
      </c>
      <c r="O12" s="26"/>
      <c r="P12" s="26"/>
      <c r="Q12" s="28">
        <f t="shared" si="3"/>
        <v>2751.246212121212</v>
      </c>
      <c r="R12" s="26"/>
      <c r="S12" s="26">
        <f>0.25*350*26</f>
        <v>2275</v>
      </c>
      <c r="T12" s="26">
        <f t="shared" ref="T12:T13" si="8">2800/8</f>
        <v>350</v>
      </c>
      <c r="U12" s="26"/>
      <c r="V12" s="28">
        <f>SUM(R12:U12)</f>
        <v>2625</v>
      </c>
      <c r="W12" s="26">
        <f t="shared" si="5"/>
        <v>5376.246212121212</v>
      </c>
      <c r="Y12" s="90">
        <v>2227</v>
      </c>
      <c r="AJ12" s="31"/>
      <c r="AK12" s="31"/>
      <c r="AL12" s="31"/>
    </row>
    <row r="13" spans="1:38" s="29" customFormat="1" ht="25.5" customHeight="1">
      <c r="A13" s="22">
        <v>9</v>
      </c>
      <c r="B13" s="23" t="s">
        <v>84</v>
      </c>
      <c r="C13" s="24" t="s">
        <v>114</v>
      </c>
      <c r="D13" s="25">
        <v>7023605574</v>
      </c>
      <c r="E13" s="25"/>
      <c r="F13" s="25">
        <v>2091100908</v>
      </c>
      <c r="G13" s="26">
        <v>3000</v>
      </c>
      <c r="H13" s="27">
        <v>28</v>
      </c>
      <c r="I13" s="26">
        <v>61</v>
      </c>
      <c r="J13" s="26">
        <f t="shared" si="0"/>
        <v>62.5</v>
      </c>
      <c r="K13" s="26">
        <f t="shared" si="1"/>
        <v>166.66666666666666</v>
      </c>
      <c r="L13" s="26">
        <f t="shared" si="6"/>
        <v>294.09090909090907</v>
      </c>
      <c r="M13" s="26">
        <f t="shared" si="7"/>
        <v>134.79166666666666</v>
      </c>
      <c r="N13" s="26">
        <f t="shared" si="2"/>
        <v>145.83333333333334</v>
      </c>
      <c r="O13" s="26"/>
      <c r="P13" s="26"/>
      <c r="Q13" s="28">
        <f t="shared" si="3"/>
        <v>3892.8825757575755</v>
      </c>
      <c r="R13" s="26"/>
      <c r="S13" s="26">
        <f>0.15*350*26</f>
        <v>1365</v>
      </c>
      <c r="T13" s="26">
        <f t="shared" si="8"/>
        <v>350</v>
      </c>
      <c r="U13" s="26"/>
      <c r="V13" s="28">
        <f t="shared" si="4"/>
        <v>1715</v>
      </c>
      <c r="W13" s="26">
        <f t="shared" si="5"/>
        <v>5607.882575757576</v>
      </c>
      <c r="Y13" s="90">
        <v>3235</v>
      </c>
      <c r="AJ13" s="31"/>
      <c r="AK13" s="31"/>
      <c r="AL13" s="31"/>
    </row>
    <row r="14" spans="1:38" s="29" customFormat="1" ht="25.5" customHeight="1">
      <c r="A14" s="22">
        <v>10</v>
      </c>
      <c r="B14" s="23" t="s">
        <v>85</v>
      </c>
      <c r="C14" s="24" t="s">
        <v>115</v>
      </c>
      <c r="D14" s="25">
        <v>7023605575</v>
      </c>
      <c r="E14" s="25"/>
      <c r="F14" s="25">
        <v>2091100909</v>
      </c>
      <c r="G14" s="26">
        <v>1500</v>
      </c>
      <c r="H14" s="27">
        <v>14</v>
      </c>
      <c r="I14" s="26">
        <v>61</v>
      </c>
      <c r="J14" s="26">
        <f t="shared" si="0"/>
        <v>62.5</v>
      </c>
      <c r="K14" s="26">
        <f t="shared" si="1"/>
        <v>166.66666666666666</v>
      </c>
      <c r="L14" s="26">
        <f t="shared" si="6"/>
        <v>156.45454545454547</v>
      </c>
      <c r="M14" s="26">
        <f t="shared" si="7"/>
        <v>71.708333333333329</v>
      </c>
      <c r="N14" s="26">
        <f t="shared" si="2"/>
        <v>145.83333333333334</v>
      </c>
      <c r="O14" s="26"/>
      <c r="P14" s="26"/>
      <c r="Q14" s="28">
        <f t="shared" si="3"/>
        <v>2178.162878787879</v>
      </c>
      <c r="R14" s="26"/>
      <c r="S14" s="26">
        <f>0.1*350*26</f>
        <v>910</v>
      </c>
      <c r="T14" s="26">
        <f>2800/8</f>
        <v>350</v>
      </c>
      <c r="U14" s="26"/>
      <c r="V14" s="28">
        <f>SUM(R14:U14)</f>
        <v>1260</v>
      </c>
      <c r="W14" s="26">
        <f t="shared" si="5"/>
        <v>3438.162878787879</v>
      </c>
      <c r="Y14" s="90">
        <v>1721</v>
      </c>
      <c r="AJ14" s="31"/>
      <c r="AK14" s="31"/>
      <c r="AL14" s="31"/>
    </row>
    <row r="15" spans="1:38" s="29" customFormat="1" ht="25.5" customHeight="1">
      <c r="A15" s="22">
        <v>11</v>
      </c>
      <c r="B15" s="23" t="s">
        <v>86</v>
      </c>
      <c r="C15" s="24" t="s">
        <v>116</v>
      </c>
      <c r="D15" s="25">
        <v>7023605576</v>
      </c>
      <c r="E15" s="25"/>
      <c r="F15" s="25">
        <v>2091100910</v>
      </c>
      <c r="G15" s="26">
        <v>1200</v>
      </c>
      <c r="H15" s="27">
        <v>16</v>
      </c>
      <c r="I15" s="26">
        <v>61</v>
      </c>
      <c r="J15" s="26">
        <f t="shared" si="0"/>
        <v>62.5</v>
      </c>
      <c r="K15" s="26">
        <f t="shared" si="1"/>
        <v>166.66666666666666</v>
      </c>
      <c r="L15" s="26">
        <f t="shared" si="6"/>
        <v>129.36363636363637</v>
      </c>
      <c r="M15" s="26">
        <f t="shared" si="7"/>
        <v>59.291666666666664</v>
      </c>
      <c r="N15" s="26">
        <f t="shared" si="2"/>
        <v>145.83333333333334</v>
      </c>
      <c r="O15" s="26"/>
      <c r="P15" s="26"/>
      <c r="Q15" s="28">
        <f t="shared" si="3"/>
        <v>1840.655303030303</v>
      </c>
      <c r="R15" s="26"/>
      <c r="S15" s="26">
        <f t="shared" ref="S15:S18" si="9">0.1*350*26</f>
        <v>910</v>
      </c>
      <c r="T15" s="26">
        <f t="shared" ref="T15:T18" si="10">2800/8</f>
        <v>350</v>
      </c>
      <c r="U15" s="26"/>
      <c r="V15" s="28">
        <f t="shared" si="4"/>
        <v>1260</v>
      </c>
      <c r="W15" s="26">
        <f t="shared" si="5"/>
        <v>3100.655303030303</v>
      </c>
      <c r="Y15" s="90">
        <v>1423</v>
      </c>
      <c r="AJ15" s="31"/>
      <c r="AK15" s="31"/>
      <c r="AL15" s="31"/>
    </row>
    <row r="16" spans="1:38" s="29" customFormat="1" ht="25.5" customHeight="1">
      <c r="A16" s="22">
        <v>12</v>
      </c>
      <c r="B16" s="23" t="s">
        <v>87</v>
      </c>
      <c r="C16" s="24" t="s">
        <v>117</v>
      </c>
      <c r="D16" s="25">
        <v>7023605577</v>
      </c>
      <c r="E16" s="25"/>
      <c r="F16" s="25">
        <v>2091100911</v>
      </c>
      <c r="G16" s="26">
        <v>1200</v>
      </c>
      <c r="H16" s="27">
        <v>16</v>
      </c>
      <c r="I16" s="26">
        <v>61</v>
      </c>
      <c r="J16" s="26">
        <f t="shared" si="0"/>
        <v>62.5</v>
      </c>
      <c r="K16" s="26">
        <f t="shared" si="1"/>
        <v>166.66666666666666</v>
      </c>
      <c r="L16" s="26">
        <f t="shared" si="6"/>
        <v>129.36363636363637</v>
      </c>
      <c r="M16" s="26">
        <f t="shared" si="7"/>
        <v>59.291666666666664</v>
      </c>
      <c r="N16" s="26">
        <f t="shared" si="2"/>
        <v>145.83333333333334</v>
      </c>
      <c r="O16" s="26"/>
      <c r="P16" s="26"/>
      <c r="Q16" s="28">
        <f t="shared" si="3"/>
        <v>1840.655303030303</v>
      </c>
      <c r="R16" s="26"/>
      <c r="S16" s="26">
        <f t="shared" si="9"/>
        <v>910</v>
      </c>
      <c r="T16" s="26">
        <f t="shared" si="10"/>
        <v>350</v>
      </c>
      <c r="U16" s="26"/>
      <c r="V16" s="28">
        <f t="shared" si="4"/>
        <v>1260</v>
      </c>
      <c r="W16" s="26">
        <f t="shared" si="5"/>
        <v>3100.655303030303</v>
      </c>
      <c r="Y16" s="90">
        <v>1423</v>
      </c>
      <c r="AJ16" s="31"/>
      <c r="AK16" s="31"/>
      <c r="AL16" s="31"/>
    </row>
    <row r="17" spans="1:38" s="29" customFormat="1" ht="26.25">
      <c r="A17" s="22">
        <v>13</v>
      </c>
      <c r="B17" s="23" t="s">
        <v>88</v>
      </c>
      <c r="C17" s="24" t="s">
        <v>118</v>
      </c>
      <c r="D17" s="25">
        <v>7023605578</v>
      </c>
      <c r="E17" s="32"/>
      <c r="F17" s="25">
        <v>2091100912</v>
      </c>
      <c r="G17" s="26">
        <v>1400</v>
      </c>
      <c r="H17" s="27">
        <v>34</v>
      </c>
      <c r="I17" s="26">
        <v>61</v>
      </c>
      <c r="J17" s="26">
        <f t="shared" si="0"/>
        <v>62.5</v>
      </c>
      <c r="K17" s="26">
        <f t="shared" si="1"/>
        <v>166.66666666666666</v>
      </c>
      <c r="L17" s="26">
        <f t="shared" si="6"/>
        <v>149.18181818181819</v>
      </c>
      <c r="M17" s="26">
        <f t="shared" si="7"/>
        <v>68.375</v>
      </c>
      <c r="N17" s="26">
        <f t="shared" si="2"/>
        <v>145.83333333333334</v>
      </c>
      <c r="O17" s="26"/>
      <c r="P17" s="26"/>
      <c r="Q17" s="28">
        <f t="shared" si="3"/>
        <v>2087.5568181818185</v>
      </c>
      <c r="R17" s="26"/>
      <c r="S17" s="26">
        <f>0.25*350*26</f>
        <v>2275</v>
      </c>
      <c r="T17" s="26">
        <f t="shared" si="10"/>
        <v>350</v>
      </c>
      <c r="U17" s="26"/>
      <c r="V17" s="28">
        <f t="shared" si="4"/>
        <v>2625</v>
      </c>
      <c r="W17" s="26">
        <f t="shared" si="5"/>
        <v>4712.556818181818</v>
      </c>
      <c r="Y17" s="90">
        <v>1641</v>
      </c>
      <c r="AJ17" s="31"/>
      <c r="AK17" s="31"/>
      <c r="AL17" s="31"/>
    </row>
    <row r="18" spans="1:38" s="29" customFormat="1" ht="26.25">
      <c r="A18" s="22">
        <v>14</v>
      </c>
      <c r="B18" s="23" t="s">
        <v>89</v>
      </c>
      <c r="C18" s="24" t="s">
        <v>119</v>
      </c>
      <c r="D18" s="25">
        <v>7023605579</v>
      </c>
      <c r="E18" s="32"/>
      <c r="F18" s="25">
        <v>2091100913</v>
      </c>
      <c r="G18" s="26">
        <v>1700</v>
      </c>
      <c r="H18" s="27">
        <v>18</v>
      </c>
      <c r="I18" s="26">
        <v>61</v>
      </c>
      <c r="J18" s="26">
        <f t="shared" si="0"/>
        <v>62.5</v>
      </c>
      <c r="K18" s="26">
        <f t="shared" si="1"/>
        <v>166.66666666666666</v>
      </c>
      <c r="L18" s="26">
        <f t="shared" si="6"/>
        <v>175</v>
      </c>
      <c r="M18" s="26">
        <f t="shared" si="7"/>
        <v>80.208333333333329</v>
      </c>
      <c r="N18" s="26">
        <f t="shared" si="2"/>
        <v>145.83333333333334</v>
      </c>
      <c r="O18" s="26"/>
      <c r="P18" s="26"/>
      <c r="Q18" s="28">
        <f t="shared" si="3"/>
        <v>2409.2083333333339</v>
      </c>
      <c r="R18" s="26"/>
      <c r="S18" s="26">
        <f t="shared" si="9"/>
        <v>910</v>
      </c>
      <c r="T18" s="26">
        <f t="shared" si="10"/>
        <v>350</v>
      </c>
      <c r="U18" s="26"/>
      <c r="V18" s="28">
        <f t="shared" si="4"/>
        <v>1260</v>
      </c>
      <c r="W18" s="26">
        <f t="shared" si="5"/>
        <v>3669.2083333333339</v>
      </c>
      <c r="Y18" s="90">
        <v>1925</v>
      </c>
      <c r="AJ18" s="31"/>
      <c r="AK18" s="31"/>
      <c r="AL18" s="31"/>
    </row>
    <row r="19" spans="1:38" s="29" customFormat="1" ht="25.5" customHeight="1">
      <c r="A19" s="22">
        <v>15</v>
      </c>
      <c r="B19" s="23" t="s">
        <v>90</v>
      </c>
      <c r="C19" s="24" t="s">
        <v>120</v>
      </c>
      <c r="D19" s="25">
        <v>7023605580</v>
      </c>
      <c r="E19" s="33" t="s">
        <v>27</v>
      </c>
      <c r="F19" s="25">
        <v>2091100914</v>
      </c>
      <c r="G19" s="26">
        <v>2500</v>
      </c>
      <c r="H19" s="27">
        <v>28</v>
      </c>
      <c r="I19" s="26">
        <v>61</v>
      </c>
      <c r="J19" s="26">
        <f t="shared" si="0"/>
        <v>62.5</v>
      </c>
      <c r="K19" s="26">
        <f t="shared" si="1"/>
        <v>166.66666666666666</v>
      </c>
      <c r="L19" s="26">
        <f t="shared" si="6"/>
        <v>367</v>
      </c>
      <c r="M19" s="26">
        <f t="shared" si="7"/>
        <v>168.20833333333334</v>
      </c>
      <c r="N19" s="26">
        <f t="shared" si="2"/>
        <v>145.83333333333334</v>
      </c>
      <c r="O19" s="26"/>
      <c r="P19" s="26">
        <v>1302</v>
      </c>
      <c r="Q19" s="28">
        <f>SUM(G19:P19)</f>
        <v>4801.2083333333339</v>
      </c>
      <c r="R19" s="26"/>
      <c r="S19" s="26">
        <f>0.05*350*26</f>
        <v>455</v>
      </c>
      <c r="T19" s="26"/>
      <c r="U19" s="26"/>
      <c r="V19" s="28">
        <f t="shared" si="4"/>
        <v>455</v>
      </c>
      <c r="W19" s="26">
        <f t="shared" si="5"/>
        <v>5256.2083333333339</v>
      </c>
      <c r="Y19" s="90">
        <v>4037</v>
      </c>
      <c r="AJ19" s="31"/>
      <c r="AK19" s="31"/>
      <c r="AL19" s="31"/>
    </row>
    <row r="20" spans="1:38" s="29" customFormat="1" ht="25.5" customHeight="1">
      <c r="A20" s="22">
        <v>16</v>
      </c>
      <c r="B20" s="23" t="s">
        <v>91</v>
      </c>
      <c r="C20" s="24" t="s">
        <v>121</v>
      </c>
      <c r="D20" s="25">
        <v>7023605581</v>
      </c>
      <c r="E20" s="25"/>
      <c r="F20" s="25">
        <v>2091100915</v>
      </c>
      <c r="G20" s="26">
        <v>2000</v>
      </c>
      <c r="H20" s="27">
        <v>20</v>
      </c>
      <c r="I20" s="26">
        <v>61</v>
      </c>
      <c r="J20" s="26">
        <f t="shared" si="0"/>
        <v>62.5</v>
      </c>
      <c r="K20" s="26">
        <f t="shared" si="1"/>
        <v>166.66666666666666</v>
      </c>
      <c r="L20" s="26">
        <f t="shared" si="6"/>
        <v>202.45454545454547</v>
      </c>
      <c r="M20" s="26">
        <f t="shared" si="7"/>
        <v>92.791666666666671</v>
      </c>
      <c r="N20" s="26">
        <f t="shared" si="2"/>
        <v>145.83333333333334</v>
      </c>
      <c r="O20" s="26"/>
      <c r="P20" s="26"/>
      <c r="Q20" s="28">
        <f t="shared" si="3"/>
        <v>2751.246212121212</v>
      </c>
      <c r="R20" s="26"/>
      <c r="S20" s="26"/>
      <c r="T20" s="26"/>
      <c r="U20" s="26"/>
      <c r="V20" s="28">
        <f t="shared" si="4"/>
        <v>0</v>
      </c>
      <c r="W20" s="26">
        <f t="shared" si="5"/>
        <v>2751.246212121212</v>
      </c>
      <c r="Y20" s="90">
        <v>2227</v>
      </c>
      <c r="AJ20" s="31"/>
      <c r="AK20" s="31"/>
      <c r="AL20" s="31"/>
    </row>
    <row r="21" spans="1:38" s="29" customFormat="1" ht="26.25">
      <c r="A21" s="22">
        <v>17</v>
      </c>
      <c r="B21" s="23" t="s">
        <v>92</v>
      </c>
      <c r="C21" s="24" t="s">
        <v>122</v>
      </c>
      <c r="D21" s="25">
        <v>7023605582</v>
      </c>
      <c r="E21" s="32"/>
      <c r="F21" s="25">
        <v>2091100916</v>
      </c>
      <c r="G21" s="26">
        <v>1700</v>
      </c>
      <c r="H21" s="27">
        <v>18</v>
      </c>
      <c r="I21" s="26">
        <v>61</v>
      </c>
      <c r="J21" s="26">
        <f t="shared" si="0"/>
        <v>62.5</v>
      </c>
      <c r="K21" s="26">
        <f t="shared" si="1"/>
        <v>166.66666666666666</v>
      </c>
      <c r="L21" s="26">
        <f t="shared" si="6"/>
        <v>175</v>
      </c>
      <c r="M21" s="26">
        <f t="shared" si="7"/>
        <v>80.208333333333329</v>
      </c>
      <c r="N21" s="26">
        <f t="shared" si="2"/>
        <v>145.83333333333334</v>
      </c>
      <c r="O21" s="26"/>
      <c r="P21" s="26"/>
      <c r="Q21" s="28">
        <f t="shared" si="3"/>
        <v>2409.2083333333339</v>
      </c>
      <c r="R21" s="26"/>
      <c r="S21" s="26"/>
      <c r="T21" s="26"/>
      <c r="U21" s="26">
        <f>10*48</f>
        <v>480</v>
      </c>
      <c r="V21" s="28">
        <f t="shared" si="4"/>
        <v>480</v>
      </c>
      <c r="W21" s="26">
        <f t="shared" si="5"/>
        <v>2889.2083333333339</v>
      </c>
      <c r="Y21" s="90">
        <v>1925</v>
      </c>
      <c r="AJ21" s="31"/>
      <c r="AK21" s="31"/>
      <c r="AL21" s="31"/>
    </row>
    <row r="22" spans="1:38" s="29" customFormat="1" ht="26.25">
      <c r="A22" s="22">
        <v>18</v>
      </c>
      <c r="B22" s="23" t="s">
        <v>93</v>
      </c>
      <c r="C22" s="24" t="s">
        <v>123</v>
      </c>
      <c r="D22" s="25">
        <v>7023605583</v>
      </c>
      <c r="E22" s="32"/>
      <c r="F22" s="25">
        <v>2091100917</v>
      </c>
      <c r="G22" s="26">
        <v>1700</v>
      </c>
      <c r="H22" s="27">
        <v>18</v>
      </c>
      <c r="I22" s="26">
        <v>61</v>
      </c>
      <c r="J22" s="26">
        <f t="shared" si="0"/>
        <v>62.5</v>
      </c>
      <c r="K22" s="26">
        <f t="shared" si="1"/>
        <v>166.66666666666666</v>
      </c>
      <c r="L22" s="26">
        <f t="shared" si="6"/>
        <v>175</v>
      </c>
      <c r="M22" s="26">
        <f t="shared" si="7"/>
        <v>80.208333333333329</v>
      </c>
      <c r="N22" s="26">
        <f t="shared" si="2"/>
        <v>145.83333333333334</v>
      </c>
      <c r="O22" s="26"/>
      <c r="P22" s="26"/>
      <c r="Q22" s="28">
        <f t="shared" si="3"/>
        <v>2409.2083333333339</v>
      </c>
      <c r="R22" s="26"/>
      <c r="S22" s="26"/>
      <c r="T22" s="26"/>
      <c r="U22" s="26">
        <f t="shared" ref="U22:U33" si="11">10*48</f>
        <v>480</v>
      </c>
      <c r="V22" s="28">
        <f t="shared" si="4"/>
        <v>480</v>
      </c>
      <c r="W22" s="26">
        <f t="shared" si="5"/>
        <v>2889.2083333333339</v>
      </c>
      <c r="Y22" s="90">
        <v>1925</v>
      </c>
      <c r="AJ22" s="31"/>
      <c r="AK22" s="31"/>
      <c r="AL22" s="31"/>
    </row>
    <row r="23" spans="1:38" s="29" customFormat="1" ht="25.5" customHeight="1">
      <c r="A23" s="22">
        <v>19</v>
      </c>
      <c r="B23" s="23" t="s">
        <v>94</v>
      </c>
      <c r="C23" s="24" t="s">
        <v>124</v>
      </c>
      <c r="D23" s="25">
        <v>7023605584</v>
      </c>
      <c r="E23" s="25" t="s">
        <v>28</v>
      </c>
      <c r="F23" s="25">
        <v>2091100918</v>
      </c>
      <c r="G23" s="26">
        <v>1700</v>
      </c>
      <c r="H23" s="27">
        <v>18</v>
      </c>
      <c r="I23" s="26">
        <v>61</v>
      </c>
      <c r="J23" s="26">
        <f t="shared" si="0"/>
        <v>62.5</v>
      </c>
      <c r="K23" s="26">
        <f t="shared" si="1"/>
        <v>166.66666666666666</v>
      </c>
      <c r="L23" s="26">
        <f t="shared" si="6"/>
        <v>175</v>
      </c>
      <c r="M23" s="26">
        <f t="shared" si="7"/>
        <v>80.208333333333329</v>
      </c>
      <c r="N23" s="26">
        <f t="shared" si="2"/>
        <v>145.83333333333334</v>
      </c>
      <c r="O23" s="26"/>
      <c r="P23" s="26"/>
      <c r="Q23" s="28">
        <f t="shared" si="3"/>
        <v>2409.2083333333339</v>
      </c>
      <c r="R23" s="26"/>
      <c r="S23" s="26"/>
      <c r="T23" s="26"/>
      <c r="U23" s="26">
        <f t="shared" si="11"/>
        <v>480</v>
      </c>
      <c r="V23" s="28">
        <f t="shared" si="4"/>
        <v>480</v>
      </c>
      <c r="W23" s="26">
        <f t="shared" si="5"/>
        <v>2889.2083333333339</v>
      </c>
      <c r="Y23" s="90">
        <v>1925</v>
      </c>
      <c r="AJ23" s="31"/>
      <c r="AK23" s="31"/>
      <c r="AL23" s="31"/>
    </row>
    <row r="24" spans="1:38" s="29" customFormat="1" ht="26.25">
      <c r="A24" s="22">
        <v>20</v>
      </c>
      <c r="B24" s="23" t="s">
        <v>95</v>
      </c>
      <c r="C24" s="24" t="s">
        <v>125</v>
      </c>
      <c r="D24" s="25">
        <v>7023605585</v>
      </c>
      <c r="E24" s="25"/>
      <c r="F24" s="25">
        <v>2091100919</v>
      </c>
      <c r="G24" s="26">
        <v>1700</v>
      </c>
      <c r="H24" s="27">
        <v>18</v>
      </c>
      <c r="I24" s="26">
        <v>61</v>
      </c>
      <c r="J24" s="26">
        <f t="shared" si="0"/>
        <v>62.5</v>
      </c>
      <c r="K24" s="26">
        <f t="shared" si="1"/>
        <v>166.66666666666666</v>
      </c>
      <c r="L24" s="26">
        <f t="shared" si="6"/>
        <v>175</v>
      </c>
      <c r="M24" s="26">
        <f t="shared" si="7"/>
        <v>80.208333333333329</v>
      </c>
      <c r="N24" s="26">
        <f t="shared" si="2"/>
        <v>145.83333333333334</v>
      </c>
      <c r="O24" s="26"/>
      <c r="P24" s="26"/>
      <c r="Q24" s="28">
        <f t="shared" si="3"/>
        <v>2409.2083333333339</v>
      </c>
      <c r="R24" s="26"/>
      <c r="S24" s="26"/>
      <c r="T24" s="26"/>
      <c r="U24" s="26">
        <f t="shared" si="11"/>
        <v>480</v>
      </c>
      <c r="V24" s="28">
        <f t="shared" si="4"/>
        <v>480</v>
      </c>
      <c r="W24" s="26">
        <f t="shared" si="5"/>
        <v>2889.2083333333339</v>
      </c>
      <c r="Y24" s="90">
        <v>1925</v>
      </c>
      <c r="AJ24" s="31"/>
      <c r="AK24" s="31"/>
      <c r="AL24" s="31"/>
    </row>
    <row r="25" spans="1:38" s="29" customFormat="1" ht="25.5" customHeight="1">
      <c r="A25" s="22">
        <v>21</v>
      </c>
      <c r="B25" s="23" t="s">
        <v>96</v>
      </c>
      <c r="C25" s="24" t="s">
        <v>126</v>
      </c>
      <c r="D25" s="25">
        <v>7023605586</v>
      </c>
      <c r="E25" s="34"/>
      <c r="F25" s="25">
        <v>2091100920</v>
      </c>
      <c r="G25" s="26">
        <v>1700</v>
      </c>
      <c r="H25" s="35">
        <v>18</v>
      </c>
      <c r="I25" s="26">
        <v>61</v>
      </c>
      <c r="J25" s="26">
        <f t="shared" si="0"/>
        <v>62.5</v>
      </c>
      <c r="K25" s="26">
        <f t="shared" si="1"/>
        <v>166.66666666666666</v>
      </c>
      <c r="L25" s="26">
        <f t="shared" si="6"/>
        <v>175</v>
      </c>
      <c r="M25" s="26">
        <f t="shared" si="7"/>
        <v>80.208333333333329</v>
      </c>
      <c r="N25" s="26">
        <f t="shared" si="2"/>
        <v>145.83333333333334</v>
      </c>
      <c r="O25" s="26"/>
      <c r="P25" s="26"/>
      <c r="Q25" s="28">
        <f t="shared" si="3"/>
        <v>2409.2083333333339</v>
      </c>
      <c r="R25" s="26"/>
      <c r="S25" s="26"/>
      <c r="T25" s="26"/>
      <c r="U25" s="26">
        <f t="shared" si="11"/>
        <v>480</v>
      </c>
      <c r="V25" s="28">
        <f t="shared" si="4"/>
        <v>480</v>
      </c>
      <c r="W25" s="26">
        <f t="shared" si="5"/>
        <v>2889.2083333333339</v>
      </c>
      <c r="Y25" s="90">
        <v>1925</v>
      </c>
      <c r="AJ25" s="31"/>
      <c r="AK25" s="31"/>
      <c r="AL25" s="31"/>
    </row>
    <row r="26" spans="1:38" s="29" customFormat="1" ht="25.5" customHeight="1">
      <c r="A26" s="22">
        <v>22</v>
      </c>
      <c r="B26" s="23" t="s">
        <v>97</v>
      </c>
      <c r="C26" s="24" t="s">
        <v>127</v>
      </c>
      <c r="D26" s="25">
        <v>7023605587</v>
      </c>
      <c r="E26" s="25"/>
      <c r="F26" s="25">
        <v>2091100921</v>
      </c>
      <c r="G26" s="26">
        <v>1700</v>
      </c>
      <c r="H26" s="27">
        <v>18</v>
      </c>
      <c r="I26" s="26">
        <v>61</v>
      </c>
      <c r="J26" s="26">
        <f t="shared" si="0"/>
        <v>62.5</v>
      </c>
      <c r="K26" s="26">
        <f t="shared" si="1"/>
        <v>166.66666666666666</v>
      </c>
      <c r="L26" s="26">
        <f t="shared" si="6"/>
        <v>175</v>
      </c>
      <c r="M26" s="26">
        <f t="shared" si="7"/>
        <v>80.208333333333329</v>
      </c>
      <c r="N26" s="26">
        <f t="shared" si="2"/>
        <v>145.83333333333334</v>
      </c>
      <c r="O26" s="26"/>
      <c r="P26" s="26"/>
      <c r="Q26" s="28">
        <f t="shared" si="3"/>
        <v>2409.2083333333339</v>
      </c>
      <c r="R26" s="26"/>
      <c r="S26" s="26"/>
      <c r="T26" s="26"/>
      <c r="U26" s="26">
        <f t="shared" si="11"/>
        <v>480</v>
      </c>
      <c r="V26" s="28">
        <f t="shared" si="4"/>
        <v>480</v>
      </c>
      <c r="W26" s="26">
        <f t="shared" si="5"/>
        <v>2889.2083333333339</v>
      </c>
      <c r="Y26" s="90">
        <v>1925</v>
      </c>
      <c r="AJ26" s="31"/>
      <c r="AK26" s="31"/>
      <c r="AL26" s="31"/>
    </row>
    <row r="27" spans="1:38" s="29" customFormat="1" ht="25.5" customHeight="1">
      <c r="A27" s="22">
        <v>23</v>
      </c>
      <c r="B27" s="23" t="s">
        <v>98</v>
      </c>
      <c r="C27" s="24" t="s">
        <v>128</v>
      </c>
      <c r="D27" s="25">
        <v>7023605588</v>
      </c>
      <c r="E27" s="25"/>
      <c r="F27" s="25">
        <v>2091100922</v>
      </c>
      <c r="G27" s="26">
        <v>1700</v>
      </c>
      <c r="H27" s="27">
        <v>18</v>
      </c>
      <c r="I27" s="26">
        <v>61</v>
      </c>
      <c r="J27" s="26">
        <f t="shared" si="0"/>
        <v>62.5</v>
      </c>
      <c r="K27" s="26">
        <f t="shared" si="1"/>
        <v>166.66666666666666</v>
      </c>
      <c r="L27" s="26">
        <f t="shared" si="6"/>
        <v>175</v>
      </c>
      <c r="M27" s="26">
        <f t="shared" si="7"/>
        <v>80.208333333333329</v>
      </c>
      <c r="N27" s="26">
        <f t="shared" si="2"/>
        <v>145.83333333333334</v>
      </c>
      <c r="O27" s="26"/>
      <c r="P27" s="26"/>
      <c r="Q27" s="28">
        <f t="shared" si="3"/>
        <v>2409.2083333333339</v>
      </c>
      <c r="R27" s="26"/>
      <c r="S27" s="26"/>
      <c r="T27" s="26"/>
      <c r="U27" s="26">
        <f t="shared" si="11"/>
        <v>480</v>
      </c>
      <c r="V27" s="28">
        <f t="shared" si="4"/>
        <v>480</v>
      </c>
      <c r="W27" s="26">
        <f t="shared" si="5"/>
        <v>2889.2083333333339</v>
      </c>
      <c r="Y27" s="90">
        <v>1925</v>
      </c>
      <c r="AJ27" s="31"/>
      <c r="AK27" s="31"/>
      <c r="AL27" s="31"/>
    </row>
    <row r="28" spans="1:38" s="29" customFormat="1" ht="26.25">
      <c r="A28" s="22">
        <v>24</v>
      </c>
      <c r="B28" s="23" t="s">
        <v>99</v>
      </c>
      <c r="C28" s="24" t="s">
        <v>129</v>
      </c>
      <c r="D28" s="25">
        <v>7023605589</v>
      </c>
      <c r="E28" s="25"/>
      <c r="F28" s="25">
        <v>2091100923</v>
      </c>
      <c r="G28" s="26">
        <v>1700</v>
      </c>
      <c r="H28" s="27">
        <v>8</v>
      </c>
      <c r="I28" s="26">
        <v>61</v>
      </c>
      <c r="J28" s="26">
        <f t="shared" si="0"/>
        <v>62.5</v>
      </c>
      <c r="K28" s="26">
        <f t="shared" si="1"/>
        <v>166.66666666666666</v>
      </c>
      <c r="L28" s="26">
        <f t="shared" si="6"/>
        <v>174.09090909090909</v>
      </c>
      <c r="M28" s="26">
        <f t="shared" si="7"/>
        <v>79.791666666666671</v>
      </c>
      <c r="N28" s="26">
        <f t="shared" si="2"/>
        <v>145.83333333333334</v>
      </c>
      <c r="O28" s="26"/>
      <c r="P28" s="26"/>
      <c r="Q28" s="28">
        <f t="shared" si="3"/>
        <v>2397.882575757576</v>
      </c>
      <c r="R28" s="26"/>
      <c r="S28" s="26"/>
      <c r="T28" s="26"/>
      <c r="U28" s="26">
        <f t="shared" si="11"/>
        <v>480</v>
      </c>
      <c r="V28" s="28">
        <f t="shared" si="4"/>
        <v>480</v>
      </c>
      <c r="W28" s="26">
        <f t="shared" si="5"/>
        <v>2877.882575757576</v>
      </c>
      <c r="Y28" s="90">
        <v>1915</v>
      </c>
      <c r="AJ28" s="31"/>
      <c r="AK28" s="31"/>
      <c r="AL28" s="31"/>
    </row>
    <row r="29" spans="1:38" s="29" customFormat="1" ht="25.5" customHeight="1">
      <c r="A29" s="22">
        <v>25</v>
      </c>
      <c r="B29" s="23" t="s">
        <v>100</v>
      </c>
      <c r="C29" s="24" t="s">
        <v>130</v>
      </c>
      <c r="D29" s="25">
        <v>7023605590</v>
      </c>
      <c r="E29" s="25"/>
      <c r="F29" s="25">
        <v>2091100924</v>
      </c>
      <c r="G29" s="26">
        <v>1700</v>
      </c>
      <c r="H29" s="27">
        <v>18</v>
      </c>
      <c r="I29" s="26">
        <v>61</v>
      </c>
      <c r="J29" s="26">
        <f t="shared" si="0"/>
        <v>62.5</v>
      </c>
      <c r="K29" s="26">
        <f t="shared" si="1"/>
        <v>166.66666666666666</v>
      </c>
      <c r="L29" s="26">
        <f t="shared" si="6"/>
        <v>175</v>
      </c>
      <c r="M29" s="26">
        <f t="shared" si="7"/>
        <v>80.208333333333329</v>
      </c>
      <c r="N29" s="26">
        <f t="shared" si="2"/>
        <v>145.83333333333334</v>
      </c>
      <c r="O29" s="26"/>
      <c r="P29" s="26"/>
      <c r="Q29" s="28">
        <f t="shared" si="3"/>
        <v>2409.2083333333339</v>
      </c>
      <c r="R29" s="26"/>
      <c r="S29" s="26"/>
      <c r="T29" s="26"/>
      <c r="U29" s="26">
        <f t="shared" si="11"/>
        <v>480</v>
      </c>
      <c r="V29" s="28">
        <f t="shared" si="4"/>
        <v>480</v>
      </c>
      <c r="W29" s="26">
        <f>Q29+V29</f>
        <v>2889.2083333333339</v>
      </c>
      <c r="Y29" s="90">
        <v>1925</v>
      </c>
      <c r="AJ29" s="31"/>
      <c r="AK29" s="31"/>
      <c r="AL29" s="31"/>
    </row>
    <row r="30" spans="1:38" s="29" customFormat="1" ht="25.5" customHeight="1">
      <c r="A30" s="22">
        <v>26</v>
      </c>
      <c r="B30" s="23" t="s">
        <v>101</v>
      </c>
      <c r="C30" s="24" t="s">
        <v>131</v>
      </c>
      <c r="D30" s="25">
        <v>7023605591</v>
      </c>
      <c r="E30" s="25"/>
      <c r="F30" s="25">
        <v>2091100925</v>
      </c>
      <c r="G30" s="26">
        <v>1700</v>
      </c>
      <c r="H30" s="27">
        <v>18</v>
      </c>
      <c r="I30" s="26">
        <v>61</v>
      </c>
      <c r="J30" s="26">
        <f t="shared" si="0"/>
        <v>62.5</v>
      </c>
      <c r="K30" s="26">
        <f t="shared" si="1"/>
        <v>166.66666666666666</v>
      </c>
      <c r="L30" s="26">
        <f t="shared" si="6"/>
        <v>175</v>
      </c>
      <c r="M30" s="26">
        <f t="shared" si="7"/>
        <v>80.208333333333329</v>
      </c>
      <c r="N30" s="26">
        <f t="shared" si="2"/>
        <v>145.83333333333334</v>
      </c>
      <c r="O30" s="26"/>
      <c r="P30" s="26"/>
      <c r="Q30" s="28">
        <f>SUM(G30:P30)</f>
        <v>2409.2083333333339</v>
      </c>
      <c r="R30" s="26"/>
      <c r="S30" s="26"/>
      <c r="T30" s="26"/>
      <c r="U30" s="26">
        <f t="shared" si="11"/>
        <v>480</v>
      </c>
      <c r="V30" s="28">
        <f t="shared" si="4"/>
        <v>480</v>
      </c>
      <c r="W30" s="26">
        <f t="shared" si="5"/>
        <v>2889.2083333333339</v>
      </c>
      <c r="Y30" s="90">
        <v>1925</v>
      </c>
      <c r="AJ30" s="31"/>
      <c r="AK30" s="31"/>
      <c r="AL30" s="31"/>
    </row>
    <row r="31" spans="1:38" s="29" customFormat="1" ht="26.25">
      <c r="A31" s="22">
        <v>27</v>
      </c>
      <c r="B31" s="23" t="s">
        <v>102</v>
      </c>
      <c r="C31" s="24" t="s">
        <v>132</v>
      </c>
      <c r="D31" s="25">
        <v>7023605592</v>
      </c>
      <c r="E31" s="25"/>
      <c r="F31" s="25">
        <v>2091100926</v>
      </c>
      <c r="G31" s="26">
        <v>1700</v>
      </c>
      <c r="H31" s="27">
        <v>18</v>
      </c>
      <c r="I31" s="26">
        <v>61</v>
      </c>
      <c r="J31" s="26">
        <f t="shared" si="0"/>
        <v>62.5</v>
      </c>
      <c r="K31" s="26">
        <f t="shared" si="1"/>
        <v>166.66666666666666</v>
      </c>
      <c r="L31" s="26">
        <f t="shared" si="6"/>
        <v>175</v>
      </c>
      <c r="M31" s="26">
        <f t="shared" si="7"/>
        <v>80.208333333333329</v>
      </c>
      <c r="N31" s="26">
        <f t="shared" si="2"/>
        <v>145.83333333333334</v>
      </c>
      <c r="O31" s="26"/>
      <c r="P31" s="26"/>
      <c r="Q31" s="28">
        <f t="shared" si="3"/>
        <v>2409.2083333333339</v>
      </c>
      <c r="R31" s="26"/>
      <c r="S31" s="26"/>
      <c r="T31" s="26"/>
      <c r="U31" s="26">
        <f t="shared" si="11"/>
        <v>480</v>
      </c>
      <c r="V31" s="28">
        <f t="shared" si="4"/>
        <v>480</v>
      </c>
      <c r="W31" s="26">
        <f t="shared" si="5"/>
        <v>2889.2083333333339</v>
      </c>
      <c r="Y31" s="90">
        <v>1925</v>
      </c>
      <c r="AJ31" s="31"/>
      <c r="AK31" s="31"/>
      <c r="AL31" s="31"/>
    </row>
    <row r="32" spans="1:38" s="29" customFormat="1" ht="25.5" customHeight="1">
      <c r="A32" s="22">
        <v>28</v>
      </c>
      <c r="B32" s="23" t="s">
        <v>103</v>
      </c>
      <c r="C32" s="24" t="s">
        <v>133</v>
      </c>
      <c r="D32" s="25">
        <v>7023605593</v>
      </c>
      <c r="E32" s="25"/>
      <c r="F32" s="25">
        <v>2091100927</v>
      </c>
      <c r="G32" s="26">
        <v>1700</v>
      </c>
      <c r="H32" s="27">
        <v>18</v>
      </c>
      <c r="I32" s="26">
        <v>61</v>
      </c>
      <c r="J32" s="26">
        <f t="shared" si="0"/>
        <v>62.5</v>
      </c>
      <c r="K32" s="26">
        <f t="shared" si="1"/>
        <v>166.66666666666666</v>
      </c>
      <c r="L32" s="26">
        <f t="shared" si="6"/>
        <v>175</v>
      </c>
      <c r="M32" s="26">
        <f t="shared" si="7"/>
        <v>80.208333333333329</v>
      </c>
      <c r="N32" s="26">
        <f t="shared" si="2"/>
        <v>145.83333333333334</v>
      </c>
      <c r="O32" s="26"/>
      <c r="P32" s="26"/>
      <c r="Q32" s="28">
        <f t="shared" si="3"/>
        <v>2409.2083333333339</v>
      </c>
      <c r="R32" s="26"/>
      <c r="S32" s="26"/>
      <c r="T32" s="26"/>
      <c r="U32" s="26">
        <f t="shared" si="11"/>
        <v>480</v>
      </c>
      <c r="V32" s="28">
        <f t="shared" si="4"/>
        <v>480</v>
      </c>
      <c r="W32" s="26">
        <f t="shared" si="5"/>
        <v>2889.2083333333339</v>
      </c>
      <c r="Y32" s="90">
        <v>1925</v>
      </c>
      <c r="AJ32" s="31"/>
      <c r="AK32" s="31"/>
      <c r="AL32" s="31"/>
    </row>
    <row r="33" spans="1:38" s="29" customFormat="1" ht="25.5" customHeight="1">
      <c r="A33" s="22">
        <v>29</v>
      </c>
      <c r="B33" s="23" t="s">
        <v>104</v>
      </c>
      <c r="C33" s="24" t="s">
        <v>134</v>
      </c>
      <c r="D33" s="25">
        <v>7023605594</v>
      </c>
      <c r="E33" s="25"/>
      <c r="F33" s="25">
        <v>2091100928</v>
      </c>
      <c r="G33" s="26">
        <v>1700</v>
      </c>
      <c r="H33" s="27">
        <v>18</v>
      </c>
      <c r="I33" s="26">
        <v>61</v>
      </c>
      <c r="J33" s="26">
        <f t="shared" si="0"/>
        <v>62.5</v>
      </c>
      <c r="K33" s="26">
        <f t="shared" si="1"/>
        <v>166.66666666666666</v>
      </c>
      <c r="L33" s="26">
        <f t="shared" si="6"/>
        <v>175</v>
      </c>
      <c r="M33" s="26">
        <f t="shared" si="7"/>
        <v>80.208333333333329</v>
      </c>
      <c r="N33" s="26">
        <f t="shared" si="2"/>
        <v>145.83333333333334</v>
      </c>
      <c r="O33" s="26"/>
      <c r="P33" s="26"/>
      <c r="Q33" s="28">
        <f t="shared" si="3"/>
        <v>2409.2083333333339</v>
      </c>
      <c r="R33" s="26"/>
      <c r="S33" s="26"/>
      <c r="T33" s="26"/>
      <c r="U33" s="26">
        <f t="shared" si="11"/>
        <v>480</v>
      </c>
      <c r="V33" s="28">
        <f t="shared" si="4"/>
        <v>480</v>
      </c>
      <c r="W33" s="26">
        <f>Q33+V33</f>
        <v>2889.2083333333339</v>
      </c>
      <c r="Y33" s="90">
        <v>1925</v>
      </c>
      <c r="AJ33" s="31"/>
      <c r="AK33" s="31"/>
      <c r="AL33" s="31"/>
    </row>
    <row r="34" spans="1:38" s="29" customFormat="1" ht="25.5" customHeight="1">
      <c r="A34" s="22">
        <v>30</v>
      </c>
      <c r="B34" s="23" t="s">
        <v>105</v>
      </c>
      <c r="C34" s="24" t="s">
        <v>135</v>
      </c>
      <c r="D34" s="25">
        <v>7023605595</v>
      </c>
      <c r="E34" s="36"/>
      <c r="F34" s="25">
        <v>2091100929</v>
      </c>
      <c r="G34" s="37">
        <v>4000</v>
      </c>
      <c r="H34" s="37">
        <v>18</v>
      </c>
      <c r="I34" s="37">
        <v>61</v>
      </c>
      <c r="J34" s="26">
        <f t="shared" si="0"/>
        <v>62.5</v>
      </c>
      <c r="K34" s="26">
        <f t="shared" si="1"/>
        <v>166.66666666666666</v>
      </c>
      <c r="L34" s="26">
        <f t="shared" si="6"/>
        <v>506.36363636363637</v>
      </c>
      <c r="M34" s="26">
        <f t="shared" si="7"/>
        <v>232.08333333333334</v>
      </c>
      <c r="N34" s="26">
        <f t="shared" si="2"/>
        <v>145.83333333333334</v>
      </c>
      <c r="O34" s="26">
        <v>760</v>
      </c>
      <c r="P34" s="26">
        <v>585</v>
      </c>
      <c r="Q34" s="28">
        <f t="shared" si="3"/>
        <v>6537.4469696969691</v>
      </c>
      <c r="R34" s="37"/>
      <c r="S34" s="37"/>
      <c r="T34" s="37"/>
      <c r="U34" s="37"/>
      <c r="V34" s="28">
        <f t="shared" si="4"/>
        <v>0</v>
      </c>
      <c r="W34" s="26">
        <f t="shared" si="5"/>
        <v>6537.4469696969691</v>
      </c>
      <c r="Y34" s="90">
        <v>5570</v>
      </c>
      <c r="AJ34" s="31"/>
      <c r="AK34" s="31"/>
      <c r="AL34" s="31"/>
    </row>
    <row r="35" spans="1:38" s="41" customFormat="1" ht="42" customHeight="1" thickBot="1">
      <c r="A35" s="127" t="s">
        <v>29</v>
      </c>
      <c r="B35" s="128"/>
      <c r="C35" s="128"/>
      <c r="D35" s="128"/>
      <c r="E35" s="128"/>
      <c r="F35" s="129"/>
      <c r="G35" s="38">
        <f t="shared" ref="G35:S35" si="12">SUM(G5:G34)</f>
        <v>56800</v>
      </c>
      <c r="H35" s="38">
        <f t="shared" si="12"/>
        <v>546</v>
      </c>
      <c r="I35" s="38">
        <f t="shared" si="12"/>
        <v>1830</v>
      </c>
      <c r="J35" s="39">
        <f>SUM(J5:J34)</f>
        <v>1875</v>
      </c>
      <c r="K35" s="26">
        <f>SUM(K5:K34)</f>
        <v>5000</v>
      </c>
      <c r="L35" s="39">
        <f>SUM(L5:L34)</f>
        <v>6018.454545454545</v>
      </c>
      <c r="M35" s="39">
        <f>SUM(M5:M34)</f>
        <v>2758.4583333333335</v>
      </c>
      <c r="N35" s="39">
        <f>SUM(N5:N34)</f>
        <v>4375.0000000000009</v>
      </c>
      <c r="O35" s="39">
        <f t="shared" si="12"/>
        <v>760</v>
      </c>
      <c r="P35" s="39">
        <f t="shared" si="12"/>
        <v>1887</v>
      </c>
      <c r="Q35" s="40">
        <f t="shared" si="12"/>
        <v>81849.912878787887</v>
      </c>
      <c r="R35" s="38">
        <f t="shared" si="12"/>
        <v>0</v>
      </c>
      <c r="S35" s="38">
        <f t="shared" si="12"/>
        <v>15105</v>
      </c>
      <c r="T35" s="38">
        <f>SUM(T5:T28)</f>
        <v>2800</v>
      </c>
      <c r="U35" s="38">
        <f>SUM(U5:U34)</f>
        <v>6240</v>
      </c>
      <c r="V35" s="40">
        <f>SUM(V5:V34)</f>
        <v>24145</v>
      </c>
      <c r="W35" s="39">
        <f>SUM(W5:W34)</f>
        <v>105994.91287878784</v>
      </c>
      <c r="Y35" s="90"/>
      <c r="AJ35" s="31"/>
      <c r="AK35" s="31"/>
      <c r="AL35" s="31"/>
    </row>
    <row r="36" spans="1:38" ht="25.5" customHeight="1" thickTop="1">
      <c r="A36" s="14"/>
      <c r="B36" s="42"/>
      <c r="C36" s="15"/>
      <c r="D36" s="14"/>
      <c r="E36" s="14"/>
      <c r="F36" s="14"/>
      <c r="G36" s="43"/>
      <c r="H36" s="43"/>
      <c r="I36" s="43"/>
      <c r="Q36" s="14" t="s">
        <v>146</v>
      </c>
      <c r="W36" s="91">
        <f>W35/28/205</f>
        <v>18.466012696652935</v>
      </c>
      <c r="X36" s="14" t="s">
        <v>147</v>
      </c>
      <c r="AJ36" s="31"/>
      <c r="AK36" s="31"/>
      <c r="AL36" s="31"/>
    </row>
    <row r="37" spans="1:38" ht="25.5" customHeight="1">
      <c r="A37" s="14"/>
      <c r="B37" s="15"/>
      <c r="C37" s="15"/>
      <c r="D37" s="14"/>
      <c r="E37" s="14"/>
      <c r="F37" s="14"/>
      <c r="G37" s="92" t="s">
        <v>35</v>
      </c>
      <c r="H37" s="125"/>
      <c r="I37" s="125"/>
      <c r="J37" s="125"/>
      <c r="K37" s="125"/>
      <c r="L37" s="14"/>
      <c r="M37" s="14"/>
      <c r="N37" s="14"/>
      <c r="R37" s="92" t="s">
        <v>10</v>
      </c>
    </row>
    <row r="38" spans="1:38" ht="25.5" customHeight="1">
      <c r="A38" s="14"/>
      <c r="B38" s="15"/>
      <c r="C38" s="15"/>
      <c r="D38" s="14"/>
      <c r="E38" s="14"/>
      <c r="F38" s="14"/>
      <c r="G38" s="92" t="s">
        <v>78</v>
      </c>
      <c r="H38" s="125"/>
      <c r="I38" s="125"/>
      <c r="J38" s="125"/>
      <c r="K38" s="125"/>
      <c r="L38" s="14"/>
      <c r="M38" s="14"/>
      <c r="N38" s="14"/>
      <c r="R38" s="92" t="s">
        <v>36</v>
      </c>
    </row>
    <row r="39" spans="1:38" ht="25.5" customHeight="1">
      <c r="A39" s="14"/>
      <c r="B39" s="15"/>
      <c r="C39" s="15"/>
      <c r="D39" s="14"/>
      <c r="E39" s="14"/>
      <c r="F39" s="14"/>
      <c r="G39" s="43"/>
      <c r="H39" s="125"/>
      <c r="I39" s="125"/>
      <c r="J39" s="125"/>
      <c r="K39" s="125"/>
    </row>
    <row r="40" spans="1:38" ht="25.5" customHeight="1">
      <c r="A40" s="14"/>
      <c r="B40" s="15"/>
      <c r="C40" s="15"/>
      <c r="D40" s="14"/>
      <c r="E40" s="14"/>
      <c r="F40" s="14"/>
      <c r="G40" s="43"/>
      <c r="H40" s="43"/>
      <c r="I40" s="43"/>
    </row>
    <row r="41" spans="1:38" ht="25.5" customHeight="1">
      <c r="A41" s="14"/>
      <c r="B41" s="15"/>
      <c r="C41" s="15"/>
      <c r="D41" s="14"/>
      <c r="E41" s="14"/>
      <c r="F41" s="14"/>
      <c r="G41" s="43"/>
      <c r="H41" s="43"/>
      <c r="I41" s="43"/>
    </row>
    <row r="42" spans="1:38" ht="25.5" customHeight="1">
      <c r="A42" s="14"/>
      <c r="B42" s="15"/>
      <c r="C42" s="15"/>
      <c r="D42" s="14"/>
      <c r="E42" s="14"/>
      <c r="F42" s="14"/>
      <c r="G42" s="43"/>
      <c r="H42" s="43"/>
      <c r="I42" s="43"/>
    </row>
    <row r="43" spans="1:38" ht="25.5" customHeight="1">
      <c r="A43" s="14"/>
      <c r="B43" s="44"/>
      <c r="C43" s="15"/>
      <c r="D43" s="45"/>
      <c r="E43" s="46"/>
      <c r="F43" s="47"/>
      <c r="G43" s="43"/>
      <c r="H43" s="43"/>
      <c r="I43" s="43"/>
    </row>
    <row r="44" spans="1:38" ht="25.5" customHeight="1">
      <c r="A44" s="14"/>
      <c r="B44" s="15"/>
      <c r="C44" s="15"/>
      <c r="D44" s="14"/>
      <c r="E44" s="14"/>
      <c r="F44" s="14"/>
      <c r="G44" s="43"/>
      <c r="H44" s="43"/>
      <c r="I44" s="43"/>
    </row>
    <row r="45" spans="1:38" ht="25.5" customHeight="1">
      <c r="A45" s="14"/>
      <c r="B45" s="15"/>
      <c r="C45" s="15"/>
      <c r="D45" s="14"/>
      <c r="E45" s="14"/>
      <c r="F45" s="14"/>
      <c r="G45" s="43"/>
      <c r="H45" s="43"/>
      <c r="I45" s="43"/>
    </row>
    <row r="46" spans="1:38" ht="25.5" customHeight="1">
      <c r="A46" s="14"/>
      <c r="B46" s="15"/>
      <c r="C46" s="15"/>
      <c r="D46" s="14"/>
      <c r="E46" s="14"/>
      <c r="F46" s="14"/>
      <c r="G46" s="43"/>
      <c r="H46" s="43"/>
      <c r="I46" s="43"/>
    </row>
    <row r="47" spans="1:38" ht="25.5" customHeight="1">
      <c r="A47" s="14"/>
      <c r="B47" s="15"/>
      <c r="C47" s="15"/>
      <c r="D47" s="14"/>
      <c r="E47" s="14"/>
      <c r="F47" s="14"/>
      <c r="G47" s="43"/>
      <c r="H47" s="43"/>
      <c r="I47" s="43"/>
    </row>
    <row r="48" spans="1:38" ht="25.5" customHeight="1">
      <c r="A48" s="14"/>
      <c r="B48" s="15"/>
      <c r="C48" s="15"/>
      <c r="D48" s="14"/>
      <c r="E48" s="14"/>
      <c r="F48" s="14"/>
      <c r="G48" s="43"/>
      <c r="H48" s="43"/>
      <c r="I48" s="43"/>
    </row>
    <row r="49" spans="1:9" ht="25.5" customHeight="1">
      <c r="A49" s="14"/>
      <c r="B49" s="15"/>
      <c r="C49" s="15"/>
      <c r="D49" s="14"/>
      <c r="E49" s="14"/>
      <c r="F49" s="14"/>
      <c r="G49" s="43"/>
      <c r="H49" s="43"/>
      <c r="I49" s="43"/>
    </row>
    <row r="50" spans="1:9" ht="25.5" customHeight="1">
      <c r="A50" s="14"/>
      <c r="B50" s="15"/>
      <c r="C50" s="15"/>
      <c r="D50" s="14"/>
      <c r="E50" s="14"/>
      <c r="F50" s="14"/>
      <c r="G50" s="43"/>
      <c r="H50" s="43"/>
      <c r="I50" s="43"/>
    </row>
    <row r="51" spans="1:9" ht="25.5" customHeight="1">
      <c r="A51" s="14"/>
      <c r="B51" s="15"/>
      <c r="C51" s="15"/>
      <c r="D51" s="14"/>
      <c r="E51" s="14"/>
      <c r="F51" s="14"/>
      <c r="G51" s="43"/>
      <c r="H51" s="43"/>
      <c r="I51" s="43"/>
    </row>
    <row r="52" spans="1:9" ht="25.5" customHeight="1">
      <c r="A52" s="14"/>
      <c r="B52" s="15"/>
      <c r="C52" s="15"/>
      <c r="D52" s="14"/>
      <c r="E52" s="14"/>
      <c r="F52" s="14"/>
      <c r="G52" s="43"/>
      <c r="H52" s="43"/>
      <c r="I52" s="43"/>
    </row>
    <row r="53" spans="1:9" ht="25.5" customHeight="1">
      <c r="A53" s="14"/>
      <c r="B53" s="15"/>
      <c r="C53" s="15"/>
      <c r="D53" s="14"/>
      <c r="E53" s="14"/>
      <c r="F53" s="14"/>
      <c r="G53" s="43"/>
      <c r="H53" s="43"/>
      <c r="I53" s="43"/>
    </row>
    <row r="54" spans="1:9" ht="25.5" customHeight="1">
      <c r="A54" s="14"/>
      <c r="B54" s="15"/>
      <c r="C54" s="15"/>
      <c r="D54" s="14"/>
      <c r="E54" s="14"/>
      <c r="F54" s="14"/>
      <c r="G54" s="43"/>
      <c r="H54" s="43"/>
      <c r="I54" s="43"/>
    </row>
    <row r="55" spans="1:9" ht="25.5" customHeight="1">
      <c r="A55" s="14"/>
      <c r="B55" s="15"/>
      <c r="C55" s="15"/>
      <c r="D55" s="14"/>
      <c r="E55" s="14"/>
      <c r="F55" s="14"/>
      <c r="G55" s="43"/>
      <c r="H55" s="43"/>
      <c r="I55" s="43"/>
    </row>
    <row r="56" spans="1:9" ht="25.5" customHeight="1">
      <c r="A56" s="14"/>
      <c r="B56" s="15"/>
      <c r="C56" s="15"/>
      <c r="D56" s="14"/>
      <c r="E56" s="14"/>
      <c r="F56" s="14"/>
      <c r="G56" s="43"/>
      <c r="H56" s="43"/>
      <c r="I56" s="43"/>
    </row>
    <row r="57" spans="1:9" ht="25.5" customHeight="1">
      <c r="A57" s="14"/>
      <c r="B57" s="15"/>
      <c r="C57" s="15"/>
      <c r="D57" s="14"/>
      <c r="E57" s="14"/>
      <c r="F57" s="14"/>
      <c r="G57" s="43"/>
      <c r="H57" s="43"/>
      <c r="I57" s="43"/>
    </row>
    <row r="58" spans="1:9" ht="25.5" customHeight="1">
      <c r="A58" s="14"/>
      <c r="B58" s="15"/>
      <c r="C58" s="15"/>
      <c r="D58" s="14"/>
      <c r="E58" s="14"/>
      <c r="F58" s="14"/>
      <c r="G58" s="43"/>
      <c r="H58" s="43"/>
      <c r="I58" s="43"/>
    </row>
    <row r="59" spans="1:9" ht="25.5" customHeight="1">
      <c r="A59" s="14"/>
      <c r="B59" s="15"/>
      <c r="C59" s="15"/>
      <c r="D59" s="14"/>
      <c r="E59" s="14"/>
      <c r="F59" s="14"/>
      <c r="G59" s="43"/>
      <c r="H59" s="43"/>
      <c r="I59" s="43"/>
    </row>
    <row r="60" spans="1:9" ht="25.5" customHeight="1">
      <c r="A60" s="14"/>
      <c r="B60" s="15"/>
      <c r="C60" s="15"/>
      <c r="D60" s="14"/>
      <c r="E60" s="14"/>
      <c r="F60" s="14"/>
      <c r="G60" s="43"/>
      <c r="H60" s="43"/>
      <c r="I60" s="43"/>
    </row>
    <row r="61" spans="1:9" ht="25.5" customHeight="1">
      <c r="A61" s="14"/>
      <c r="B61" s="15"/>
      <c r="C61" s="15"/>
      <c r="D61" s="14"/>
      <c r="E61" s="14"/>
      <c r="F61" s="14"/>
      <c r="G61" s="43"/>
      <c r="H61" s="43"/>
      <c r="I61" s="43"/>
    </row>
    <row r="62" spans="1:9" ht="25.5" customHeight="1">
      <c r="A62" s="14"/>
      <c r="B62" s="15"/>
      <c r="C62" s="15"/>
      <c r="D62" s="14"/>
      <c r="E62" s="14"/>
      <c r="F62" s="14"/>
      <c r="G62" s="43"/>
      <c r="H62" s="43"/>
      <c r="I62" s="43"/>
    </row>
    <row r="63" spans="1:9" ht="25.5" customHeight="1">
      <c r="A63" s="14"/>
      <c r="B63" s="15"/>
      <c r="C63" s="15"/>
      <c r="D63" s="14"/>
      <c r="E63" s="14"/>
      <c r="F63" s="14"/>
      <c r="G63" s="43"/>
      <c r="H63" s="43"/>
      <c r="I63" s="43"/>
    </row>
    <row r="64" spans="1:9" ht="25.5" customHeight="1">
      <c r="A64" s="14"/>
      <c r="B64" s="15"/>
      <c r="C64" s="15"/>
      <c r="D64" s="14"/>
      <c r="E64" s="14"/>
      <c r="F64" s="14"/>
      <c r="G64" s="43"/>
      <c r="H64" s="43"/>
      <c r="I64" s="43"/>
    </row>
    <row r="65" spans="1:9" ht="25.5" customHeight="1">
      <c r="A65" s="14"/>
      <c r="B65" s="15"/>
      <c r="C65" s="15"/>
      <c r="D65" s="14"/>
      <c r="E65" s="14"/>
      <c r="F65" s="14"/>
      <c r="G65" s="43"/>
      <c r="H65" s="43"/>
      <c r="I65" s="43"/>
    </row>
    <row r="66" spans="1:9" ht="25.5" customHeight="1">
      <c r="A66" s="14"/>
      <c r="B66" s="15"/>
      <c r="C66" s="15"/>
      <c r="D66" s="14"/>
      <c r="E66" s="14"/>
      <c r="F66" s="14"/>
      <c r="G66" s="43"/>
      <c r="H66" s="43"/>
      <c r="I66" s="43"/>
    </row>
    <row r="67" spans="1:9" ht="25.5" customHeight="1">
      <c r="A67" s="14"/>
      <c r="B67" s="15"/>
      <c r="C67" s="15"/>
      <c r="D67" s="14"/>
      <c r="E67" s="14"/>
      <c r="F67" s="14"/>
      <c r="G67" s="43"/>
      <c r="H67" s="43"/>
      <c r="I67" s="43"/>
    </row>
    <row r="68" spans="1:9" ht="25.5" customHeight="1">
      <c r="A68" s="14"/>
      <c r="B68" s="15"/>
      <c r="C68" s="15"/>
      <c r="D68" s="14"/>
      <c r="E68" s="14"/>
      <c r="F68" s="14"/>
      <c r="G68" s="43"/>
      <c r="H68" s="43"/>
      <c r="I68" s="43"/>
    </row>
    <row r="69" spans="1:9" ht="25.5" customHeight="1">
      <c r="A69" s="14"/>
      <c r="B69" s="15"/>
      <c r="C69" s="15"/>
      <c r="D69" s="14"/>
      <c r="E69" s="14"/>
      <c r="F69" s="14"/>
      <c r="G69" s="43"/>
      <c r="H69" s="43"/>
      <c r="I69" s="43"/>
    </row>
    <row r="70" spans="1:9" ht="25.5" customHeight="1">
      <c r="A70" s="14"/>
      <c r="B70" s="15"/>
      <c r="C70" s="15"/>
      <c r="D70" s="14"/>
      <c r="E70" s="14"/>
      <c r="F70" s="14"/>
      <c r="G70" s="43"/>
      <c r="H70" s="43"/>
      <c r="I70" s="43"/>
    </row>
    <row r="71" spans="1:9" ht="25.5" customHeight="1">
      <c r="A71" s="14"/>
      <c r="B71" s="15"/>
      <c r="C71" s="15"/>
      <c r="D71" s="14"/>
      <c r="E71" s="14"/>
      <c r="F71" s="14"/>
      <c r="G71" s="43"/>
      <c r="H71" s="43"/>
      <c r="I71" s="43"/>
    </row>
    <row r="72" spans="1:9" ht="25.5" customHeight="1">
      <c r="A72" s="14"/>
      <c r="B72" s="15"/>
      <c r="C72" s="15"/>
      <c r="D72" s="14"/>
      <c r="E72" s="14"/>
      <c r="F72" s="14"/>
      <c r="G72" s="43"/>
      <c r="H72" s="43"/>
      <c r="I72" s="43"/>
    </row>
    <row r="73" spans="1:9" ht="25.5" customHeight="1">
      <c r="A73" s="14"/>
      <c r="B73" s="15"/>
      <c r="C73" s="15"/>
      <c r="D73" s="14"/>
      <c r="E73" s="14"/>
      <c r="F73" s="14"/>
      <c r="G73" s="43"/>
      <c r="H73" s="43"/>
      <c r="I73" s="43"/>
    </row>
    <row r="74" spans="1:9" ht="25.5" customHeight="1">
      <c r="A74" s="14"/>
      <c r="B74" s="15"/>
      <c r="C74" s="15"/>
      <c r="D74" s="14"/>
      <c r="E74" s="14"/>
      <c r="F74" s="14"/>
      <c r="G74" s="43"/>
      <c r="H74" s="43"/>
      <c r="I74" s="43"/>
    </row>
    <row r="75" spans="1:9" ht="25.5" customHeight="1">
      <c r="A75" s="14"/>
      <c r="B75" s="15"/>
      <c r="C75" s="15"/>
      <c r="D75" s="14"/>
      <c r="E75" s="14"/>
      <c r="F75" s="14"/>
      <c r="G75" s="43"/>
      <c r="H75" s="43"/>
      <c r="I75" s="43"/>
    </row>
    <row r="76" spans="1:9" ht="25.5" customHeight="1">
      <c r="A76" s="14"/>
      <c r="B76" s="15"/>
      <c r="C76" s="15"/>
      <c r="D76" s="14"/>
      <c r="E76" s="14"/>
      <c r="F76" s="14"/>
      <c r="G76" s="43"/>
      <c r="H76" s="43"/>
      <c r="I76" s="43"/>
    </row>
    <row r="77" spans="1:9" ht="25.5" customHeight="1">
      <c r="A77" s="14"/>
      <c r="B77" s="15"/>
      <c r="C77" s="15"/>
      <c r="D77" s="14"/>
      <c r="E77" s="14"/>
      <c r="F77" s="14"/>
      <c r="G77" s="43"/>
      <c r="H77" s="43"/>
      <c r="I77" s="43"/>
    </row>
    <row r="78" spans="1:9" ht="25.5" customHeight="1">
      <c r="A78" s="14"/>
      <c r="B78" s="15"/>
      <c r="C78" s="15"/>
      <c r="D78" s="14"/>
      <c r="E78" s="14"/>
      <c r="F78" s="14"/>
      <c r="G78" s="43"/>
      <c r="H78" s="43"/>
      <c r="I78" s="43"/>
    </row>
    <row r="79" spans="1:9" ht="25.5" customHeight="1">
      <c r="A79" s="14"/>
      <c r="B79" s="15"/>
      <c r="C79" s="15"/>
      <c r="D79" s="14"/>
      <c r="E79" s="14"/>
      <c r="F79" s="14"/>
      <c r="G79" s="43"/>
      <c r="H79" s="43"/>
      <c r="I79" s="43"/>
    </row>
    <row r="80" spans="1:9" ht="25.5" customHeight="1">
      <c r="A80" s="14"/>
      <c r="B80" s="15"/>
      <c r="C80" s="15"/>
      <c r="D80" s="14"/>
      <c r="E80" s="14"/>
      <c r="F80" s="14"/>
      <c r="G80" s="43"/>
      <c r="H80" s="43"/>
      <c r="I80" s="43"/>
    </row>
    <row r="81" spans="1:9" ht="25.5" customHeight="1">
      <c r="A81" s="14"/>
      <c r="B81" s="15"/>
      <c r="C81" s="15"/>
      <c r="D81" s="14"/>
      <c r="E81" s="14"/>
      <c r="F81" s="14"/>
      <c r="G81" s="43"/>
      <c r="H81" s="43"/>
      <c r="I81" s="43"/>
    </row>
    <row r="82" spans="1:9" ht="25.5" customHeight="1">
      <c r="A82" s="14"/>
      <c r="B82" s="15"/>
      <c r="C82" s="15"/>
      <c r="D82" s="14"/>
      <c r="E82" s="14"/>
      <c r="F82" s="14"/>
      <c r="G82" s="43"/>
      <c r="H82" s="43"/>
      <c r="I82" s="43"/>
    </row>
    <row r="83" spans="1:9" ht="25.5" customHeight="1">
      <c r="A83" s="14"/>
      <c r="B83" s="15"/>
      <c r="C83" s="15"/>
      <c r="D83" s="14"/>
      <c r="E83" s="14"/>
      <c r="F83" s="14"/>
      <c r="G83" s="43"/>
      <c r="H83" s="43"/>
      <c r="I83" s="43"/>
    </row>
    <row r="84" spans="1:9" ht="25.5" customHeight="1">
      <c r="A84" s="14"/>
      <c r="B84" s="15"/>
      <c r="C84" s="15"/>
      <c r="D84" s="14"/>
      <c r="E84" s="14"/>
      <c r="F84" s="14"/>
      <c r="G84" s="43"/>
      <c r="H84" s="43"/>
      <c r="I84" s="43"/>
    </row>
    <row r="85" spans="1:9" ht="25.5" customHeight="1">
      <c r="A85" s="14"/>
      <c r="B85" s="15"/>
      <c r="C85" s="15"/>
      <c r="D85" s="14"/>
      <c r="E85" s="14"/>
      <c r="F85" s="14"/>
      <c r="G85" s="43"/>
      <c r="H85" s="43"/>
      <c r="I85" s="43"/>
    </row>
    <row r="86" spans="1:9" ht="25.5" customHeight="1">
      <c r="A86" s="14"/>
      <c r="B86" s="15"/>
      <c r="C86" s="15"/>
      <c r="D86" s="14"/>
      <c r="E86" s="14"/>
      <c r="F86" s="14"/>
      <c r="G86" s="43"/>
      <c r="H86" s="43"/>
      <c r="I86" s="43"/>
    </row>
    <row r="87" spans="1:9" ht="25.5" customHeight="1">
      <c r="A87" s="14"/>
      <c r="B87" s="15"/>
      <c r="C87" s="15"/>
      <c r="D87" s="14"/>
      <c r="E87" s="14"/>
      <c r="F87" s="14"/>
      <c r="G87" s="43"/>
      <c r="H87" s="43"/>
      <c r="I87" s="43"/>
    </row>
    <row r="88" spans="1:9" ht="25.5" customHeight="1">
      <c r="A88" s="14"/>
      <c r="B88" s="15"/>
      <c r="C88" s="15"/>
      <c r="D88" s="14"/>
      <c r="E88" s="14"/>
      <c r="F88" s="14"/>
      <c r="G88" s="43"/>
      <c r="H88" s="43"/>
      <c r="I88" s="43"/>
    </row>
    <row r="89" spans="1:9" ht="25.5" customHeight="1">
      <c r="A89" s="14"/>
      <c r="B89" s="15"/>
      <c r="C89" s="15"/>
      <c r="D89" s="14"/>
      <c r="E89" s="14"/>
      <c r="F89" s="14"/>
      <c r="G89" s="43"/>
      <c r="H89" s="43"/>
      <c r="I89" s="43"/>
    </row>
    <row r="90" spans="1:9" ht="25.5" customHeight="1">
      <c r="A90" s="14"/>
      <c r="B90" s="15"/>
      <c r="C90" s="15"/>
      <c r="D90" s="14"/>
      <c r="E90" s="14"/>
      <c r="F90" s="14"/>
      <c r="G90" s="43"/>
      <c r="H90" s="43"/>
      <c r="I90" s="43"/>
    </row>
    <row r="91" spans="1:9" ht="25.5" customHeight="1">
      <c r="A91" s="14"/>
      <c r="B91" s="15"/>
      <c r="C91" s="15"/>
      <c r="D91" s="14"/>
      <c r="E91" s="14"/>
      <c r="F91" s="14"/>
      <c r="G91" s="43"/>
      <c r="H91" s="43"/>
      <c r="I91" s="43"/>
    </row>
    <row r="92" spans="1:9" ht="25.5" customHeight="1">
      <c r="A92" s="14"/>
      <c r="B92" s="15"/>
      <c r="C92" s="15"/>
      <c r="D92" s="14"/>
      <c r="E92" s="14"/>
      <c r="F92" s="14"/>
      <c r="G92" s="43"/>
      <c r="H92" s="43"/>
      <c r="I92" s="43"/>
    </row>
    <row r="93" spans="1:9" ht="25.5" customHeight="1">
      <c r="A93" s="14"/>
      <c r="B93" s="15"/>
      <c r="C93" s="15"/>
      <c r="D93" s="14"/>
      <c r="E93" s="14"/>
      <c r="F93" s="14"/>
      <c r="G93" s="43"/>
      <c r="H93" s="43"/>
      <c r="I93" s="43"/>
    </row>
    <row r="94" spans="1:9" ht="25.5" customHeight="1">
      <c r="A94" s="14"/>
      <c r="B94" s="15"/>
      <c r="C94" s="15"/>
      <c r="D94" s="14"/>
      <c r="E94" s="14"/>
      <c r="F94" s="14"/>
      <c r="G94" s="43"/>
      <c r="H94" s="43"/>
      <c r="I94" s="43"/>
    </row>
    <row r="95" spans="1:9" ht="25.5" customHeight="1">
      <c r="A95" s="14"/>
      <c r="B95" s="15"/>
      <c r="C95" s="15"/>
      <c r="D95" s="14"/>
      <c r="E95" s="14"/>
      <c r="F95" s="14"/>
      <c r="G95" s="43"/>
      <c r="H95" s="43"/>
      <c r="I95" s="43"/>
    </row>
    <row r="96" spans="1:9" ht="25.5" customHeight="1">
      <c r="A96" s="14"/>
      <c r="B96" s="15"/>
      <c r="C96" s="15"/>
      <c r="D96" s="14"/>
      <c r="E96" s="14"/>
      <c r="F96" s="14"/>
      <c r="G96" s="43"/>
      <c r="H96" s="43"/>
      <c r="I96" s="43"/>
    </row>
    <row r="97" spans="1:9" ht="25.5" customHeight="1">
      <c r="A97" s="14"/>
      <c r="B97" s="15"/>
      <c r="C97" s="15"/>
      <c r="D97" s="14"/>
      <c r="E97" s="14"/>
      <c r="F97" s="14"/>
      <c r="G97" s="43"/>
      <c r="H97" s="43"/>
      <c r="I97" s="43"/>
    </row>
    <row r="98" spans="1:9" ht="25.5" customHeight="1">
      <c r="A98" s="14"/>
      <c r="B98" s="15"/>
      <c r="C98" s="15"/>
      <c r="D98" s="14"/>
      <c r="E98" s="14"/>
      <c r="F98" s="14"/>
      <c r="G98" s="43"/>
      <c r="H98" s="43"/>
      <c r="I98" s="43"/>
    </row>
    <row r="99" spans="1:9" ht="25.5" customHeight="1">
      <c r="A99" s="14"/>
      <c r="B99" s="15"/>
      <c r="C99" s="15"/>
      <c r="D99" s="14"/>
      <c r="E99" s="14"/>
      <c r="F99" s="14"/>
      <c r="G99" s="43"/>
      <c r="H99" s="43"/>
      <c r="I99" s="43"/>
    </row>
    <row r="100" spans="1:9" ht="25.5" customHeight="1">
      <c r="A100" s="14"/>
      <c r="B100" s="15"/>
      <c r="C100" s="15"/>
      <c r="D100" s="14"/>
      <c r="E100" s="14"/>
      <c r="F100" s="14"/>
      <c r="G100" s="43"/>
      <c r="H100" s="43"/>
      <c r="I100" s="43"/>
    </row>
    <row r="101" spans="1:9" ht="25.5" customHeight="1">
      <c r="A101" s="14"/>
      <c r="B101" s="15"/>
      <c r="C101" s="15"/>
      <c r="D101" s="14"/>
      <c r="E101" s="14"/>
      <c r="F101" s="14"/>
      <c r="G101" s="43"/>
      <c r="H101" s="43"/>
      <c r="I101" s="43"/>
    </row>
    <row r="102" spans="1:9" ht="25.5" customHeight="1">
      <c r="A102" s="14"/>
      <c r="B102" s="15"/>
      <c r="C102" s="15"/>
      <c r="D102" s="14"/>
      <c r="E102" s="14"/>
      <c r="F102" s="14"/>
      <c r="G102" s="43"/>
      <c r="H102" s="43"/>
      <c r="I102" s="43"/>
    </row>
    <row r="103" spans="1:9" ht="25.5" customHeight="1">
      <c r="A103" s="14"/>
      <c r="B103" s="15"/>
      <c r="C103" s="15"/>
      <c r="D103" s="14"/>
      <c r="E103" s="14"/>
      <c r="F103" s="14"/>
      <c r="G103" s="43"/>
      <c r="H103" s="43"/>
      <c r="I103" s="43"/>
    </row>
    <row r="104" spans="1:9" ht="25.5" customHeight="1">
      <c r="A104" s="14"/>
      <c r="B104" s="15"/>
      <c r="C104" s="15"/>
      <c r="D104" s="14"/>
      <c r="E104" s="14"/>
      <c r="F104" s="14"/>
      <c r="G104" s="43"/>
      <c r="H104" s="43"/>
      <c r="I104" s="43"/>
    </row>
    <row r="105" spans="1:9" ht="25.5" customHeight="1">
      <c r="A105" s="14"/>
      <c r="B105" s="15"/>
      <c r="C105" s="15"/>
      <c r="D105" s="14"/>
      <c r="E105" s="14"/>
      <c r="F105" s="14"/>
      <c r="G105" s="43"/>
      <c r="H105" s="43"/>
      <c r="I105" s="43"/>
    </row>
    <row r="106" spans="1:9" ht="25.5" customHeight="1">
      <c r="A106" s="14"/>
      <c r="B106" s="15"/>
      <c r="C106" s="15"/>
      <c r="D106" s="14"/>
      <c r="E106" s="14"/>
      <c r="F106" s="14"/>
      <c r="G106" s="43"/>
      <c r="H106" s="43"/>
      <c r="I106" s="43"/>
    </row>
    <row r="107" spans="1:9" ht="25.5" customHeight="1">
      <c r="A107" s="14"/>
      <c r="B107" s="15"/>
      <c r="C107" s="15"/>
      <c r="D107" s="14"/>
      <c r="E107" s="14"/>
      <c r="F107" s="14"/>
      <c r="G107" s="43"/>
      <c r="H107" s="43"/>
      <c r="I107" s="43"/>
    </row>
    <row r="108" spans="1:9" ht="25.5" customHeight="1">
      <c r="A108" s="14"/>
      <c r="B108" s="15"/>
      <c r="C108" s="15"/>
      <c r="D108" s="14"/>
      <c r="E108" s="14"/>
      <c r="F108" s="14"/>
      <c r="G108" s="43"/>
      <c r="H108" s="43"/>
      <c r="I108" s="43"/>
    </row>
    <row r="109" spans="1:9" ht="25.5" customHeight="1">
      <c r="A109" s="14"/>
      <c r="B109" s="15"/>
      <c r="C109" s="15"/>
      <c r="D109" s="14"/>
      <c r="E109" s="14"/>
      <c r="F109" s="14"/>
      <c r="G109" s="43"/>
      <c r="H109" s="43"/>
      <c r="I109" s="43"/>
    </row>
    <row r="110" spans="1:9" ht="25.5" customHeight="1">
      <c r="A110" s="14"/>
      <c r="B110" s="15"/>
      <c r="C110" s="15"/>
      <c r="D110" s="14"/>
      <c r="E110" s="14"/>
      <c r="F110" s="14"/>
      <c r="G110" s="43"/>
      <c r="H110" s="43"/>
      <c r="I110" s="43"/>
    </row>
    <row r="111" spans="1:9" ht="25.5" customHeight="1">
      <c r="A111" s="14"/>
      <c r="B111" s="15"/>
      <c r="C111" s="15"/>
      <c r="D111" s="14"/>
      <c r="E111" s="14"/>
      <c r="F111" s="14"/>
      <c r="G111" s="43"/>
      <c r="H111" s="43"/>
      <c r="I111" s="43"/>
    </row>
    <row r="112" spans="1:9" ht="25.5" customHeight="1">
      <c r="A112" s="14"/>
      <c r="B112" s="15"/>
      <c r="C112" s="15"/>
      <c r="D112" s="14"/>
      <c r="E112" s="14"/>
      <c r="F112" s="14"/>
      <c r="G112" s="43"/>
      <c r="H112" s="43"/>
      <c r="I112" s="43"/>
    </row>
    <row r="113" spans="1:9" ht="25.5" customHeight="1">
      <c r="A113" s="14"/>
      <c r="B113" s="15"/>
      <c r="C113" s="15"/>
      <c r="D113" s="14"/>
      <c r="E113" s="14"/>
      <c r="F113" s="14"/>
      <c r="G113" s="43"/>
      <c r="H113" s="43"/>
      <c r="I113" s="43"/>
    </row>
    <row r="114" spans="1:9" ht="25.5" customHeight="1">
      <c r="A114" s="14"/>
      <c r="B114" s="15"/>
      <c r="C114" s="15"/>
      <c r="D114" s="14"/>
      <c r="E114" s="14"/>
      <c r="F114" s="14"/>
      <c r="G114" s="43"/>
      <c r="H114" s="43"/>
      <c r="I114" s="43"/>
    </row>
    <row r="115" spans="1:9" ht="25.5" customHeight="1">
      <c r="A115" s="14"/>
      <c r="B115" s="15"/>
      <c r="C115" s="15"/>
      <c r="D115" s="14"/>
      <c r="E115" s="14"/>
      <c r="F115" s="14"/>
      <c r="G115" s="43"/>
      <c r="H115" s="43"/>
      <c r="I115" s="43"/>
    </row>
    <row r="116" spans="1:9" ht="25.5" customHeight="1">
      <c r="A116" s="14"/>
      <c r="B116" s="15"/>
      <c r="C116" s="15"/>
      <c r="D116" s="14"/>
      <c r="E116" s="14"/>
      <c r="F116" s="14"/>
      <c r="G116" s="43"/>
      <c r="H116" s="43"/>
      <c r="I116" s="43"/>
    </row>
    <row r="117" spans="1:9" ht="25.5" customHeight="1">
      <c r="A117" s="14"/>
      <c r="B117" s="15"/>
      <c r="C117" s="15"/>
      <c r="D117" s="14"/>
      <c r="E117" s="14"/>
      <c r="F117" s="14"/>
      <c r="G117" s="43"/>
      <c r="H117" s="43"/>
      <c r="I117" s="43"/>
    </row>
    <row r="118" spans="1:9" ht="25.5" customHeight="1">
      <c r="A118" s="14"/>
      <c r="B118" s="15"/>
      <c r="C118" s="15"/>
      <c r="D118" s="14"/>
      <c r="E118" s="14"/>
      <c r="F118" s="14"/>
      <c r="G118" s="43"/>
      <c r="H118" s="43"/>
      <c r="I118" s="43"/>
    </row>
    <row r="119" spans="1:9" ht="25.5" customHeight="1">
      <c r="A119" s="14"/>
      <c r="B119" s="15"/>
      <c r="C119" s="15"/>
      <c r="D119" s="14"/>
      <c r="E119" s="14"/>
      <c r="F119" s="14"/>
      <c r="G119" s="43"/>
      <c r="H119" s="43"/>
      <c r="I119" s="43"/>
    </row>
    <row r="120" spans="1:9" ht="25.5" customHeight="1">
      <c r="A120" s="14"/>
      <c r="B120" s="15"/>
      <c r="C120" s="15"/>
      <c r="D120" s="14"/>
      <c r="E120" s="14"/>
      <c r="F120" s="14"/>
      <c r="G120" s="43"/>
      <c r="H120" s="43"/>
      <c r="I120" s="43"/>
    </row>
    <row r="121" spans="1:9" ht="25.5" customHeight="1">
      <c r="A121" s="14"/>
      <c r="B121" s="15"/>
      <c r="C121" s="15"/>
      <c r="D121" s="14"/>
      <c r="E121" s="14"/>
      <c r="F121" s="14"/>
      <c r="G121" s="43"/>
      <c r="H121" s="43"/>
      <c r="I121" s="43"/>
    </row>
    <row r="122" spans="1:9" ht="25.5" customHeight="1">
      <c r="A122" s="14"/>
      <c r="B122" s="15"/>
      <c r="C122" s="15"/>
      <c r="D122" s="14"/>
      <c r="E122" s="14"/>
      <c r="F122" s="14"/>
      <c r="G122" s="43"/>
      <c r="H122" s="43"/>
      <c r="I122" s="43"/>
    </row>
    <row r="123" spans="1:9" ht="25.5" customHeight="1">
      <c r="A123" s="14"/>
      <c r="B123" s="15"/>
      <c r="C123" s="15"/>
      <c r="D123" s="14"/>
      <c r="E123" s="14"/>
      <c r="F123" s="14"/>
      <c r="G123" s="43"/>
      <c r="H123" s="43"/>
      <c r="I123" s="43"/>
    </row>
    <row r="124" spans="1:9" ht="25.5" customHeight="1">
      <c r="A124" s="14"/>
      <c r="B124" s="15"/>
      <c r="C124" s="15"/>
      <c r="D124" s="14"/>
      <c r="E124" s="14"/>
      <c r="F124" s="14"/>
      <c r="G124" s="43"/>
      <c r="H124" s="43"/>
      <c r="I124" s="43"/>
    </row>
    <row r="125" spans="1:9" ht="25.5" customHeight="1">
      <c r="A125" s="14"/>
      <c r="B125" s="15"/>
      <c r="C125" s="15"/>
      <c r="D125" s="14"/>
      <c r="E125" s="14"/>
      <c r="F125" s="14"/>
      <c r="G125" s="43"/>
      <c r="H125" s="43"/>
      <c r="I125" s="43"/>
    </row>
    <row r="126" spans="1:9" ht="25.5" customHeight="1">
      <c r="A126" s="14"/>
      <c r="B126" s="15"/>
      <c r="C126" s="15"/>
      <c r="D126" s="14"/>
      <c r="E126" s="14"/>
      <c r="F126" s="14"/>
      <c r="G126" s="43"/>
      <c r="H126" s="43"/>
      <c r="I126" s="43"/>
    </row>
    <row r="127" spans="1:9" ht="25.5" customHeight="1">
      <c r="A127" s="14"/>
      <c r="B127" s="15"/>
      <c r="C127" s="15"/>
      <c r="D127" s="14"/>
      <c r="E127" s="14"/>
      <c r="F127" s="14"/>
      <c r="G127" s="43"/>
      <c r="H127" s="43"/>
      <c r="I127" s="43"/>
    </row>
    <row r="128" spans="1:9" ht="25.5" customHeight="1">
      <c r="A128" s="14"/>
      <c r="B128" s="15"/>
      <c r="C128" s="15"/>
      <c r="D128" s="14"/>
      <c r="E128" s="14"/>
      <c r="F128" s="14"/>
      <c r="G128" s="43"/>
      <c r="H128" s="43"/>
      <c r="I128" s="43"/>
    </row>
    <row r="129" spans="1:9" ht="25.5" customHeight="1">
      <c r="A129" s="14"/>
      <c r="B129" s="15"/>
      <c r="C129" s="15"/>
      <c r="D129" s="14"/>
      <c r="E129" s="14"/>
      <c r="F129" s="14"/>
      <c r="G129" s="43"/>
      <c r="H129" s="43"/>
      <c r="I129" s="43"/>
    </row>
    <row r="130" spans="1:9" ht="25.5" customHeight="1">
      <c r="A130" s="14"/>
      <c r="B130" s="15"/>
      <c r="C130" s="15"/>
      <c r="D130" s="14"/>
      <c r="E130" s="14"/>
      <c r="F130" s="14"/>
      <c r="G130" s="43"/>
      <c r="H130" s="43"/>
      <c r="I130" s="43"/>
    </row>
    <row r="131" spans="1:9" ht="25.5" customHeight="1">
      <c r="A131" s="14"/>
      <c r="B131" s="15"/>
      <c r="C131" s="15"/>
      <c r="D131" s="14"/>
      <c r="E131" s="14"/>
      <c r="F131" s="14"/>
      <c r="G131" s="43"/>
      <c r="H131" s="43"/>
      <c r="I131" s="43"/>
    </row>
    <row r="132" spans="1:9" ht="25.5" customHeight="1">
      <c r="A132" s="14"/>
      <c r="B132" s="15"/>
      <c r="C132" s="15"/>
      <c r="D132" s="14"/>
      <c r="E132" s="14"/>
      <c r="F132" s="14"/>
      <c r="G132" s="43"/>
      <c r="H132" s="43"/>
      <c r="I132" s="43"/>
    </row>
    <row r="133" spans="1:9" ht="25.5" customHeight="1">
      <c r="A133" s="14"/>
      <c r="B133" s="15"/>
      <c r="C133" s="15"/>
      <c r="D133" s="14"/>
      <c r="E133" s="14"/>
      <c r="F133" s="14"/>
      <c r="G133" s="43"/>
      <c r="H133" s="43"/>
      <c r="I133" s="43"/>
    </row>
    <row r="134" spans="1:9" ht="25.5" customHeight="1">
      <c r="A134" s="14"/>
      <c r="B134" s="15"/>
      <c r="C134" s="15"/>
      <c r="D134" s="14"/>
      <c r="E134" s="14"/>
      <c r="F134" s="14"/>
      <c r="G134" s="43"/>
      <c r="H134" s="43"/>
      <c r="I134" s="43"/>
    </row>
    <row r="135" spans="1:9" ht="25.5" customHeight="1">
      <c r="A135" s="14"/>
      <c r="B135" s="15"/>
      <c r="C135" s="15"/>
      <c r="D135" s="14"/>
      <c r="E135" s="14"/>
      <c r="F135" s="14"/>
      <c r="G135" s="43"/>
      <c r="H135" s="43"/>
      <c r="I135" s="43"/>
    </row>
    <row r="136" spans="1:9" ht="25.5" customHeight="1">
      <c r="A136" s="14"/>
      <c r="B136" s="15"/>
      <c r="C136" s="15"/>
      <c r="D136" s="14"/>
      <c r="E136" s="14"/>
      <c r="F136" s="14"/>
      <c r="G136" s="43"/>
      <c r="H136" s="43"/>
      <c r="I136" s="43"/>
    </row>
    <row r="137" spans="1:9" ht="25.5" customHeight="1">
      <c r="A137" s="14"/>
      <c r="B137" s="15"/>
      <c r="C137" s="15"/>
      <c r="D137" s="14"/>
      <c r="E137" s="14"/>
      <c r="F137" s="14"/>
      <c r="G137" s="43"/>
      <c r="H137" s="43"/>
      <c r="I137" s="43"/>
    </row>
    <row r="138" spans="1:9" ht="25.5" customHeight="1">
      <c r="A138" s="14"/>
      <c r="B138" s="15"/>
      <c r="C138" s="15"/>
      <c r="D138" s="14"/>
      <c r="E138" s="14"/>
      <c r="F138" s="14"/>
      <c r="G138" s="43"/>
      <c r="H138" s="43"/>
      <c r="I138" s="43"/>
    </row>
    <row r="139" spans="1:9" ht="25.5" customHeight="1">
      <c r="A139" s="14"/>
      <c r="B139" s="15"/>
      <c r="C139" s="15"/>
      <c r="D139" s="14"/>
      <c r="E139" s="14"/>
      <c r="F139" s="14"/>
      <c r="G139" s="43"/>
      <c r="H139" s="43"/>
      <c r="I139" s="43"/>
    </row>
    <row r="140" spans="1:9" ht="25.5" customHeight="1">
      <c r="A140" s="14"/>
      <c r="B140" s="15"/>
      <c r="C140" s="15"/>
      <c r="D140" s="14"/>
      <c r="E140" s="14"/>
      <c r="F140" s="14"/>
      <c r="G140" s="43"/>
      <c r="H140" s="43"/>
      <c r="I140" s="43"/>
    </row>
    <row r="141" spans="1:9" ht="25.5" customHeight="1">
      <c r="A141" s="14"/>
      <c r="B141" s="15"/>
      <c r="C141" s="15"/>
      <c r="D141" s="14"/>
      <c r="E141" s="14"/>
      <c r="F141" s="14"/>
      <c r="G141" s="43"/>
      <c r="H141" s="43"/>
      <c r="I141" s="43"/>
    </row>
    <row r="142" spans="1:9" ht="25.5" customHeight="1">
      <c r="A142" s="14"/>
      <c r="B142" s="15"/>
      <c r="C142" s="15"/>
      <c r="D142" s="14"/>
      <c r="E142" s="14"/>
      <c r="F142" s="14"/>
      <c r="G142" s="43"/>
      <c r="H142" s="43"/>
      <c r="I142" s="43"/>
    </row>
    <row r="143" spans="1:9" ht="25.5" customHeight="1">
      <c r="A143" s="14"/>
      <c r="B143" s="15"/>
      <c r="C143" s="15"/>
      <c r="D143" s="14"/>
      <c r="E143" s="14"/>
      <c r="F143" s="14"/>
      <c r="G143" s="43"/>
      <c r="H143" s="43"/>
      <c r="I143" s="43"/>
    </row>
    <row r="144" spans="1:9" ht="25.5" customHeight="1">
      <c r="A144" s="14"/>
      <c r="B144" s="15"/>
      <c r="C144" s="15"/>
      <c r="D144" s="14"/>
      <c r="E144" s="14"/>
      <c r="F144" s="14"/>
      <c r="G144" s="43"/>
      <c r="H144" s="43"/>
      <c r="I144" s="43"/>
    </row>
    <row r="145" spans="1:9" ht="25.5" customHeight="1">
      <c r="A145" s="14"/>
      <c r="B145" s="15"/>
      <c r="C145" s="15"/>
      <c r="D145" s="14"/>
      <c r="E145" s="14"/>
      <c r="F145" s="14"/>
      <c r="G145" s="43"/>
      <c r="H145" s="43"/>
      <c r="I145" s="43"/>
    </row>
    <row r="146" spans="1:9" ht="25.5" customHeight="1">
      <c r="A146" s="14"/>
      <c r="B146" s="15"/>
      <c r="C146" s="15"/>
      <c r="D146" s="14"/>
      <c r="E146" s="14"/>
      <c r="F146" s="14"/>
      <c r="G146" s="43"/>
      <c r="H146" s="43"/>
      <c r="I146" s="43"/>
    </row>
    <row r="147" spans="1:9" ht="25.5" customHeight="1">
      <c r="A147" s="14"/>
      <c r="B147" s="15"/>
      <c r="C147" s="15"/>
      <c r="D147" s="14"/>
      <c r="E147" s="14"/>
      <c r="F147" s="14"/>
      <c r="G147" s="43"/>
      <c r="H147" s="43"/>
      <c r="I147" s="43"/>
    </row>
    <row r="148" spans="1:9" ht="25.5" customHeight="1">
      <c r="A148" s="14"/>
      <c r="B148" s="15"/>
      <c r="C148" s="15"/>
      <c r="D148" s="14"/>
      <c r="E148" s="14"/>
      <c r="F148" s="14"/>
      <c r="G148" s="43"/>
      <c r="H148" s="43"/>
      <c r="I148" s="43"/>
    </row>
    <row r="149" spans="1:9" ht="25.5" customHeight="1">
      <c r="A149" s="14"/>
      <c r="B149" s="15"/>
      <c r="C149" s="15"/>
      <c r="D149" s="14"/>
      <c r="E149" s="14"/>
      <c r="F149" s="14"/>
      <c r="G149" s="43"/>
      <c r="H149" s="43"/>
      <c r="I149" s="43"/>
    </row>
    <row r="150" spans="1:9" ht="25.5" customHeight="1">
      <c r="A150" s="14"/>
      <c r="B150" s="15"/>
      <c r="C150" s="15"/>
      <c r="D150" s="14"/>
      <c r="E150" s="14"/>
      <c r="F150" s="14"/>
      <c r="G150" s="43"/>
      <c r="H150" s="43"/>
      <c r="I150" s="43"/>
    </row>
    <row r="151" spans="1:9" ht="25.5" customHeight="1">
      <c r="A151" s="14"/>
      <c r="B151" s="15"/>
      <c r="C151" s="15"/>
      <c r="D151" s="14"/>
      <c r="E151" s="14"/>
      <c r="F151" s="14"/>
      <c r="G151" s="43"/>
      <c r="H151" s="43"/>
      <c r="I151" s="43"/>
    </row>
    <row r="152" spans="1:9" ht="25.5" customHeight="1">
      <c r="A152" s="14"/>
      <c r="B152" s="15"/>
      <c r="C152" s="15"/>
      <c r="D152" s="14"/>
      <c r="E152" s="14"/>
      <c r="F152" s="14"/>
      <c r="G152" s="43"/>
      <c r="H152" s="43"/>
      <c r="I152" s="43"/>
    </row>
    <row r="153" spans="1:9" ht="25.5" customHeight="1">
      <c r="A153" s="14"/>
      <c r="B153" s="15"/>
      <c r="C153" s="15"/>
      <c r="D153" s="14"/>
      <c r="E153" s="14"/>
      <c r="F153" s="14"/>
      <c r="G153" s="43"/>
      <c r="H153" s="43"/>
      <c r="I153" s="43"/>
    </row>
    <row r="154" spans="1:9" ht="25.5" customHeight="1">
      <c r="A154" s="14"/>
      <c r="B154" s="15"/>
      <c r="C154" s="15"/>
      <c r="D154" s="14"/>
      <c r="E154" s="14"/>
      <c r="F154" s="14"/>
      <c r="G154" s="43"/>
      <c r="H154" s="43"/>
      <c r="I154" s="43"/>
    </row>
    <row r="155" spans="1:9" ht="25.5" customHeight="1">
      <c r="A155" s="14"/>
      <c r="B155" s="15"/>
      <c r="C155" s="15"/>
      <c r="D155" s="14"/>
      <c r="E155" s="14"/>
      <c r="F155" s="14"/>
      <c r="G155" s="43"/>
      <c r="H155" s="43"/>
      <c r="I155" s="43"/>
    </row>
    <row r="156" spans="1:9" ht="25.5" customHeight="1">
      <c r="A156" s="14"/>
      <c r="B156" s="15"/>
      <c r="C156" s="15"/>
      <c r="D156" s="14"/>
      <c r="E156" s="14"/>
      <c r="F156" s="14"/>
      <c r="G156" s="43"/>
      <c r="H156" s="43"/>
      <c r="I156" s="43"/>
    </row>
    <row r="157" spans="1:9" ht="25.5" customHeight="1">
      <c r="A157" s="14"/>
      <c r="B157" s="15"/>
      <c r="C157" s="15"/>
      <c r="D157" s="14"/>
      <c r="E157" s="14"/>
      <c r="F157" s="14"/>
      <c r="G157" s="43"/>
      <c r="H157" s="43"/>
      <c r="I157" s="43"/>
    </row>
    <row r="158" spans="1:9" ht="25.5" customHeight="1">
      <c r="A158" s="14"/>
      <c r="B158" s="15"/>
      <c r="C158" s="15"/>
      <c r="D158" s="14"/>
      <c r="E158" s="14"/>
      <c r="F158" s="14"/>
      <c r="G158" s="43"/>
      <c r="H158" s="43"/>
      <c r="I158" s="43"/>
    </row>
    <row r="159" spans="1:9" ht="25.5" customHeight="1">
      <c r="A159" s="14"/>
      <c r="B159" s="15"/>
      <c r="C159" s="15"/>
      <c r="D159" s="14"/>
      <c r="E159" s="14"/>
      <c r="F159" s="14"/>
      <c r="G159" s="43"/>
      <c r="H159" s="43"/>
      <c r="I159" s="43"/>
    </row>
    <row r="160" spans="1:9" ht="25.5" customHeight="1">
      <c r="A160" s="14"/>
      <c r="B160" s="15"/>
      <c r="C160" s="15"/>
      <c r="D160" s="14"/>
      <c r="E160" s="14"/>
      <c r="F160" s="14"/>
      <c r="G160" s="43"/>
      <c r="H160" s="43"/>
      <c r="I160" s="43"/>
    </row>
    <row r="161" spans="1:9" ht="25.5" customHeight="1">
      <c r="A161" s="14"/>
      <c r="B161" s="15"/>
      <c r="C161" s="15"/>
      <c r="D161" s="14"/>
      <c r="E161" s="14"/>
      <c r="F161" s="14"/>
      <c r="G161" s="43"/>
      <c r="H161" s="43"/>
      <c r="I161" s="43"/>
    </row>
    <row r="162" spans="1:9" ht="25.5" customHeight="1">
      <c r="A162" s="14"/>
      <c r="B162" s="15"/>
      <c r="C162" s="15"/>
      <c r="D162" s="14"/>
      <c r="E162" s="14"/>
      <c r="F162" s="14"/>
      <c r="G162" s="43"/>
      <c r="H162" s="43"/>
      <c r="I162" s="43"/>
    </row>
    <row r="163" spans="1:9" ht="25.5" customHeight="1">
      <c r="A163" s="14"/>
      <c r="B163" s="15"/>
      <c r="C163" s="15"/>
      <c r="D163" s="14"/>
      <c r="E163" s="14"/>
      <c r="F163" s="14"/>
      <c r="G163" s="43"/>
      <c r="H163" s="43"/>
      <c r="I163" s="43"/>
    </row>
    <row r="164" spans="1:9" ht="25.5" customHeight="1">
      <c r="A164" s="14"/>
      <c r="B164" s="15"/>
      <c r="C164" s="15"/>
      <c r="D164" s="14"/>
      <c r="E164" s="14"/>
      <c r="F164" s="14"/>
      <c r="G164" s="43"/>
      <c r="H164" s="43"/>
      <c r="I164" s="43"/>
    </row>
    <row r="165" spans="1:9" ht="25.5" customHeight="1">
      <c r="A165" s="14"/>
      <c r="B165" s="15"/>
      <c r="C165" s="15"/>
      <c r="D165" s="14"/>
      <c r="E165" s="14"/>
      <c r="F165" s="14"/>
      <c r="G165" s="43"/>
      <c r="H165" s="43"/>
      <c r="I165" s="43"/>
    </row>
    <row r="166" spans="1:9" ht="25.5" customHeight="1">
      <c r="A166" s="14"/>
      <c r="B166" s="15"/>
      <c r="C166" s="15"/>
      <c r="D166" s="14"/>
      <c r="E166" s="14"/>
      <c r="F166" s="14"/>
      <c r="G166" s="43"/>
      <c r="H166" s="43"/>
      <c r="I166" s="43"/>
    </row>
    <row r="167" spans="1:9" ht="25.5" customHeight="1">
      <c r="A167" s="14"/>
      <c r="B167" s="15"/>
      <c r="C167" s="15"/>
      <c r="D167" s="14"/>
      <c r="E167" s="14"/>
      <c r="F167" s="14"/>
      <c r="G167" s="43"/>
      <c r="H167" s="43"/>
      <c r="I167" s="43"/>
    </row>
    <row r="168" spans="1:9" ht="25.5" customHeight="1">
      <c r="A168" s="14"/>
      <c r="B168" s="15"/>
      <c r="C168" s="15"/>
      <c r="D168" s="14"/>
      <c r="E168" s="14"/>
      <c r="F168" s="14"/>
      <c r="G168" s="43"/>
      <c r="H168" s="43"/>
      <c r="I168" s="43"/>
    </row>
    <row r="169" spans="1:9" ht="25.5" customHeight="1">
      <c r="A169" s="14"/>
      <c r="B169" s="15"/>
      <c r="C169" s="15"/>
      <c r="D169" s="14"/>
      <c r="E169" s="14"/>
      <c r="F169" s="14"/>
      <c r="G169" s="43"/>
      <c r="H169" s="43"/>
      <c r="I169" s="43"/>
    </row>
    <row r="170" spans="1:9" ht="25.5" customHeight="1">
      <c r="A170" s="14"/>
      <c r="B170" s="15"/>
      <c r="C170" s="15"/>
      <c r="D170" s="14"/>
      <c r="E170" s="14"/>
      <c r="F170" s="14"/>
      <c r="G170" s="43"/>
      <c r="H170" s="43"/>
      <c r="I170" s="43"/>
    </row>
    <row r="171" spans="1:9" ht="25.5" customHeight="1">
      <c r="A171" s="14"/>
      <c r="B171" s="15"/>
      <c r="C171" s="15"/>
      <c r="D171" s="14"/>
      <c r="E171" s="14"/>
      <c r="F171" s="14"/>
      <c r="G171" s="43"/>
      <c r="H171" s="43"/>
      <c r="I171" s="43"/>
    </row>
    <row r="172" spans="1:9" ht="25.5" customHeight="1">
      <c r="A172" s="14"/>
      <c r="B172" s="15"/>
      <c r="C172" s="15"/>
      <c r="D172" s="14"/>
      <c r="E172" s="14"/>
      <c r="F172" s="14"/>
      <c r="G172" s="43"/>
      <c r="H172" s="43"/>
      <c r="I172" s="43"/>
    </row>
    <row r="173" spans="1:9" ht="25.5" customHeight="1">
      <c r="A173" s="14"/>
      <c r="B173" s="15"/>
      <c r="C173" s="15"/>
      <c r="D173" s="14"/>
      <c r="E173" s="14"/>
      <c r="F173" s="14"/>
      <c r="G173" s="43"/>
      <c r="H173" s="43"/>
      <c r="I173" s="43"/>
    </row>
    <row r="174" spans="1:9" ht="25.5" customHeight="1">
      <c r="A174" s="14"/>
      <c r="B174" s="15"/>
      <c r="C174" s="15"/>
      <c r="D174" s="14"/>
      <c r="E174" s="14"/>
      <c r="F174" s="14"/>
      <c r="G174" s="43"/>
      <c r="H174" s="43"/>
      <c r="I174" s="43"/>
    </row>
    <row r="175" spans="1:9" ht="25.5" customHeight="1">
      <c r="A175" s="14"/>
      <c r="B175" s="15"/>
      <c r="C175" s="15"/>
      <c r="D175" s="14"/>
      <c r="E175" s="14"/>
      <c r="F175" s="14"/>
      <c r="G175" s="43"/>
      <c r="H175" s="43"/>
      <c r="I175" s="43"/>
    </row>
    <row r="176" spans="1:9" ht="25.5" customHeight="1">
      <c r="A176" s="14"/>
      <c r="B176" s="15"/>
      <c r="C176" s="15"/>
      <c r="D176" s="14"/>
      <c r="E176" s="14"/>
      <c r="F176" s="14"/>
      <c r="G176" s="43"/>
      <c r="H176" s="43"/>
      <c r="I176" s="43"/>
    </row>
    <row r="177" spans="1:9" ht="25.5" customHeight="1">
      <c r="A177" s="14"/>
      <c r="B177" s="15"/>
      <c r="C177" s="15"/>
      <c r="D177" s="14"/>
      <c r="E177" s="14"/>
      <c r="F177" s="14"/>
      <c r="G177" s="43"/>
      <c r="H177" s="43"/>
      <c r="I177" s="43"/>
    </row>
    <row r="178" spans="1:9" ht="25.5" customHeight="1">
      <c r="A178" s="14"/>
      <c r="B178" s="15"/>
      <c r="C178" s="15"/>
      <c r="D178" s="14"/>
      <c r="E178" s="14"/>
      <c r="F178" s="14"/>
      <c r="G178" s="43"/>
      <c r="H178" s="43"/>
      <c r="I178" s="43"/>
    </row>
    <row r="179" spans="1:9" ht="25.5" customHeight="1">
      <c r="A179" s="14"/>
      <c r="B179" s="15"/>
      <c r="C179" s="15"/>
      <c r="D179" s="14"/>
      <c r="E179" s="14"/>
      <c r="F179" s="14"/>
      <c r="G179" s="43"/>
      <c r="H179" s="43"/>
      <c r="I179" s="43"/>
    </row>
    <row r="180" spans="1:9" ht="25.5" customHeight="1">
      <c r="A180" s="14"/>
      <c r="B180" s="15"/>
      <c r="C180" s="15"/>
      <c r="D180" s="14"/>
      <c r="E180" s="14"/>
      <c r="F180" s="14"/>
      <c r="G180" s="43"/>
      <c r="H180" s="43"/>
      <c r="I180" s="43"/>
    </row>
    <row r="181" spans="1:9" ht="25.5" customHeight="1">
      <c r="A181" s="14"/>
      <c r="B181" s="15"/>
      <c r="C181" s="15"/>
      <c r="D181" s="14"/>
      <c r="E181" s="14"/>
      <c r="F181" s="14"/>
      <c r="G181" s="43"/>
      <c r="H181" s="43"/>
      <c r="I181" s="43"/>
    </row>
    <row r="182" spans="1:9" ht="25.5" customHeight="1">
      <c r="A182" s="14"/>
      <c r="B182" s="15"/>
      <c r="C182" s="15"/>
      <c r="D182" s="14"/>
      <c r="E182" s="14"/>
      <c r="F182" s="14"/>
      <c r="G182" s="43"/>
      <c r="H182" s="43"/>
      <c r="I182" s="43"/>
    </row>
    <row r="183" spans="1:9" ht="25.5" customHeight="1">
      <c r="A183" s="14"/>
      <c r="B183" s="15"/>
      <c r="C183" s="15"/>
      <c r="D183" s="14"/>
      <c r="E183" s="14"/>
      <c r="F183" s="14"/>
      <c r="G183" s="43"/>
      <c r="H183" s="43"/>
      <c r="I183" s="43"/>
    </row>
    <row r="184" spans="1:9" ht="25.5" customHeight="1">
      <c r="A184" s="14"/>
      <c r="B184" s="15"/>
      <c r="C184" s="15"/>
      <c r="D184" s="14"/>
      <c r="E184" s="14"/>
      <c r="F184" s="14"/>
      <c r="G184" s="43"/>
      <c r="H184" s="43"/>
      <c r="I184" s="43"/>
    </row>
    <row r="185" spans="1:9" ht="25.5" customHeight="1">
      <c r="A185" s="14"/>
      <c r="B185" s="15"/>
      <c r="C185" s="15"/>
      <c r="D185" s="14"/>
      <c r="E185" s="14"/>
      <c r="F185" s="14"/>
      <c r="G185" s="43"/>
      <c r="H185" s="43"/>
      <c r="I185" s="43"/>
    </row>
    <row r="186" spans="1:9" ht="25.5" customHeight="1">
      <c r="A186" s="14"/>
      <c r="B186" s="15"/>
      <c r="C186" s="15"/>
      <c r="D186" s="14"/>
      <c r="E186" s="14"/>
      <c r="F186" s="14"/>
      <c r="G186" s="43"/>
      <c r="H186" s="43"/>
      <c r="I186" s="43"/>
    </row>
    <row r="187" spans="1:9" ht="25.5" customHeight="1">
      <c r="A187" s="14"/>
      <c r="B187" s="15"/>
      <c r="C187" s="15"/>
      <c r="D187" s="14"/>
      <c r="E187" s="14"/>
      <c r="F187" s="14"/>
      <c r="G187" s="43"/>
      <c r="H187" s="43"/>
      <c r="I187" s="43"/>
    </row>
    <row r="188" spans="1:9" ht="25.5" customHeight="1">
      <c r="A188" s="14"/>
      <c r="B188" s="15"/>
      <c r="C188" s="15"/>
      <c r="D188" s="14"/>
      <c r="E188" s="14"/>
      <c r="F188" s="14"/>
      <c r="G188" s="43"/>
      <c r="H188" s="43"/>
      <c r="I188" s="43"/>
    </row>
    <row r="189" spans="1:9" ht="25.5" customHeight="1">
      <c r="A189" s="14"/>
      <c r="B189" s="15"/>
      <c r="C189" s="15"/>
      <c r="D189" s="14"/>
      <c r="E189" s="14"/>
      <c r="F189" s="14"/>
      <c r="G189" s="43"/>
      <c r="H189" s="43"/>
      <c r="I189" s="43"/>
    </row>
    <row r="190" spans="1:9" ht="25.5" customHeight="1">
      <c r="A190" s="14"/>
      <c r="B190" s="15"/>
      <c r="C190" s="15"/>
      <c r="D190" s="14"/>
      <c r="E190" s="14"/>
      <c r="F190" s="14"/>
      <c r="G190" s="43"/>
      <c r="H190" s="43"/>
      <c r="I190" s="43"/>
    </row>
    <row r="191" spans="1:9" ht="25.5" customHeight="1">
      <c r="A191" s="14"/>
      <c r="B191" s="15"/>
      <c r="C191" s="15"/>
      <c r="D191" s="14"/>
      <c r="E191" s="14"/>
      <c r="F191" s="14"/>
      <c r="G191" s="43"/>
      <c r="H191" s="43"/>
      <c r="I191" s="43"/>
    </row>
    <row r="192" spans="1:9" ht="25.5" customHeight="1">
      <c r="A192" s="14"/>
      <c r="B192" s="15"/>
      <c r="C192" s="15"/>
      <c r="D192" s="14"/>
      <c r="E192" s="14"/>
      <c r="F192" s="14"/>
      <c r="G192" s="43"/>
      <c r="H192" s="43"/>
      <c r="I192" s="43"/>
    </row>
    <row r="193" spans="1:9" ht="25.5" customHeight="1">
      <c r="A193" s="14"/>
      <c r="B193" s="15"/>
      <c r="C193" s="15"/>
      <c r="D193" s="14"/>
      <c r="E193" s="14"/>
      <c r="F193" s="14"/>
      <c r="G193" s="43"/>
      <c r="H193" s="43"/>
      <c r="I193" s="43"/>
    </row>
    <row r="194" spans="1:9" ht="25.5" customHeight="1">
      <c r="A194" s="14"/>
      <c r="B194" s="15"/>
      <c r="C194" s="15"/>
      <c r="D194" s="14"/>
      <c r="E194" s="14"/>
      <c r="F194" s="14"/>
      <c r="G194" s="43"/>
      <c r="H194" s="43"/>
      <c r="I194" s="43"/>
    </row>
    <row r="195" spans="1:9" ht="25.5" customHeight="1">
      <c r="A195" s="14"/>
      <c r="B195" s="15"/>
      <c r="C195" s="15"/>
      <c r="D195" s="14"/>
      <c r="E195" s="14"/>
      <c r="F195" s="14"/>
      <c r="G195" s="43"/>
      <c r="H195" s="43"/>
      <c r="I195" s="43"/>
    </row>
    <row r="196" spans="1:9" ht="25.5" customHeight="1">
      <c r="A196" s="14"/>
      <c r="B196" s="15"/>
      <c r="C196" s="15"/>
      <c r="D196" s="14"/>
      <c r="E196" s="14"/>
      <c r="F196" s="14"/>
      <c r="G196" s="43"/>
      <c r="H196" s="43"/>
      <c r="I196" s="43"/>
    </row>
    <row r="197" spans="1:9" ht="25.5" customHeight="1">
      <c r="A197" s="14"/>
      <c r="B197" s="15"/>
      <c r="C197" s="15"/>
      <c r="D197" s="14"/>
      <c r="E197" s="14"/>
      <c r="F197" s="14"/>
      <c r="G197" s="43"/>
      <c r="H197" s="43"/>
      <c r="I197" s="43"/>
    </row>
    <row r="198" spans="1:9" ht="25.5" customHeight="1">
      <c r="A198" s="14"/>
      <c r="B198" s="15"/>
      <c r="C198" s="15"/>
      <c r="D198" s="14"/>
      <c r="E198" s="14"/>
      <c r="F198" s="14"/>
      <c r="G198" s="43"/>
      <c r="H198" s="43"/>
      <c r="I198" s="43"/>
    </row>
    <row r="199" spans="1:9" ht="25.5" customHeight="1">
      <c r="A199" s="14"/>
      <c r="B199" s="15"/>
      <c r="C199" s="15"/>
      <c r="D199" s="14"/>
      <c r="E199" s="14"/>
      <c r="F199" s="14"/>
      <c r="G199" s="43"/>
      <c r="H199" s="43"/>
      <c r="I199" s="43"/>
    </row>
    <row r="200" spans="1:9" ht="25.5" customHeight="1">
      <c r="A200" s="14"/>
      <c r="B200" s="15"/>
      <c r="C200" s="15"/>
      <c r="D200" s="14"/>
      <c r="E200" s="14"/>
      <c r="F200" s="14"/>
      <c r="G200" s="43"/>
      <c r="H200" s="43"/>
      <c r="I200" s="43"/>
    </row>
    <row r="201" spans="1:9" ht="25.5" customHeight="1">
      <c r="A201" s="14"/>
      <c r="B201" s="15"/>
      <c r="C201" s="15"/>
      <c r="D201" s="14"/>
      <c r="E201" s="14"/>
      <c r="F201" s="14"/>
      <c r="G201" s="43"/>
      <c r="H201" s="43"/>
      <c r="I201" s="43"/>
    </row>
    <row r="202" spans="1:9" ht="25.5" customHeight="1">
      <c r="A202" s="14"/>
      <c r="B202" s="15"/>
      <c r="C202" s="15"/>
      <c r="D202" s="14"/>
      <c r="E202" s="14"/>
      <c r="F202" s="14"/>
      <c r="G202" s="43"/>
      <c r="H202" s="43"/>
      <c r="I202" s="43"/>
    </row>
    <row r="203" spans="1:9" ht="25.5" customHeight="1">
      <c r="A203" s="14"/>
      <c r="B203" s="15"/>
      <c r="C203" s="15"/>
      <c r="D203" s="14"/>
      <c r="E203" s="14"/>
      <c r="F203" s="14"/>
      <c r="G203" s="43"/>
      <c r="H203" s="43"/>
      <c r="I203" s="43"/>
    </row>
    <row r="204" spans="1:9" ht="25.5" customHeight="1">
      <c r="A204" s="14"/>
      <c r="B204" s="15"/>
      <c r="C204" s="15"/>
      <c r="D204" s="14"/>
      <c r="E204" s="14"/>
      <c r="F204" s="14"/>
      <c r="G204" s="43"/>
      <c r="H204" s="43"/>
      <c r="I204" s="43"/>
    </row>
    <row r="205" spans="1:9" ht="25.5" customHeight="1">
      <c r="A205" s="14"/>
      <c r="B205" s="15"/>
      <c r="C205" s="15"/>
      <c r="D205" s="14"/>
      <c r="E205" s="14"/>
      <c r="F205" s="14"/>
      <c r="G205" s="43"/>
      <c r="H205" s="43"/>
      <c r="I205" s="43"/>
    </row>
    <row r="206" spans="1:9" ht="25.5" customHeight="1">
      <c r="A206" s="14"/>
      <c r="B206" s="15"/>
      <c r="C206" s="15"/>
      <c r="D206" s="14"/>
      <c r="E206" s="14"/>
      <c r="F206" s="14"/>
      <c r="G206" s="43"/>
      <c r="H206" s="43"/>
      <c r="I206" s="43"/>
    </row>
    <row r="207" spans="1:9" ht="25.5" customHeight="1">
      <c r="A207" s="14"/>
      <c r="B207" s="15"/>
      <c r="C207" s="15"/>
      <c r="D207" s="14"/>
      <c r="E207" s="14"/>
      <c r="F207" s="14"/>
      <c r="G207" s="43"/>
      <c r="H207" s="43"/>
      <c r="I207" s="43"/>
    </row>
    <row r="208" spans="1:9" ht="25.5" customHeight="1">
      <c r="A208" s="14"/>
      <c r="B208" s="15"/>
      <c r="C208" s="15"/>
      <c r="D208" s="14"/>
      <c r="E208" s="14"/>
      <c r="F208" s="14"/>
      <c r="G208" s="43"/>
      <c r="H208" s="43"/>
      <c r="I208" s="43"/>
    </row>
    <row r="209" spans="1:9" ht="25.5" customHeight="1">
      <c r="A209" s="14"/>
      <c r="B209" s="15"/>
      <c r="C209" s="15"/>
      <c r="D209" s="14"/>
      <c r="E209" s="14"/>
      <c r="F209" s="14"/>
      <c r="G209" s="43"/>
      <c r="H209" s="43"/>
      <c r="I209" s="43"/>
    </row>
    <row r="210" spans="1:9" ht="25.5" customHeight="1">
      <c r="A210" s="14"/>
      <c r="B210" s="15"/>
      <c r="C210" s="15"/>
      <c r="D210" s="14"/>
      <c r="E210" s="14"/>
      <c r="F210" s="14"/>
      <c r="G210" s="43"/>
      <c r="H210" s="43"/>
      <c r="I210" s="43"/>
    </row>
    <row r="211" spans="1:9" ht="25.5" customHeight="1">
      <c r="A211" s="14"/>
      <c r="B211" s="15"/>
      <c r="C211" s="15"/>
      <c r="D211" s="14"/>
      <c r="E211" s="14"/>
      <c r="F211" s="14"/>
      <c r="G211" s="43"/>
      <c r="H211" s="43"/>
      <c r="I211" s="43"/>
    </row>
    <row r="212" spans="1:9" ht="25.5" customHeight="1">
      <c r="A212" s="14"/>
      <c r="B212" s="15"/>
      <c r="C212" s="15"/>
      <c r="D212" s="14"/>
      <c r="E212" s="14"/>
      <c r="F212" s="14"/>
      <c r="G212" s="43"/>
      <c r="H212" s="43"/>
      <c r="I212" s="43"/>
    </row>
    <row r="213" spans="1:9" ht="25.5" customHeight="1">
      <c r="A213" s="14"/>
      <c r="B213" s="15"/>
      <c r="C213" s="15"/>
      <c r="D213" s="14"/>
      <c r="E213" s="14"/>
      <c r="F213" s="14"/>
      <c r="G213" s="43"/>
      <c r="H213" s="43"/>
      <c r="I213" s="43"/>
    </row>
    <row r="214" spans="1:9" ht="25.5" customHeight="1">
      <c r="A214" s="14"/>
      <c r="B214" s="15"/>
      <c r="C214" s="15"/>
      <c r="D214" s="14"/>
      <c r="E214" s="14"/>
      <c r="F214" s="14"/>
      <c r="G214" s="43"/>
      <c r="H214" s="43"/>
      <c r="I214" s="43"/>
    </row>
    <row r="215" spans="1:9" ht="25.5" customHeight="1">
      <c r="A215" s="14"/>
      <c r="B215" s="15"/>
      <c r="C215" s="15"/>
      <c r="D215" s="14"/>
      <c r="E215" s="14"/>
      <c r="F215" s="14"/>
      <c r="G215" s="43"/>
      <c r="H215" s="43"/>
      <c r="I215" s="43"/>
    </row>
    <row r="216" spans="1:9" ht="25.5" customHeight="1">
      <c r="A216" s="14"/>
      <c r="B216" s="15"/>
      <c r="C216" s="15"/>
      <c r="D216" s="14"/>
      <c r="E216" s="14"/>
      <c r="F216" s="14"/>
      <c r="G216" s="43"/>
      <c r="H216" s="43"/>
      <c r="I216" s="43"/>
    </row>
    <row r="217" spans="1:9" ht="25.5" customHeight="1">
      <c r="A217" s="14"/>
      <c r="B217" s="15"/>
      <c r="C217" s="15"/>
      <c r="D217" s="14"/>
      <c r="E217" s="14"/>
      <c r="F217" s="14"/>
      <c r="G217" s="43"/>
      <c r="H217" s="43"/>
      <c r="I217" s="43"/>
    </row>
    <row r="218" spans="1:9" ht="25.5" customHeight="1">
      <c r="A218" s="14"/>
      <c r="B218" s="15"/>
      <c r="C218" s="15"/>
      <c r="D218" s="14"/>
      <c r="E218" s="14"/>
      <c r="F218" s="14"/>
      <c r="G218" s="43"/>
      <c r="H218" s="43"/>
      <c r="I218" s="43"/>
    </row>
    <row r="219" spans="1:9" ht="25.5" customHeight="1">
      <c r="A219" s="14"/>
      <c r="B219" s="15"/>
      <c r="C219" s="15"/>
      <c r="D219" s="14"/>
      <c r="E219" s="14"/>
      <c r="F219" s="14"/>
      <c r="G219" s="43"/>
      <c r="H219" s="43"/>
      <c r="I219" s="43"/>
    </row>
    <row r="220" spans="1:9" ht="25.5" customHeight="1">
      <c r="A220" s="14"/>
      <c r="B220" s="15"/>
      <c r="C220" s="15"/>
      <c r="D220" s="14"/>
      <c r="E220" s="14"/>
      <c r="F220" s="14"/>
      <c r="G220" s="43"/>
      <c r="H220" s="43"/>
      <c r="I220" s="43"/>
    </row>
    <row r="221" spans="1:9" ht="25.5" customHeight="1">
      <c r="A221" s="14"/>
      <c r="B221" s="15"/>
      <c r="C221" s="15"/>
      <c r="D221" s="14"/>
      <c r="E221" s="14"/>
      <c r="F221" s="14"/>
      <c r="G221" s="43"/>
      <c r="H221" s="43"/>
      <c r="I221" s="43"/>
    </row>
    <row r="222" spans="1:9" ht="25.5" customHeight="1">
      <c r="A222" s="14"/>
      <c r="B222" s="15"/>
      <c r="C222" s="15"/>
      <c r="D222" s="14"/>
      <c r="E222" s="14"/>
      <c r="F222" s="14"/>
      <c r="G222" s="43"/>
      <c r="H222" s="43"/>
      <c r="I222" s="43"/>
    </row>
    <row r="223" spans="1:9" ht="25.5" customHeight="1">
      <c r="A223" s="14"/>
      <c r="B223" s="15"/>
      <c r="C223" s="15"/>
      <c r="D223" s="14"/>
      <c r="E223" s="14"/>
      <c r="F223" s="14"/>
      <c r="G223" s="43"/>
      <c r="H223" s="43"/>
      <c r="I223" s="43"/>
    </row>
    <row r="224" spans="1:9" ht="25.5" customHeight="1">
      <c r="A224" s="14"/>
      <c r="B224" s="15"/>
      <c r="C224" s="15"/>
      <c r="D224" s="14"/>
      <c r="E224" s="14"/>
      <c r="F224" s="14"/>
      <c r="G224" s="43"/>
      <c r="H224" s="43"/>
      <c r="I224" s="43"/>
    </row>
    <row r="225" spans="1:9" ht="25.5" customHeight="1">
      <c r="A225" s="14"/>
      <c r="B225" s="15"/>
      <c r="C225" s="15"/>
      <c r="D225" s="14"/>
      <c r="E225" s="14"/>
      <c r="F225" s="14"/>
      <c r="G225" s="43"/>
      <c r="H225" s="43"/>
      <c r="I225" s="43"/>
    </row>
    <row r="226" spans="1:9" ht="25.5" customHeight="1">
      <c r="A226" s="14"/>
      <c r="B226" s="15"/>
      <c r="C226" s="15"/>
      <c r="D226" s="14"/>
      <c r="E226" s="14"/>
      <c r="F226" s="14"/>
      <c r="G226" s="43"/>
      <c r="H226" s="43"/>
      <c r="I226" s="43"/>
    </row>
    <row r="227" spans="1:9" ht="25.5" customHeight="1">
      <c r="A227" s="14"/>
      <c r="B227" s="15"/>
      <c r="C227" s="15"/>
      <c r="D227" s="14"/>
      <c r="E227" s="14"/>
      <c r="F227" s="14"/>
      <c r="G227" s="43"/>
      <c r="H227" s="43"/>
      <c r="I227" s="43"/>
    </row>
    <row r="228" spans="1:9" ht="25.5" customHeight="1">
      <c r="A228" s="14"/>
      <c r="B228" s="15"/>
      <c r="C228" s="15"/>
      <c r="D228" s="14"/>
      <c r="E228" s="14"/>
      <c r="F228" s="14"/>
      <c r="G228" s="43"/>
      <c r="H228" s="43"/>
      <c r="I228" s="43"/>
    </row>
    <row r="229" spans="1:9" ht="25.5" customHeight="1">
      <c r="A229" s="14"/>
      <c r="B229" s="15"/>
      <c r="C229" s="15"/>
      <c r="D229" s="14"/>
      <c r="E229" s="14"/>
      <c r="F229" s="14"/>
      <c r="G229" s="43"/>
      <c r="H229" s="43"/>
      <c r="I229" s="43"/>
    </row>
    <row r="230" spans="1:9" ht="25.5" customHeight="1">
      <c r="A230" s="14"/>
      <c r="B230" s="15"/>
      <c r="C230" s="15"/>
      <c r="D230" s="14"/>
      <c r="E230" s="14"/>
      <c r="F230" s="14"/>
      <c r="G230" s="43"/>
      <c r="H230" s="43"/>
      <c r="I230" s="43"/>
    </row>
    <row r="231" spans="1:9" ht="25.5" customHeight="1">
      <c r="A231" s="14"/>
      <c r="B231" s="15"/>
      <c r="C231" s="15"/>
      <c r="D231" s="14"/>
      <c r="E231" s="14"/>
      <c r="F231" s="14"/>
      <c r="G231" s="43"/>
      <c r="H231" s="43"/>
      <c r="I231" s="43"/>
    </row>
    <row r="232" spans="1:9" ht="25.5" customHeight="1">
      <c r="A232" s="14"/>
      <c r="B232" s="15"/>
      <c r="C232" s="15"/>
      <c r="D232" s="14"/>
      <c r="E232" s="14"/>
      <c r="F232" s="14"/>
      <c r="G232" s="43"/>
      <c r="H232" s="43"/>
      <c r="I232" s="43"/>
    </row>
    <row r="233" spans="1:9" ht="25.5" customHeight="1">
      <c r="A233" s="14"/>
      <c r="B233" s="15"/>
      <c r="C233" s="15"/>
      <c r="D233" s="14"/>
      <c r="E233" s="14"/>
      <c r="F233" s="14"/>
      <c r="G233" s="43"/>
      <c r="H233" s="43"/>
      <c r="I233" s="43"/>
    </row>
    <row r="234" spans="1:9" ht="25.5" customHeight="1">
      <c r="A234" s="14"/>
      <c r="B234" s="15"/>
      <c r="C234" s="15"/>
      <c r="D234" s="14"/>
      <c r="E234" s="14"/>
      <c r="F234" s="14"/>
      <c r="G234" s="43"/>
      <c r="H234" s="43"/>
      <c r="I234" s="43"/>
    </row>
    <row r="235" spans="1:9" ht="25.5" customHeight="1">
      <c r="A235" s="14"/>
      <c r="B235" s="15"/>
      <c r="C235" s="15"/>
      <c r="D235" s="14"/>
      <c r="E235" s="14"/>
      <c r="F235" s="14"/>
      <c r="G235" s="43"/>
      <c r="H235" s="43"/>
      <c r="I235" s="43"/>
    </row>
    <row r="236" spans="1:9" ht="25.5" customHeight="1">
      <c r="A236" s="14"/>
      <c r="B236" s="15"/>
      <c r="C236" s="15"/>
      <c r="D236" s="14"/>
      <c r="E236" s="14"/>
      <c r="F236" s="14"/>
      <c r="G236" s="43"/>
      <c r="H236" s="43"/>
      <c r="I236" s="43"/>
    </row>
    <row r="237" spans="1:9" ht="25.5" customHeight="1">
      <c r="A237" s="14"/>
      <c r="B237" s="15"/>
      <c r="C237" s="15"/>
      <c r="D237" s="14"/>
      <c r="E237" s="14"/>
      <c r="F237" s="14"/>
      <c r="G237" s="43"/>
      <c r="H237" s="43"/>
      <c r="I237" s="43"/>
    </row>
    <row r="238" spans="1:9" ht="25.5" customHeight="1">
      <c r="A238" s="14"/>
      <c r="B238" s="15"/>
      <c r="C238" s="15"/>
      <c r="D238" s="14"/>
      <c r="E238" s="14"/>
      <c r="F238" s="14"/>
      <c r="G238" s="43"/>
      <c r="H238" s="43"/>
      <c r="I238" s="43"/>
    </row>
    <row r="239" spans="1:9" ht="25.5" customHeight="1">
      <c r="A239" s="14"/>
      <c r="B239" s="15"/>
      <c r="C239" s="15"/>
      <c r="D239" s="14"/>
      <c r="E239" s="14"/>
      <c r="F239" s="14"/>
      <c r="G239" s="43"/>
      <c r="H239" s="43"/>
      <c r="I239" s="43"/>
    </row>
    <row r="240" spans="1:9" ht="25.5" customHeight="1">
      <c r="A240" s="14"/>
      <c r="B240" s="15"/>
      <c r="C240" s="15"/>
      <c r="D240" s="14"/>
      <c r="E240" s="14"/>
      <c r="F240" s="14"/>
      <c r="G240" s="43"/>
      <c r="H240" s="43"/>
      <c r="I240" s="43"/>
    </row>
    <row r="241" spans="1:9" ht="25.5" customHeight="1">
      <c r="A241" s="14"/>
      <c r="B241" s="15"/>
      <c r="C241" s="15"/>
      <c r="D241" s="14"/>
      <c r="E241" s="14"/>
      <c r="F241" s="14"/>
      <c r="G241" s="43"/>
      <c r="H241" s="43"/>
      <c r="I241" s="43"/>
    </row>
    <row r="242" spans="1:9" ht="25.5" customHeight="1">
      <c r="A242" s="14"/>
      <c r="B242" s="15"/>
      <c r="C242" s="15"/>
      <c r="D242" s="14"/>
      <c r="E242" s="14"/>
      <c r="F242" s="14"/>
      <c r="G242" s="43"/>
      <c r="H242" s="43"/>
      <c r="I242" s="43"/>
    </row>
    <row r="243" spans="1:9" ht="25.5" customHeight="1">
      <c r="A243" s="14"/>
      <c r="B243" s="15"/>
      <c r="C243" s="15"/>
      <c r="D243" s="14"/>
      <c r="E243" s="14"/>
      <c r="F243" s="14"/>
      <c r="G243" s="43"/>
      <c r="H243" s="43"/>
      <c r="I243" s="43"/>
    </row>
    <row r="244" spans="1:9" ht="25.5" customHeight="1">
      <c r="A244" s="14"/>
      <c r="B244" s="15"/>
      <c r="C244" s="15"/>
      <c r="D244" s="14"/>
      <c r="E244" s="14"/>
      <c r="F244" s="14"/>
      <c r="G244" s="43"/>
      <c r="H244" s="43"/>
      <c r="I244" s="43"/>
    </row>
    <row r="245" spans="1:9" ht="25.5" customHeight="1">
      <c r="A245" s="14"/>
      <c r="B245" s="15"/>
      <c r="C245" s="15"/>
      <c r="D245" s="14"/>
      <c r="E245" s="14"/>
      <c r="F245" s="14"/>
      <c r="G245" s="43"/>
      <c r="H245" s="43"/>
      <c r="I245" s="43"/>
    </row>
    <row r="246" spans="1:9" ht="25.5" customHeight="1">
      <c r="A246" s="14"/>
      <c r="B246" s="15"/>
      <c r="C246" s="15"/>
      <c r="D246" s="14"/>
      <c r="E246" s="14"/>
      <c r="F246" s="14"/>
      <c r="G246" s="43"/>
      <c r="H246" s="43"/>
      <c r="I246" s="43"/>
    </row>
    <row r="247" spans="1:9" ht="25.5" customHeight="1">
      <c r="A247" s="14"/>
      <c r="B247" s="15"/>
      <c r="C247" s="15"/>
      <c r="D247" s="14"/>
      <c r="E247" s="14"/>
      <c r="F247" s="14"/>
      <c r="G247" s="43"/>
      <c r="H247" s="43"/>
      <c r="I247" s="43"/>
    </row>
    <row r="248" spans="1:9" ht="25.5" customHeight="1">
      <c r="A248" s="14"/>
      <c r="B248" s="15"/>
      <c r="C248" s="15"/>
      <c r="D248" s="14"/>
      <c r="E248" s="14"/>
      <c r="F248" s="14"/>
      <c r="G248" s="43"/>
      <c r="H248" s="43"/>
      <c r="I248" s="43"/>
    </row>
    <row r="249" spans="1:9" ht="25.5" customHeight="1">
      <c r="A249" s="14"/>
      <c r="B249" s="15"/>
      <c r="C249" s="15"/>
      <c r="D249" s="14"/>
      <c r="E249" s="14"/>
      <c r="F249" s="14"/>
      <c r="G249" s="43"/>
      <c r="H249" s="43"/>
      <c r="I249" s="43"/>
    </row>
    <row r="250" spans="1:9" ht="25.5" customHeight="1">
      <c r="A250" s="14"/>
      <c r="B250" s="15"/>
      <c r="C250" s="15"/>
      <c r="D250" s="14"/>
      <c r="E250" s="14"/>
      <c r="F250" s="14"/>
      <c r="G250" s="43"/>
      <c r="H250" s="43"/>
      <c r="I250" s="43"/>
    </row>
    <row r="251" spans="1:9" ht="25.5" customHeight="1">
      <c r="A251" s="14"/>
      <c r="B251" s="15"/>
      <c r="C251" s="15"/>
      <c r="D251" s="14"/>
      <c r="E251" s="14"/>
      <c r="F251" s="14"/>
      <c r="G251" s="43"/>
      <c r="H251" s="43"/>
      <c r="I251" s="43"/>
    </row>
    <row r="252" spans="1:9" ht="25.5" customHeight="1">
      <c r="A252" s="14"/>
      <c r="B252" s="15"/>
      <c r="C252" s="15"/>
      <c r="D252" s="14"/>
      <c r="E252" s="14"/>
      <c r="F252" s="14"/>
      <c r="G252" s="43"/>
      <c r="H252" s="43"/>
      <c r="I252" s="43"/>
    </row>
    <row r="253" spans="1:9" ht="25.5" customHeight="1">
      <c r="A253" s="14"/>
      <c r="B253" s="15"/>
      <c r="C253" s="15"/>
      <c r="D253" s="14"/>
      <c r="E253" s="14"/>
      <c r="F253" s="14"/>
      <c r="G253" s="43"/>
      <c r="H253" s="43"/>
      <c r="I253" s="43"/>
    </row>
    <row r="254" spans="1:9" ht="25.5" customHeight="1">
      <c r="A254" s="14"/>
      <c r="B254" s="15"/>
      <c r="C254" s="15"/>
      <c r="D254" s="14"/>
      <c r="E254" s="14"/>
      <c r="F254" s="14"/>
      <c r="G254" s="43"/>
      <c r="H254" s="43"/>
      <c r="I254" s="43"/>
    </row>
    <row r="255" spans="1:9" ht="25.5" customHeight="1">
      <c r="A255" s="14"/>
      <c r="B255" s="15"/>
      <c r="C255" s="15"/>
      <c r="D255" s="14"/>
      <c r="E255" s="14"/>
      <c r="F255" s="14"/>
      <c r="G255" s="43"/>
      <c r="H255" s="43"/>
      <c r="I255" s="43"/>
    </row>
    <row r="256" spans="1:9" ht="25.5" customHeight="1">
      <c r="A256" s="14"/>
      <c r="B256" s="15"/>
      <c r="C256" s="15"/>
      <c r="D256" s="14"/>
      <c r="E256" s="14"/>
      <c r="F256" s="14"/>
      <c r="G256" s="43"/>
      <c r="H256" s="43"/>
      <c r="I256" s="43"/>
    </row>
    <row r="257" spans="1:9" ht="25.5" customHeight="1">
      <c r="A257" s="14"/>
      <c r="B257" s="15"/>
      <c r="C257" s="15"/>
      <c r="D257" s="14"/>
      <c r="E257" s="14"/>
      <c r="F257" s="14"/>
      <c r="G257" s="43"/>
      <c r="H257" s="43"/>
      <c r="I257" s="43"/>
    </row>
    <row r="258" spans="1:9" ht="25.5" customHeight="1">
      <c r="A258" s="14"/>
      <c r="B258" s="15"/>
      <c r="C258" s="15"/>
      <c r="D258" s="14"/>
      <c r="E258" s="14"/>
      <c r="F258" s="14"/>
      <c r="G258" s="43"/>
      <c r="H258" s="43"/>
      <c r="I258" s="43"/>
    </row>
    <row r="259" spans="1:9" ht="25.5" customHeight="1">
      <c r="A259" s="14"/>
      <c r="B259" s="15"/>
      <c r="C259" s="15"/>
      <c r="D259" s="14"/>
      <c r="E259" s="14"/>
      <c r="F259" s="14"/>
      <c r="G259" s="43"/>
      <c r="H259" s="43"/>
      <c r="I259" s="43"/>
    </row>
    <row r="260" spans="1:9" ht="25.5" customHeight="1">
      <c r="A260" s="14"/>
      <c r="B260" s="15"/>
      <c r="C260" s="15"/>
      <c r="D260" s="14"/>
      <c r="E260" s="14"/>
      <c r="F260" s="14"/>
      <c r="G260" s="43"/>
      <c r="H260" s="43"/>
      <c r="I260" s="43"/>
    </row>
    <row r="261" spans="1:9" ht="25.5" customHeight="1">
      <c r="A261" s="14"/>
      <c r="B261" s="15"/>
      <c r="C261" s="15"/>
      <c r="D261" s="14"/>
      <c r="E261" s="14"/>
      <c r="F261" s="14"/>
      <c r="G261" s="43"/>
      <c r="H261" s="43"/>
      <c r="I261" s="43"/>
    </row>
    <row r="262" spans="1:9" ht="25.5" customHeight="1">
      <c r="A262" s="14"/>
      <c r="B262" s="15"/>
      <c r="C262" s="15"/>
      <c r="D262" s="14"/>
      <c r="E262" s="14"/>
      <c r="F262" s="14"/>
      <c r="G262" s="43"/>
      <c r="H262" s="43"/>
      <c r="I262" s="43"/>
    </row>
    <row r="263" spans="1:9" ht="25.5" customHeight="1">
      <c r="A263" s="14"/>
      <c r="B263" s="15"/>
      <c r="C263" s="15"/>
      <c r="D263" s="14"/>
      <c r="E263" s="14"/>
      <c r="F263" s="14"/>
      <c r="G263" s="43"/>
      <c r="H263" s="43"/>
      <c r="I263" s="43"/>
    </row>
    <row r="264" spans="1:9" ht="25.5" customHeight="1">
      <c r="A264" s="14"/>
      <c r="B264" s="15"/>
      <c r="C264" s="15"/>
      <c r="D264" s="14"/>
      <c r="E264" s="14"/>
      <c r="F264" s="14"/>
      <c r="G264" s="43"/>
      <c r="H264" s="43"/>
      <c r="I264" s="43"/>
    </row>
    <row r="265" spans="1:9" ht="25.5" customHeight="1">
      <c r="A265" s="14"/>
      <c r="B265" s="15"/>
      <c r="C265" s="15"/>
      <c r="D265" s="14"/>
      <c r="E265" s="14"/>
      <c r="F265" s="14"/>
      <c r="G265" s="43"/>
      <c r="H265" s="43"/>
      <c r="I265" s="43"/>
    </row>
    <row r="266" spans="1:9" ht="25.5" customHeight="1">
      <c r="A266" s="14"/>
      <c r="B266" s="15"/>
      <c r="C266" s="15"/>
      <c r="D266" s="14"/>
      <c r="E266" s="14"/>
      <c r="F266" s="14"/>
      <c r="G266" s="43"/>
      <c r="H266" s="43"/>
      <c r="I266" s="43"/>
    </row>
    <row r="267" spans="1:9" ht="25.5" customHeight="1">
      <c r="A267" s="14"/>
      <c r="B267" s="15"/>
      <c r="C267" s="15"/>
      <c r="D267" s="14"/>
      <c r="E267" s="14"/>
      <c r="F267" s="14"/>
      <c r="G267" s="43"/>
      <c r="H267" s="43"/>
      <c r="I267" s="43"/>
    </row>
    <row r="268" spans="1:9" ht="25.5" customHeight="1">
      <c r="A268" s="14"/>
      <c r="B268" s="15"/>
      <c r="C268" s="15"/>
      <c r="D268" s="14"/>
      <c r="E268" s="14"/>
      <c r="F268" s="14"/>
      <c r="G268" s="43"/>
      <c r="H268" s="43"/>
      <c r="I268" s="43"/>
    </row>
    <row r="269" spans="1:9" ht="25.5" customHeight="1">
      <c r="A269" s="14"/>
      <c r="B269" s="15"/>
      <c r="C269" s="15"/>
      <c r="D269" s="14"/>
      <c r="E269" s="14"/>
      <c r="F269" s="14"/>
      <c r="G269" s="43"/>
      <c r="H269" s="43"/>
      <c r="I269" s="43"/>
    </row>
    <row r="270" spans="1:9" ht="25.5" customHeight="1">
      <c r="A270" s="14"/>
      <c r="B270" s="15"/>
      <c r="C270" s="15"/>
      <c r="D270" s="14"/>
      <c r="E270" s="14"/>
      <c r="F270" s="14"/>
      <c r="G270" s="43"/>
      <c r="H270" s="43"/>
      <c r="I270" s="43"/>
    </row>
    <row r="271" spans="1:9" ht="25.5" customHeight="1">
      <c r="A271" s="14"/>
      <c r="B271" s="15"/>
      <c r="C271" s="15"/>
      <c r="D271" s="14"/>
      <c r="E271" s="14"/>
      <c r="F271" s="14"/>
      <c r="G271" s="43"/>
      <c r="H271" s="43"/>
      <c r="I271" s="43"/>
    </row>
    <row r="272" spans="1:9" ht="25.5" customHeight="1">
      <c r="A272" s="14"/>
      <c r="B272" s="15"/>
      <c r="C272" s="15"/>
      <c r="D272" s="14"/>
      <c r="E272" s="14"/>
      <c r="F272" s="14"/>
      <c r="G272" s="43"/>
      <c r="H272" s="43"/>
      <c r="I272" s="43"/>
    </row>
    <row r="273" spans="1:9" ht="25.5" customHeight="1">
      <c r="A273" s="14"/>
      <c r="B273" s="15"/>
      <c r="C273" s="15"/>
      <c r="D273" s="14"/>
      <c r="E273" s="14"/>
      <c r="F273" s="14"/>
      <c r="G273" s="43"/>
      <c r="H273" s="43"/>
      <c r="I273" s="43"/>
    </row>
    <row r="274" spans="1:9" ht="25.5" customHeight="1">
      <c r="A274" s="14"/>
      <c r="B274" s="15"/>
      <c r="C274" s="15"/>
      <c r="D274" s="14"/>
      <c r="E274" s="14"/>
      <c r="F274" s="14"/>
      <c r="G274" s="43"/>
      <c r="H274" s="43"/>
      <c r="I274" s="43"/>
    </row>
    <row r="275" spans="1:9" ht="25.5" customHeight="1">
      <c r="A275" s="14"/>
      <c r="B275" s="15"/>
      <c r="C275" s="15"/>
      <c r="D275" s="14"/>
      <c r="E275" s="14"/>
      <c r="F275" s="14"/>
      <c r="G275" s="43"/>
      <c r="H275" s="43"/>
      <c r="I275" s="43"/>
    </row>
    <row r="276" spans="1:9" ht="25.5" customHeight="1">
      <c r="A276" s="14"/>
      <c r="B276" s="15"/>
      <c r="C276" s="15"/>
      <c r="D276" s="14"/>
      <c r="E276" s="14"/>
      <c r="F276" s="14"/>
      <c r="G276" s="43"/>
      <c r="H276" s="43"/>
      <c r="I276" s="43"/>
    </row>
    <row r="277" spans="1:9" ht="25.5" customHeight="1">
      <c r="A277" s="14"/>
      <c r="B277" s="15"/>
      <c r="C277" s="15"/>
      <c r="D277" s="14"/>
      <c r="E277" s="14"/>
      <c r="F277" s="14"/>
      <c r="G277" s="43"/>
      <c r="H277" s="43"/>
      <c r="I277" s="43"/>
    </row>
    <row r="278" spans="1:9" ht="25.5" customHeight="1">
      <c r="A278" s="14"/>
      <c r="B278" s="15"/>
      <c r="C278" s="15"/>
      <c r="D278" s="14"/>
      <c r="E278" s="14"/>
      <c r="F278" s="14"/>
      <c r="G278" s="43"/>
      <c r="H278" s="43"/>
      <c r="I278" s="43"/>
    </row>
    <row r="279" spans="1:9" ht="25.5" customHeight="1">
      <c r="A279" s="14"/>
      <c r="B279" s="15"/>
      <c r="C279" s="15"/>
      <c r="D279" s="14"/>
      <c r="E279" s="14"/>
      <c r="F279" s="14"/>
      <c r="G279" s="43"/>
      <c r="H279" s="43"/>
      <c r="I279" s="43"/>
    </row>
    <row r="280" spans="1:9" ht="25.5" customHeight="1">
      <c r="A280" s="14"/>
      <c r="B280" s="15"/>
      <c r="C280" s="15"/>
      <c r="D280" s="14"/>
      <c r="E280" s="14"/>
      <c r="F280" s="14"/>
      <c r="G280" s="43"/>
      <c r="H280" s="43"/>
      <c r="I280" s="43"/>
    </row>
    <row r="281" spans="1:9" ht="25.5" customHeight="1">
      <c r="A281" s="14"/>
      <c r="B281" s="15"/>
      <c r="C281" s="15"/>
      <c r="D281" s="14"/>
      <c r="E281" s="14"/>
      <c r="F281" s="14"/>
      <c r="G281" s="43"/>
      <c r="H281" s="43"/>
      <c r="I281" s="43"/>
    </row>
    <row r="282" spans="1:9" ht="25.5" customHeight="1">
      <c r="A282" s="14"/>
      <c r="B282" s="15"/>
      <c r="C282" s="15"/>
      <c r="D282" s="14"/>
      <c r="E282" s="14"/>
      <c r="F282" s="14"/>
      <c r="G282" s="43"/>
      <c r="H282" s="43"/>
      <c r="I282" s="43"/>
    </row>
    <row r="283" spans="1:9" ht="25.5" customHeight="1">
      <c r="A283" s="14"/>
      <c r="B283" s="15"/>
      <c r="C283" s="15"/>
      <c r="D283" s="14"/>
      <c r="E283" s="14"/>
      <c r="F283" s="14"/>
      <c r="G283" s="43"/>
      <c r="H283" s="43"/>
      <c r="I283" s="43"/>
    </row>
    <row r="284" spans="1:9" ht="25.5" customHeight="1">
      <c r="A284" s="14"/>
      <c r="B284" s="15"/>
      <c r="C284" s="15"/>
      <c r="D284" s="14"/>
      <c r="E284" s="14"/>
      <c r="F284" s="14"/>
      <c r="G284" s="43"/>
      <c r="H284" s="43"/>
      <c r="I284" s="43"/>
    </row>
    <row r="285" spans="1:9" ht="25.5" customHeight="1">
      <c r="A285" s="14"/>
      <c r="B285" s="15"/>
      <c r="C285" s="15"/>
      <c r="D285" s="14"/>
      <c r="E285" s="14"/>
      <c r="F285" s="14"/>
      <c r="G285" s="43"/>
      <c r="H285" s="43"/>
      <c r="I285" s="43"/>
    </row>
    <row r="286" spans="1:9" ht="25.5" customHeight="1">
      <c r="A286" s="14"/>
      <c r="B286" s="15"/>
      <c r="C286" s="15"/>
      <c r="D286" s="14"/>
      <c r="E286" s="14"/>
      <c r="F286" s="14"/>
      <c r="G286" s="43"/>
      <c r="H286" s="43"/>
      <c r="I286" s="43"/>
    </row>
    <row r="287" spans="1:9" ht="25.5" customHeight="1">
      <c r="A287" s="14"/>
      <c r="B287" s="15"/>
      <c r="C287" s="15"/>
      <c r="D287" s="14"/>
      <c r="E287" s="14"/>
      <c r="F287" s="14"/>
      <c r="G287" s="43"/>
      <c r="H287" s="43"/>
      <c r="I287" s="43"/>
    </row>
    <row r="288" spans="1:9" ht="25.5" customHeight="1">
      <c r="A288" s="14"/>
      <c r="B288" s="15"/>
      <c r="C288" s="15"/>
      <c r="D288" s="14"/>
      <c r="E288" s="14"/>
      <c r="F288" s="14"/>
      <c r="G288" s="43"/>
      <c r="H288" s="43"/>
      <c r="I288" s="43"/>
    </row>
    <row r="289" spans="1:9" ht="25.5" customHeight="1">
      <c r="A289" s="14"/>
      <c r="B289" s="15"/>
      <c r="C289" s="15"/>
      <c r="D289" s="14"/>
      <c r="E289" s="14"/>
      <c r="F289" s="14"/>
      <c r="G289" s="43"/>
      <c r="H289" s="43"/>
      <c r="I289" s="43"/>
    </row>
    <row r="290" spans="1:9" ht="25.5" customHeight="1">
      <c r="A290" s="14"/>
      <c r="B290" s="15"/>
      <c r="C290" s="15"/>
      <c r="D290" s="14"/>
      <c r="E290" s="14"/>
      <c r="F290" s="14"/>
      <c r="G290" s="43"/>
      <c r="H290" s="43"/>
      <c r="I290" s="43"/>
    </row>
    <row r="291" spans="1:9" ht="25.5" customHeight="1">
      <c r="A291" s="14"/>
      <c r="B291" s="15"/>
      <c r="C291" s="15"/>
      <c r="D291" s="14"/>
      <c r="E291" s="14"/>
      <c r="F291" s="14"/>
      <c r="G291" s="43"/>
      <c r="H291" s="43"/>
      <c r="I291" s="43"/>
    </row>
    <row r="292" spans="1:9" ht="25.5" customHeight="1">
      <c r="A292" s="14"/>
      <c r="B292" s="15"/>
      <c r="C292" s="15"/>
      <c r="D292" s="14"/>
      <c r="E292" s="14"/>
      <c r="F292" s="14"/>
      <c r="G292" s="43"/>
      <c r="H292" s="43"/>
      <c r="I292" s="43"/>
    </row>
    <row r="293" spans="1:9" ht="25.5" customHeight="1">
      <c r="A293" s="14"/>
      <c r="B293" s="15"/>
      <c r="C293" s="15"/>
      <c r="D293" s="14"/>
      <c r="E293" s="14"/>
      <c r="F293" s="14"/>
      <c r="G293" s="43"/>
      <c r="H293" s="43"/>
      <c r="I293" s="43"/>
    </row>
    <row r="294" spans="1:9" ht="25.5" customHeight="1">
      <c r="A294" s="14"/>
      <c r="B294" s="15"/>
      <c r="C294" s="15"/>
      <c r="D294" s="14"/>
      <c r="E294" s="14"/>
      <c r="F294" s="14"/>
      <c r="G294" s="43"/>
      <c r="H294" s="43"/>
      <c r="I294" s="43"/>
    </row>
    <row r="295" spans="1:9" ht="25.5" customHeight="1">
      <c r="A295" s="14"/>
      <c r="B295" s="15"/>
      <c r="C295" s="15"/>
      <c r="D295" s="14"/>
      <c r="E295" s="14"/>
      <c r="F295" s="14"/>
      <c r="G295" s="43"/>
      <c r="H295" s="43"/>
      <c r="I295" s="43"/>
    </row>
    <row r="296" spans="1:9" ht="25.5" customHeight="1">
      <c r="A296" s="14"/>
      <c r="B296" s="15"/>
      <c r="C296" s="15"/>
      <c r="D296" s="14"/>
      <c r="E296" s="14"/>
      <c r="F296" s="14"/>
      <c r="G296" s="43"/>
      <c r="H296" s="43"/>
      <c r="I296" s="43"/>
    </row>
    <row r="297" spans="1:9" ht="25.5" customHeight="1">
      <c r="A297" s="14"/>
      <c r="B297" s="15"/>
      <c r="C297" s="15"/>
      <c r="D297" s="14"/>
      <c r="E297" s="14"/>
      <c r="F297" s="14"/>
      <c r="G297" s="43"/>
      <c r="H297" s="43"/>
      <c r="I297" s="43"/>
    </row>
    <row r="298" spans="1:9" ht="25.5" customHeight="1">
      <c r="A298" s="14"/>
      <c r="B298" s="15"/>
      <c r="C298" s="15"/>
      <c r="D298" s="14"/>
      <c r="E298" s="14"/>
      <c r="F298" s="14"/>
      <c r="G298" s="43"/>
      <c r="H298" s="43"/>
      <c r="I298" s="43"/>
    </row>
    <row r="299" spans="1:9" ht="25.5" customHeight="1">
      <c r="A299" s="14"/>
      <c r="B299" s="15"/>
      <c r="C299" s="15"/>
      <c r="D299" s="14"/>
      <c r="E299" s="14"/>
      <c r="F299" s="14"/>
      <c r="G299" s="43"/>
      <c r="H299" s="43"/>
      <c r="I299" s="43"/>
    </row>
    <row r="300" spans="1:9" ht="25.5" customHeight="1">
      <c r="A300" s="14"/>
      <c r="B300" s="15"/>
      <c r="C300" s="15"/>
      <c r="D300" s="14"/>
      <c r="E300" s="14"/>
      <c r="F300" s="14"/>
      <c r="G300" s="43"/>
      <c r="H300" s="43"/>
      <c r="I300" s="43"/>
    </row>
    <row r="301" spans="1:9" ht="25.5" customHeight="1">
      <c r="A301" s="14"/>
      <c r="B301" s="15"/>
      <c r="C301" s="15"/>
      <c r="D301" s="14"/>
      <c r="E301" s="14"/>
      <c r="F301" s="14"/>
      <c r="G301" s="43"/>
      <c r="H301" s="43"/>
      <c r="I301" s="43"/>
    </row>
    <row r="302" spans="1:9" ht="25.5" customHeight="1">
      <c r="A302" s="14"/>
      <c r="B302" s="15"/>
      <c r="C302" s="15"/>
      <c r="D302" s="14"/>
      <c r="E302" s="14"/>
      <c r="F302" s="14"/>
      <c r="G302" s="43"/>
      <c r="H302" s="43"/>
      <c r="I302" s="43"/>
    </row>
    <row r="303" spans="1:9" ht="25.5" customHeight="1">
      <c r="A303" s="14"/>
      <c r="B303" s="15"/>
      <c r="C303" s="15"/>
      <c r="D303" s="14"/>
      <c r="E303" s="14"/>
      <c r="F303" s="14"/>
      <c r="G303" s="43"/>
      <c r="H303" s="43"/>
      <c r="I303" s="43"/>
    </row>
    <row r="304" spans="1:9" ht="25.5" customHeight="1">
      <c r="A304" s="14"/>
      <c r="B304" s="15"/>
      <c r="C304" s="15"/>
      <c r="D304" s="14"/>
      <c r="E304" s="14"/>
      <c r="F304" s="14"/>
      <c r="G304" s="43"/>
      <c r="H304" s="43"/>
      <c r="I304" s="43"/>
    </row>
    <row r="305" spans="1:9" ht="25.5" customHeight="1">
      <c r="A305" s="14"/>
      <c r="B305" s="15"/>
      <c r="C305" s="15"/>
      <c r="D305" s="14"/>
      <c r="E305" s="14"/>
      <c r="F305" s="14"/>
      <c r="G305" s="43"/>
      <c r="H305" s="43"/>
      <c r="I305" s="43"/>
    </row>
    <row r="306" spans="1:9" ht="25.5" customHeight="1">
      <c r="A306" s="14"/>
      <c r="B306" s="15"/>
      <c r="C306" s="15"/>
      <c r="D306" s="14"/>
      <c r="E306" s="14"/>
      <c r="F306" s="14"/>
      <c r="G306" s="43"/>
      <c r="H306" s="43"/>
      <c r="I306" s="43"/>
    </row>
    <row r="307" spans="1:9" ht="25.5" customHeight="1">
      <c r="A307" s="14"/>
      <c r="B307" s="15"/>
      <c r="C307" s="15"/>
      <c r="D307" s="14"/>
      <c r="E307" s="14"/>
      <c r="F307" s="14"/>
      <c r="G307" s="43"/>
      <c r="H307" s="43"/>
      <c r="I307" s="43"/>
    </row>
  </sheetData>
  <autoFilter ref="B5:C5" xr:uid="{00000000-0009-0000-0000-000000000000}"/>
  <mergeCells count="5">
    <mergeCell ref="H37:K39"/>
    <mergeCell ref="A1:W1"/>
    <mergeCell ref="A2:W2"/>
    <mergeCell ref="A3:W3"/>
    <mergeCell ref="A35:F35"/>
  </mergeCells>
  <phoneticPr fontId="29" type="noConversion"/>
  <printOptions horizontalCentered="1" verticalCentered="1"/>
  <pageMargins left="3.937007874015748E-2" right="3.937007874015748E-2" top="0.39370078740157483" bottom="0.39370078740157483" header="0.31496062992125984" footer="0.11811023622047245"/>
  <pageSetup paperSize="9" scale="48" fitToHeight="0" orientation="landscape" r:id="rId1"/>
  <headerFooter alignWithMargins="0">
    <oddHeader xml:space="preserve">&amp;C&amp;"PT Bold Heading,غامق"&amp;14  </oddHeader>
    <oddFooter xml:space="preserve">&amp;C&amp;"MS Sans Serif,غامق"&amp;14                                                                                                         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5D7DF-D266-4E51-9FA6-5E0D5444CD51}">
  <dimension ref="A3:K18"/>
  <sheetViews>
    <sheetView rightToLeft="1" zoomScale="130" zoomScaleNormal="130" workbookViewId="0">
      <selection activeCell="F7" sqref="F7"/>
    </sheetView>
  </sheetViews>
  <sheetFormatPr defaultRowHeight="14.25"/>
  <cols>
    <col min="1" max="1" width="10.75" bestFit="1" customWidth="1"/>
    <col min="2" max="2" width="12.125" bestFit="1" customWidth="1"/>
    <col min="3" max="3" width="13.375" bestFit="1" customWidth="1"/>
    <col min="4" max="4" width="12.125" bestFit="1" customWidth="1"/>
    <col min="5" max="6" width="13.375" bestFit="1" customWidth="1"/>
    <col min="7" max="8" width="16.625" bestFit="1" customWidth="1"/>
    <col min="11" max="11" width="11.625" bestFit="1" customWidth="1"/>
  </cols>
  <sheetData>
    <row r="3" spans="1:11" ht="36" customHeight="1">
      <c r="A3" s="119" t="str">
        <f>Material!B1</f>
        <v>Aluminum Construction System Factory Co.</v>
      </c>
      <c r="B3" s="119"/>
      <c r="C3" s="119"/>
      <c r="D3" s="119"/>
      <c r="E3" s="119"/>
      <c r="F3" s="119"/>
      <c r="G3" s="119"/>
      <c r="H3" s="119"/>
    </row>
    <row r="4" spans="1:11" ht="36" customHeight="1">
      <c r="A4" s="119" t="s">
        <v>144</v>
      </c>
      <c r="B4" s="119"/>
      <c r="C4" s="119"/>
      <c r="D4" s="119"/>
      <c r="E4" s="119"/>
      <c r="F4" s="119"/>
      <c r="G4" s="119"/>
      <c r="H4" s="119"/>
    </row>
    <row r="5" spans="1:11" ht="30.75" customHeight="1">
      <c r="A5" s="130" t="str">
        <f>Material!B4</f>
        <v>من  00/00/2000  الي 31/00/2000</v>
      </c>
      <c r="B5" s="130"/>
      <c r="C5" s="130"/>
      <c r="D5" s="130"/>
      <c r="E5" s="130"/>
      <c r="F5" s="130"/>
      <c r="G5" s="130"/>
      <c r="H5" s="130"/>
    </row>
    <row r="6" spans="1:11" ht="28.5" customHeight="1">
      <c r="A6" s="52"/>
      <c r="B6" s="52" t="s">
        <v>68</v>
      </c>
      <c r="C6" s="53" t="s">
        <v>32</v>
      </c>
      <c r="D6" s="53" t="s">
        <v>6</v>
      </c>
      <c r="E6" s="53" t="s">
        <v>7</v>
      </c>
      <c r="F6" s="53" t="s">
        <v>66</v>
      </c>
      <c r="G6" s="52" t="s">
        <v>33</v>
      </c>
      <c r="H6" s="52" t="s">
        <v>67</v>
      </c>
    </row>
    <row r="7" spans="1:11" ht="21.75">
      <c r="A7" s="112">
        <v>1001</v>
      </c>
      <c r="B7" s="54">
        <f>Material!C12</f>
        <v>205</v>
      </c>
      <c r="C7" s="54">
        <v>4081.7034231308808</v>
      </c>
      <c r="D7" s="54">
        <v>168.0926026100903</v>
      </c>
      <c r="E7" s="54">
        <v>3138.3149916224593</v>
      </c>
      <c r="F7" s="54">
        <v>1871.4592101686269</v>
      </c>
      <c r="G7" s="54">
        <f>SUM(C7:F7)</f>
        <v>9259.5702275320582</v>
      </c>
      <c r="H7" s="56">
        <f>IF(G7&lt;&gt;0,G7/B7,0)</f>
        <v>45.168635256253943</v>
      </c>
    </row>
    <row r="8" spans="1:11" ht="21.75">
      <c r="A8" s="112">
        <v>1002</v>
      </c>
      <c r="B8" s="54">
        <f>Material!C13</f>
        <v>0</v>
      </c>
      <c r="C8" s="54">
        <v>0</v>
      </c>
      <c r="D8" s="54">
        <v>0</v>
      </c>
      <c r="E8" s="54">
        <v>0</v>
      </c>
      <c r="F8" s="54">
        <v>0</v>
      </c>
      <c r="G8" s="54">
        <f t="shared" ref="G8:G14" si="0">SUM(C8:F8)</f>
        <v>0</v>
      </c>
      <c r="H8" s="56">
        <f t="shared" ref="H8:H14" si="1">IF(G8&lt;&gt;0,G8/B8,0)</f>
        <v>0</v>
      </c>
    </row>
    <row r="9" spans="1:11" ht="21.75">
      <c r="A9" s="112">
        <v>1003</v>
      </c>
      <c r="B9" s="54">
        <f>Material!C14</f>
        <v>0</v>
      </c>
      <c r="C9" s="54">
        <v>0</v>
      </c>
      <c r="D9" s="54">
        <v>0</v>
      </c>
      <c r="E9" s="54">
        <v>0</v>
      </c>
      <c r="F9" s="54">
        <v>0</v>
      </c>
      <c r="G9" s="54">
        <f t="shared" si="0"/>
        <v>0</v>
      </c>
      <c r="H9" s="56">
        <f t="shared" si="1"/>
        <v>0</v>
      </c>
    </row>
    <row r="10" spans="1:11" ht="21.75">
      <c r="A10" s="112">
        <v>1004</v>
      </c>
      <c r="B10" s="54">
        <f>Material!C15</f>
        <v>0</v>
      </c>
      <c r="C10" s="54">
        <v>0</v>
      </c>
      <c r="D10" s="54">
        <v>0</v>
      </c>
      <c r="E10" s="54">
        <v>0</v>
      </c>
      <c r="F10" s="54">
        <v>0</v>
      </c>
      <c r="G10" s="54">
        <f t="shared" si="0"/>
        <v>0</v>
      </c>
      <c r="H10" s="56">
        <f t="shared" si="1"/>
        <v>0</v>
      </c>
    </row>
    <row r="11" spans="1:11" ht="21.75">
      <c r="A11" s="112">
        <v>1005</v>
      </c>
      <c r="B11" s="54">
        <f>Material!C16</f>
        <v>0</v>
      </c>
      <c r="C11" s="54">
        <v>0</v>
      </c>
      <c r="D11" s="54">
        <v>0</v>
      </c>
      <c r="E11" s="54">
        <v>0</v>
      </c>
      <c r="F11" s="54">
        <v>0</v>
      </c>
      <c r="G11" s="54">
        <f t="shared" si="0"/>
        <v>0</v>
      </c>
      <c r="H11" s="56">
        <f t="shared" si="1"/>
        <v>0</v>
      </c>
    </row>
    <row r="12" spans="1:11" ht="21.75">
      <c r="A12" s="112">
        <v>1006</v>
      </c>
      <c r="B12" s="54">
        <f>Material!C17</f>
        <v>0</v>
      </c>
      <c r="C12" s="54">
        <v>0</v>
      </c>
      <c r="D12" s="54">
        <v>0</v>
      </c>
      <c r="E12" s="54">
        <v>0</v>
      </c>
      <c r="F12" s="54">
        <v>0</v>
      </c>
      <c r="G12" s="54">
        <f t="shared" si="0"/>
        <v>0</v>
      </c>
      <c r="H12" s="56">
        <f t="shared" si="1"/>
        <v>0</v>
      </c>
    </row>
    <row r="13" spans="1:11" ht="21.75">
      <c r="A13" s="112">
        <v>1007</v>
      </c>
      <c r="B13" s="54">
        <f>Material!C18</f>
        <v>0</v>
      </c>
      <c r="C13" s="54">
        <v>0</v>
      </c>
      <c r="D13" s="54">
        <v>0</v>
      </c>
      <c r="E13" s="54">
        <v>0</v>
      </c>
      <c r="F13" s="54">
        <v>0</v>
      </c>
      <c r="G13" s="54">
        <f t="shared" si="0"/>
        <v>0</v>
      </c>
      <c r="H13" s="56">
        <f t="shared" si="1"/>
        <v>0</v>
      </c>
    </row>
    <row r="14" spans="1:11" ht="21.75">
      <c r="A14" s="112">
        <v>1008</v>
      </c>
      <c r="B14" s="54">
        <f>Material!C19</f>
        <v>0</v>
      </c>
      <c r="C14" s="54">
        <v>0</v>
      </c>
      <c r="D14" s="54">
        <v>0</v>
      </c>
      <c r="E14" s="54">
        <v>0</v>
      </c>
      <c r="F14" s="54">
        <v>0</v>
      </c>
      <c r="G14" s="54">
        <f t="shared" si="0"/>
        <v>0</v>
      </c>
      <c r="H14" s="56">
        <f t="shared" si="1"/>
        <v>0</v>
      </c>
    </row>
    <row r="15" spans="1:11" ht="24" customHeight="1">
      <c r="A15" s="52" t="s">
        <v>34</v>
      </c>
      <c r="B15" s="52">
        <f>SUM(B7:B14)</f>
        <v>205</v>
      </c>
      <c r="C15" s="53">
        <f>SUM(C7:C14)</f>
        <v>4081.7034231308808</v>
      </c>
      <c r="D15" s="53">
        <f>SUM(D7:D14)</f>
        <v>168.0926026100903</v>
      </c>
      <c r="E15" s="53">
        <f>SUM(E7:E14)</f>
        <v>3138.3149916224593</v>
      </c>
      <c r="F15" s="53">
        <f>SUM(F7:F14)</f>
        <v>1871.4592101686269</v>
      </c>
      <c r="G15" s="52">
        <f>SUM(C15:F15)</f>
        <v>9259.5702275320582</v>
      </c>
      <c r="H15" s="57">
        <f>SUM(H7:H14)/(COUNTA(H7:H14)-COUNTIF(H7:H14,0))</f>
        <v>45.168635256253943</v>
      </c>
      <c r="K15" s="85"/>
    </row>
    <row r="17" spans="2:6">
      <c r="B17" s="2" t="s">
        <v>35</v>
      </c>
      <c r="F17" t="s">
        <v>10</v>
      </c>
    </row>
    <row r="18" spans="2:6">
      <c r="B18" t="s">
        <v>62</v>
      </c>
      <c r="F18" t="s">
        <v>36</v>
      </c>
    </row>
  </sheetData>
  <mergeCells count="3">
    <mergeCell ref="A5:H5"/>
    <mergeCell ref="A4:H4"/>
    <mergeCell ref="A3:H3"/>
  </mergeCells>
  <printOptions horizontalCentered="1"/>
  <pageMargins left="0" right="0" top="1.3385826771653544" bottom="0.55118110236220474" header="0" footer="0.31496062992125984"/>
  <pageSetup paperSize="9" orientation="landscape" horizontalDpi="1200" verticalDpi="200" r:id="rId1"/>
  <headerFooter>
    <oddHeader>&amp;C&amp;G</oddHeader>
    <oddFooter xml:space="preserve">&amp;LBY:ahmed khalifa&amp;CPages &amp;N of &amp;P&amp;Rprint date:&amp;D  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0B0D-D095-47F8-A457-BD800F981498}">
  <dimension ref="A2:O21"/>
  <sheetViews>
    <sheetView rightToLeft="1" workbookViewId="0">
      <selection activeCell="K10" sqref="K10"/>
    </sheetView>
  </sheetViews>
  <sheetFormatPr defaultRowHeight="14.25"/>
  <cols>
    <col min="1" max="1" width="10.75" bestFit="1" customWidth="1"/>
    <col min="2" max="2" width="12.125" bestFit="1" customWidth="1"/>
    <col min="3" max="5" width="13.375" bestFit="1" customWidth="1"/>
    <col min="6" max="6" width="12.125" bestFit="1" customWidth="1"/>
    <col min="7" max="7" width="12.375" bestFit="1" customWidth="1"/>
    <col min="8" max="8" width="13.25" customWidth="1"/>
    <col min="9" max="9" width="12.125" customWidth="1"/>
    <col min="10" max="10" width="14.625" bestFit="1" customWidth="1"/>
    <col min="11" max="11" width="12.125" bestFit="1" customWidth="1"/>
    <col min="12" max="12" width="16.625" bestFit="1" customWidth="1"/>
    <col min="13" max="13" width="17.75" bestFit="1" customWidth="1"/>
    <col min="14" max="14" width="9.25" bestFit="1" customWidth="1"/>
  </cols>
  <sheetData>
    <row r="2" spans="1:15" ht="27.75">
      <c r="A2" s="119" t="str">
        <f>Material!B1</f>
        <v>Aluminum Construction System Factory Co.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</row>
    <row r="3" spans="1:15" ht="36" customHeight="1">
      <c r="A3" s="119" t="s">
        <v>30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</row>
    <row r="4" spans="1:15" ht="30.75" customHeight="1">
      <c r="A4" s="130" t="str">
        <f>Material!B4</f>
        <v>من  00/00/2000  الي 31/00/2000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</row>
    <row r="5" spans="1:15" ht="43.5">
      <c r="A5" s="52"/>
      <c r="B5" s="52" t="s">
        <v>31</v>
      </c>
      <c r="C5" s="55" t="s">
        <v>69</v>
      </c>
      <c r="D5" s="55" t="s">
        <v>70</v>
      </c>
      <c r="E5" s="55" t="s">
        <v>71</v>
      </c>
      <c r="F5" s="55" t="s">
        <v>72</v>
      </c>
      <c r="G5" s="53" t="s">
        <v>74</v>
      </c>
      <c r="H5" s="55" t="s">
        <v>73</v>
      </c>
      <c r="I5" s="55" t="s">
        <v>138</v>
      </c>
      <c r="J5" s="53" t="s">
        <v>75</v>
      </c>
      <c r="K5" s="53" t="s">
        <v>43</v>
      </c>
      <c r="L5" s="52" t="s">
        <v>33</v>
      </c>
      <c r="M5" s="52" t="s">
        <v>67</v>
      </c>
    </row>
    <row r="6" spans="1:15" ht="21.75">
      <c r="A6" s="112">
        <v>1001</v>
      </c>
      <c r="B6" s="54">
        <f>Material!C12</f>
        <v>205</v>
      </c>
      <c r="C6" s="54">
        <v>218.1887649444289</v>
      </c>
      <c r="D6" s="54">
        <v>2012.5579328305173</v>
      </c>
      <c r="E6" s="54">
        <v>33.618520522018059</v>
      </c>
      <c r="F6" s="54">
        <v>43.635777201264979</v>
      </c>
      <c r="G6" s="54">
        <v>120.99125933544951</v>
      </c>
      <c r="H6" s="54">
        <v>251.18651709222914</v>
      </c>
      <c r="I6" s="54">
        <v>21.591011962495958</v>
      </c>
      <c r="J6" s="54">
        <v>121.73393185064272</v>
      </c>
      <c r="K6" s="54"/>
      <c r="L6" s="54">
        <f>SUM(C6:K6)</f>
        <v>2823.503715739047</v>
      </c>
      <c r="M6" s="56">
        <f>IF(L6&lt;&gt;0,L6/B6,0)</f>
        <v>13.773188857263644</v>
      </c>
    </row>
    <row r="7" spans="1:15" ht="21.75">
      <c r="A7" s="112">
        <v>1002</v>
      </c>
      <c r="B7" s="54">
        <f>Material!C13</f>
        <v>0</v>
      </c>
      <c r="C7" s="54">
        <v>0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/>
      <c r="L7" s="54">
        <f t="shared" ref="L7:L13" si="0">SUM(C7:K7)</f>
        <v>0</v>
      </c>
      <c r="M7" s="56">
        <f t="shared" ref="M7:M13" si="1">IF(L7&lt;&gt;0,L7/B7,0)</f>
        <v>0</v>
      </c>
    </row>
    <row r="8" spans="1:15" ht="21.75">
      <c r="A8" s="112">
        <v>1003</v>
      </c>
      <c r="B8" s="54">
        <f>Material!C14</f>
        <v>0</v>
      </c>
      <c r="C8" s="54">
        <v>0</v>
      </c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/>
      <c r="L8" s="54">
        <f t="shared" si="0"/>
        <v>0</v>
      </c>
      <c r="M8" s="56">
        <f t="shared" si="1"/>
        <v>0</v>
      </c>
    </row>
    <row r="9" spans="1:15" ht="21.75">
      <c r="A9" s="112">
        <v>1004</v>
      </c>
      <c r="B9" s="54">
        <f>Material!C15</f>
        <v>0</v>
      </c>
      <c r="C9" s="54">
        <v>0</v>
      </c>
      <c r="D9" s="54">
        <v>0</v>
      </c>
      <c r="E9" s="54">
        <v>0</v>
      </c>
      <c r="F9" s="54">
        <v>0</v>
      </c>
      <c r="G9" s="54">
        <v>0</v>
      </c>
      <c r="H9" s="54">
        <v>0</v>
      </c>
      <c r="I9" s="54">
        <v>0</v>
      </c>
      <c r="J9" s="54">
        <v>0</v>
      </c>
      <c r="K9" s="54"/>
      <c r="L9" s="54">
        <f t="shared" si="0"/>
        <v>0</v>
      </c>
      <c r="M9" s="56">
        <f t="shared" si="1"/>
        <v>0</v>
      </c>
    </row>
    <row r="10" spans="1:15" ht="21.75">
      <c r="A10" s="112">
        <v>1005</v>
      </c>
      <c r="B10" s="54">
        <f>Material!C16</f>
        <v>0</v>
      </c>
      <c r="C10" s="54">
        <v>0</v>
      </c>
      <c r="D10" s="54">
        <v>0</v>
      </c>
      <c r="E10" s="54">
        <v>0</v>
      </c>
      <c r="F10" s="54">
        <v>0</v>
      </c>
      <c r="G10" s="54">
        <v>0</v>
      </c>
      <c r="H10" s="54">
        <v>0</v>
      </c>
      <c r="I10" s="54">
        <v>0</v>
      </c>
      <c r="J10" s="54">
        <v>0</v>
      </c>
      <c r="K10" s="54"/>
      <c r="L10" s="54">
        <f t="shared" si="0"/>
        <v>0</v>
      </c>
      <c r="M10" s="56">
        <f t="shared" si="1"/>
        <v>0</v>
      </c>
      <c r="O10" t="s">
        <v>46</v>
      </c>
    </row>
    <row r="11" spans="1:15" ht="21.75">
      <c r="A11" s="112">
        <v>1006</v>
      </c>
      <c r="B11" s="54">
        <f>Material!C17</f>
        <v>0</v>
      </c>
      <c r="C11" s="54">
        <v>0</v>
      </c>
      <c r="D11" s="54">
        <v>0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v>0</v>
      </c>
      <c r="K11" s="54"/>
      <c r="L11" s="54">
        <f t="shared" si="0"/>
        <v>0</v>
      </c>
      <c r="M11" s="56">
        <f t="shared" si="1"/>
        <v>0</v>
      </c>
    </row>
    <row r="12" spans="1:15" ht="21.75">
      <c r="A12" s="112">
        <v>1007</v>
      </c>
      <c r="B12" s="54">
        <f>Material!C18</f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/>
      <c r="L12" s="54">
        <f t="shared" si="0"/>
        <v>0</v>
      </c>
      <c r="M12" s="56">
        <f t="shared" si="1"/>
        <v>0</v>
      </c>
    </row>
    <row r="13" spans="1:15" ht="21.75">
      <c r="A13" s="112">
        <v>1008</v>
      </c>
      <c r="B13" s="54">
        <f>Material!C19</f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/>
      <c r="L13" s="54">
        <f t="shared" si="0"/>
        <v>0</v>
      </c>
      <c r="M13" s="56">
        <f t="shared" si="1"/>
        <v>0</v>
      </c>
    </row>
    <row r="14" spans="1:15" ht="24" customHeight="1">
      <c r="A14" s="52" t="s">
        <v>34</v>
      </c>
      <c r="B14" s="52">
        <f>SUM(B6:B13)</f>
        <v>205</v>
      </c>
      <c r="C14" s="53">
        <f>SUM(C6:C13)</f>
        <v>218.1887649444289</v>
      </c>
      <c r="D14" s="53">
        <f t="shared" ref="D14:H14" si="2">SUM(D6:D13)</f>
        <v>2012.5579328305173</v>
      </c>
      <c r="E14" s="53">
        <f t="shared" si="2"/>
        <v>33.618520522018059</v>
      </c>
      <c r="F14" s="53">
        <f t="shared" si="2"/>
        <v>43.635777201264979</v>
      </c>
      <c r="G14" s="53">
        <f>SUM(G6:G13)</f>
        <v>120.99125933544951</v>
      </c>
      <c r="H14" s="53">
        <f t="shared" si="2"/>
        <v>251.18651709222914</v>
      </c>
      <c r="I14" s="53">
        <f>SUM(I6:I13)</f>
        <v>21.591011962495958</v>
      </c>
      <c r="J14" s="53">
        <f>SUM(J6:J13)</f>
        <v>121.73393185064272</v>
      </c>
      <c r="K14" s="53">
        <f>SUM(K6:K13)</f>
        <v>0</v>
      </c>
      <c r="L14" s="52">
        <f>SUM(L6:L13)</f>
        <v>2823.503715739047</v>
      </c>
      <c r="M14" s="57">
        <f>SUM(M6:M13)/(COUNTA(M6:M13)-COUNTIF(M6:M13,0))</f>
        <v>13.773188857263644</v>
      </c>
    </row>
    <row r="15" spans="1:15">
      <c r="G15" s="81"/>
    </row>
    <row r="16" spans="1:15">
      <c r="B16" s="2" t="s">
        <v>35</v>
      </c>
      <c r="H16" t="s">
        <v>10</v>
      </c>
    </row>
    <row r="17" spans="2:12">
      <c r="B17" t="s">
        <v>62</v>
      </c>
      <c r="H17" t="s">
        <v>36</v>
      </c>
    </row>
    <row r="21" spans="2:12">
      <c r="L21" s="85">
        <f>L14+Machine!G15</f>
        <v>12083.073943271105</v>
      </c>
    </row>
  </sheetData>
  <mergeCells count="3">
    <mergeCell ref="A3:M3"/>
    <mergeCell ref="A4:M4"/>
    <mergeCell ref="A2:M2"/>
  </mergeCells>
  <printOptions horizontalCentered="1"/>
  <pageMargins left="0" right="0" top="1.3385826771653544" bottom="0.55118110236220474" header="0" footer="0.31496062992125984"/>
  <pageSetup paperSize="9" orientation="landscape" horizontalDpi="1200" verticalDpi="200" r:id="rId1"/>
  <headerFooter>
    <oddHeader>&amp;C&amp;G</oddHeader>
    <oddFooter xml:space="preserve">&amp;LBY:ahmed khalifa&amp;CPages &amp;N of &amp;P&amp;Rprint date:&amp;D  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A1BCF-2DA3-41C8-ABA0-F91054C3D25D}">
  <sheetPr>
    <pageSetUpPr fitToPage="1"/>
  </sheetPr>
  <dimension ref="A1:W29"/>
  <sheetViews>
    <sheetView rightToLeft="1" tabSelected="1" zoomScale="85" zoomScaleNormal="85" workbookViewId="0">
      <selection activeCell="G11" sqref="G11"/>
    </sheetView>
  </sheetViews>
  <sheetFormatPr defaultColWidth="9.125" defaultRowHeight="14.25"/>
  <cols>
    <col min="1" max="1" width="23.5" style="1" bestFit="1" customWidth="1"/>
    <col min="2" max="2" width="10.375" style="1" customWidth="1"/>
    <col min="3" max="3" width="11.125" style="2" customWidth="1"/>
    <col min="4" max="4" width="14" style="2" customWidth="1"/>
    <col min="5" max="5" width="10.375" style="2" customWidth="1"/>
    <col min="6" max="6" width="12.75" style="2" customWidth="1"/>
    <col min="7" max="7" width="10.375" style="2" customWidth="1"/>
    <col min="8" max="8" width="13.25" style="2" customWidth="1"/>
    <col min="9" max="9" width="10.375" style="2" customWidth="1"/>
    <col min="10" max="10" width="13" style="2" customWidth="1"/>
    <col min="11" max="11" width="11.75" style="2" customWidth="1"/>
    <col min="12" max="12" width="10.375" style="2" customWidth="1"/>
    <col min="13" max="13" width="13" style="2" customWidth="1"/>
    <col min="14" max="14" width="11.625" style="2" customWidth="1"/>
    <col min="15" max="15" width="14.125" style="2" customWidth="1"/>
    <col min="16" max="16" width="5.875" style="1" customWidth="1"/>
    <col min="17" max="17" width="15" style="1" bestFit="1" customWidth="1"/>
    <col min="18" max="18" width="12.25" style="1" bestFit="1" customWidth="1"/>
    <col min="19" max="19" width="15" style="1" bestFit="1" customWidth="1"/>
    <col min="20" max="20" width="16" style="1" bestFit="1" customWidth="1"/>
    <col min="21" max="21" width="17.75" style="1" bestFit="1" customWidth="1"/>
    <col min="22" max="22" width="9.125" style="1"/>
    <col min="23" max="23" width="16" style="1" bestFit="1" customWidth="1"/>
    <col min="24" max="16384" width="9.125" style="1"/>
  </cols>
  <sheetData>
    <row r="1" spans="1:23" ht="27.75" customHeight="1">
      <c r="A1" s="117" t="str">
        <f>Material!B1</f>
        <v>Aluminum Construction System Factory Co.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</row>
    <row r="2" spans="1:23" ht="27.75" customHeight="1">
      <c r="H2" s="3" t="s">
        <v>65</v>
      </c>
    </row>
    <row r="3" spans="1:23" ht="27.75" customHeight="1">
      <c r="H3" s="63" t="str">
        <f>Material!B4</f>
        <v>من  00/00/2000  الي 31/00/2000</v>
      </c>
    </row>
    <row r="4" spans="1:23" ht="29.25" customHeight="1">
      <c r="A4" s="131" t="s">
        <v>0</v>
      </c>
      <c r="B4" s="131" t="s">
        <v>143</v>
      </c>
      <c r="C4" s="136" t="s">
        <v>1</v>
      </c>
      <c r="D4" s="137"/>
      <c r="E4" s="136" t="s">
        <v>38</v>
      </c>
      <c r="F4" s="137"/>
      <c r="G4" s="136" t="s">
        <v>2</v>
      </c>
      <c r="H4" s="137"/>
      <c r="I4" s="136" t="s">
        <v>3</v>
      </c>
      <c r="J4" s="137"/>
      <c r="K4" s="131" t="s">
        <v>141</v>
      </c>
      <c r="L4" s="133" t="s">
        <v>4</v>
      </c>
      <c r="M4" s="134"/>
      <c r="N4" s="131" t="s">
        <v>145</v>
      </c>
      <c r="O4" s="131" t="s">
        <v>37</v>
      </c>
    </row>
    <row r="5" spans="1:23" ht="29.25" customHeight="1">
      <c r="A5" s="132"/>
      <c r="B5" s="132" t="s">
        <v>5</v>
      </c>
      <c r="C5" s="4" t="s">
        <v>142</v>
      </c>
      <c r="D5" s="4" t="s">
        <v>26</v>
      </c>
      <c r="E5" s="4" t="s">
        <v>142</v>
      </c>
      <c r="F5" s="4" t="s">
        <v>26</v>
      </c>
      <c r="G5" s="4" t="s">
        <v>142</v>
      </c>
      <c r="H5" s="4" t="s">
        <v>26</v>
      </c>
      <c r="I5" s="4" t="s">
        <v>142</v>
      </c>
      <c r="J5" s="4" t="s">
        <v>26</v>
      </c>
      <c r="K5" s="132"/>
      <c r="L5" s="4" t="s">
        <v>142</v>
      </c>
      <c r="M5" s="4" t="s">
        <v>26</v>
      </c>
      <c r="N5" s="135"/>
      <c r="O5" s="132"/>
      <c r="T5" s="1" t="s">
        <v>54</v>
      </c>
      <c r="U5" s="7">
        <v>1068326.42</v>
      </c>
      <c r="V5" s="1" t="s">
        <v>55</v>
      </c>
    </row>
    <row r="6" spans="1:23" ht="29.25" customHeight="1">
      <c r="A6" s="113" t="s">
        <v>157</v>
      </c>
      <c r="B6" s="138">
        <v>205</v>
      </c>
      <c r="C6" s="6">
        <f>Material!L12</f>
        <v>187.11207648780487</v>
      </c>
      <c r="D6" s="6">
        <f>C6*B6</f>
        <v>38357.975679999996</v>
      </c>
      <c r="E6" s="6">
        <f>IF(B6&lt;&gt;0,Manpower!$W$36,0)</f>
        <v>18.466012696652935</v>
      </c>
      <c r="F6" s="6">
        <f>E6*B6</f>
        <v>3785.5326028138516</v>
      </c>
      <c r="G6" s="6">
        <f>IF(B6&lt;&gt;0,Machine!H7,0)</f>
        <v>45.168635256253943</v>
      </c>
      <c r="H6" s="6">
        <f>G6*B6</f>
        <v>9259.5702275320582</v>
      </c>
      <c r="I6" s="6">
        <f>IF(B6&lt;&gt;0,Other!M6,0)</f>
        <v>13.773188857263644</v>
      </c>
      <c r="J6" s="6">
        <f>I6*B6</f>
        <v>2823.503715739047</v>
      </c>
      <c r="K6" s="6">
        <f>C6+E6+G6+I6</f>
        <v>264.51991329797539</v>
      </c>
      <c r="L6" s="5">
        <f>IF(K6&lt;&gt;0,K6*0.07,0)</f>
        <v>18.516393930858278</v>
      </c>
      <c r="M6" s="6">
        <f>L6*B6</f>
        <v>3795.8607558259469</v>
      </c>
      <c r="N6" s="6">
        <f>K6+L6</f>
        <v>283.03630722883366</v>
      </c>
      <c r="O6" s="5">
        <f>N6*B6</f>
        <v>58022.442981910899</v>
      </c>
      <c r="Q6" s="11">
        <f>IF(B6&lt;&gt;0,L6*B6,0)</f>
        <v>3795.8607558259469</v>
      </c>
      <c r="R6" s="7">
        <f>IF(B6&lt;&gt;0,T6/1.15,0)</f>
        <v>128.25844897959217</v>
      </c>
      <c r="S6" s="64">
        <f>IF(B6&lt;&gt;0,(R6-N6)/R6,0)</f>
        <v>-1.2067653981522024</v>
      </c>
      <c r="T6" s="11">
        <f>IF(B6&lt;&gt;0,147.497216326531,0)</f>
        <v>147.497216326531</v>
      </c>
      <c r="U6" s="84">
        <f>V6*R6</f>
        <v>62846.640000000167</v>
      </c>
      <c r="V6" s="1">
        <v>490</v>
      </c>
    </row>
    <row r="7" spans="1:23" ht="29.25" customHeight="1">
      <c r="A7" s="113"/>
      <c r="B7" s="138">
        <v>0</v>
      </c>
      <c r="C7" s="6">
        <f>Material!L13</f>
        <v>0</v>
      </c>
      <c r="D7" s="6">
        <f t="shared" ref="D7:D13" si="0">C7*B7</f>
        <v>0</v>
      </c>
      <c r="E7" s="6">
        <f>IF(B7&lt;&gt;0,Manpower!$W$36,0)</f>
        <v>0</v>
      </c>
      <c r="F7" s="6">
        <f t="shared" ref="F7:F13" si="1">E7*B7</f>
        <v>0</v>
      </c>
      <c r="G7" s="6">
        <f>IF(B7&lt;&gt;0,Machine!H8,0)</f>
        <v>0</v>
      </c>
      <c r="H7" s="6">
        <f t="shared" ref="H7:H13" si="2">G7*B7</f>
        <v>0</v>
      </c>
      <c r="I7" s="6">
        <f>IF(B7&lt;&gt;0,Other!M7,0)</f>
        <v>0</v>
      </c>
      <c r="J7" s="6">
        <f t="shared" ref="J7:J13" si="3">I7*B7</f>
        <v>0</v>
      </c>
      <c r="K7" s="6">
        <f t="shared" ref="K7:K13" si="4">C7+E7+G7+I7</f>
        <v>0</v>
      </c>
      <c r="L7" s="5">
        <f t="shared" ref="L7:L13" si="5">IF(K7&lt;&gt;0,K7*0.07,0)</f>
        <v>0</v>
      </c>
      <c r="M7" s="6">
        <f t="shared" ref="M7:M13" si="6">L7*B7</f>
        <v>0</v>
      </c>
      <c r="N7" s="6">
        <f t="shared" ref="N7:N13" si="7">K7+L7</f>
        <v>0</v>
      </c>
      <c r="O7" s="5">
        <f t="shared" ref="O7:O13" si="8">N7*B7</f>
        <v>0</v>
      </c>
      <c r="Q7" s="11">
        <f t="shared" ref="Q7:Q13" si="9">IF(B7&lt;&gt;0,L7*B7,0)</f>
        <v>0</v>
      </c>
      <c r="R7" s="7">
        <f t="shared" ref="R7:R13" si="10">IF(B7&lt;&gt;0,T7/1.15,0)</f>
        <v>0</v>
      </c>
      <c r="S7" s="64">
        <f t="shared" ref="S7:S13" si="11">IF(B7&lt;&gt;0,(R7-N7)/R7,0)</f>
        <v>0</v>
      </c>
      <c r="T7" s="11">
        <f>IF(B7&lt;&gt;0,171.464757682177,0)</f>
        <v>0</v>
      </c>
      <c r="U7" s="84">
        <f t="shared" ref="U7:U13" si="12">V7*R7</f>
        <v>0</v>
      </c>
      <c r="V7" s="1">
        <v>1139</v>
      </c>
    </row>
    <row r="8" spans="1:23" ht="29.25" customHeight="1">
      <c r="A8" s="113"/>
      <c r="B8" s="138">
        <v>0</v>
      </c>
      <c r="C8" s="6">
        <f>Material!L14</f>
        <v>0</v>
      </c>
      <c r="D8" s="6">
        <f t="shared" si="0"/>
        <v>0</v>
      </c>
      <c r="E8" s="6">
        <f>IF(B8&lt;&gt;0,Manpower!$W$36,0)</f>
        <v>0</v>
      </c>
      <c r="F8" s="6">
        <f t="shared" si="1"/>
        <v>0</v>
      </c>
      <c r="G8" s="6">
        <f>IF(B8&lt;&gt;0,Machine!H9,0)</f>
        <v>0</v>
      </c>
      <c r="H8" s="6">
        <f t="shared" si="2"/>
        <v>0</v>
      </c>
      <c r="I8" s="6">
        <f>IF(B8&lt;&gt;0,Other!M8,0)</f>
        <v>0</v>
      </c>
      <c r="J8" s="6">
        <f t="shared" si="3"/>
        <v>0</v>
      </c>
      <c r="K8" s="6">
        <f t="shared" si="4"/>
        <v>0</v>
      </c>
      <c r="L8" s="5">
        <f t="shared" si="5"/>
        <v>0</v>
      </c>
      <c r="M8" s="6">
        <f t="shared" si="6"/>
        <v>0</v>
      </c>
      <c r="N8" s="6">
        <f t="shared" si="7"/>
        <v>0</v>
      </c>
      <c r="O8" s="5">
        <f t="shared" si="8"/>
        <v>0</v>
      </c>
      <c r="Q8" s="11">
        <f t="shared" si="9"/>
        <v>0</v>
      </c>
      <c r="R8" s="7">
        <f t="shared" si="10"/>
        <v>0</v>
      </c>
      <c r="S8" s="64">
        <f t="shared" si="11"/>
        <v>0</v>
      </c>
      <c r="T8" s="11">
        <f>IF(B8&lt;&gt;0,166.911884009299,0)</f>
        <v>0</v>
      </c>
      <c r="U8" s="84">
        <f t="shared" si="12"/>
        <v>0</v>
      </c>
      <c r="V8" s="1">
        <v>1297</v>
      </c>
    </row>
    <row r="9" spans="1:23" ht="29.25" customHeight="1">
      <c r="A9" s="113"/>
      <c r="B9" s="138">
        <v>0</v>
      </c>
      <c r="C9" s="6">
        <f>Material!L15</f>
        <v>0</v>
      </c>
      <c r="D9" s="6">
        <f t="shared" si="0"/>
        <v>0</v>
      </c>
      <c r="E9" s="6">
        <f>IF(B9&lt;&gt;0,Manpower!$W$36,0)</f>
        <v>0</v>
      </c>
      <c r="F9" s="6">
        <f t="shared" si="1"/>
        <v>0</v>
      </c>
      <c r="G9" s="6">
        <f>IF(B9&lt;&gt;0,Machine!H10,0)</f>
        <v>0</v>
      </c>
      <c r="H9" s="6">
        <f t="shared" si="2"/>
        <v>0</v>
      </c>
      <c r="I9" s="6">
        <f>IF(B9&lt;&gt;0,Other!M9,0)</f>
        <v>0</v>
      </c>
      <c r="J9" s="6">
        <f t="shared" si="3"/>
        <v>0</v>
      </c>
      <c r="K9" s="6">
        <f t="shared" si="4"/>
        <v>0</v>
      </c>
      <c r="L9" s="5">
        <f t="shared" si="5"/>
        <v>0</v>
      </c>
      <c r="M9" s="6">
        <f t="shared" si="6"/>
        <v>0</v>
      </c>
      <c r="N9" s="6">
        <f t="shared" si="7"/>
        <v>0</v>
      </c>
      <c r="O9" s="5">
        <f t="shared" si="8"/>
        <v>0</v>
      </c>
      <c r="Q9" s="11">
        <f t="shared" si="9"/>
        <v>0</v>
      </c>
      <c r="R9" s="7">
        <f t="shared" si="10"/>
        <v>0</v>
      </c>
      <c r="S9" s="64">
        <f t="shared" si="11"/>
        <v>0</v>
      </c>
      <c r="T9" s="11">
        <f>IF(B9&lt;&gt;0,193.088709677419,0)</f>
        <v>0</v>
      </c>
      <c r="U9" s="84">
        <f t="shared" si="12"/>
        <v>0</v>
      </c>
      <c r="V9" s="1">
        <v>93</v>
      </c>
    </row>
    <row r="10" spans="1:23" ht="29.25" customHeight="1">
      <c r="A10" s="113"/>
      <c r="B10" s="138">
        <v>0</v>
      </c>
      <c r="C10" s="6">
        <f>Material!L16</f>
        <v>0</v>
      </c>
      <c r="D10" s="6">
        <f t="shared" si="0"/>
        <v>0</v>
      </c>
      <c r="E10" s="6">
        <f>IF(B10&lt;&gt;0,Manpower!$W$36,0)</f>
        <v>0</v>
      </c>
      <c r="F10" s="6">
        <f t="shared" si="1"/>
        <v>0</v>
      </c>
      <c r="G10" s="6">
        <f>IF(B10&lt;&gt;0,Machine!H11,0)</f>
        <v>0</v>
      </c>
      <c r="H10" s="6">
        <f t="shared" si="2"/>
        <v>0</v>
      </c>
      <c r="I10" s="6">
        <f>IF(B10&lt;&gt;0,Other!M10,0)</f>
        <v>0</v>
      </c>
      <c r="J10" s="6">
        <f t="shared" si="3"/>
        <v>0</v>
      </c>
      <c r="K10" s="6">
        <f t="shared" si="4"/>
        <v>0</v>
      </c>
      <c r="L10" s="5">
        <f t="shared" si="5"/>
        <v>0</v>
      </c>
      <c r="M10" s="6">
        <f t="shared" si="6"/>
        <v>0</v>
      </c>
      <c r="N10" s="6">
        <f t="shared" si="7"/>
        <v>0</v>
      </c>
      <c r="O10" s="5">
        <f t="shared" si="8"/>
        <v>0</v>
      </c>
      <c r="Q10" s="11">
        <f t="shared" si="9"/>
        <v>0</v>
      </c>
      <c r="R10" s="7">
        <f t="shared" si="10"/>
        <v>0</v>
      </c>
      <c r="S10" s="64">
        <f t="shared" si="11"/>
        <v>0</v>
      </c>
      <c r="T10" s="11">
        <f>IF(B10&lt;&gt;0,197.573842821782,0)</f>
        <v>0</v>
      </c>
      <c r="U10" s="84">
        <f t="shared" si="12"/>
        <v>0</v>
      </c>
      <c r="V10" s="1">
        <v>2834</v>
      </c>
    </row>
    <row r="11" spans="1:23" ht="29.25" customHeight="1">
      <c r="A11" s="113"/>
      <c r="B11" s="138">
        <v>0</v>
      </c>
      <c r="C11" s="6">
        <f>Material!L17</f>
        <v>0</v>
      </c>
      <c r="D11" s="6">
        <f t="shared" si="0"/>
        <v>0</v>
      </c>
      <c r="E11" s="6">
        <f>IF(B11&lt;&gt;0,Manpower!$W$36,0)</f>
        <v>0</v>
      </c>
      <c r="F11" s="6">
        <f t="shared" si="1"/>
        <v>0</v>
      </c>
      <c r="G11" s="6">
        <f>IF(B11&lt;&gt;0,Machine!H12,0)</f>
        <v>0</v>
      </c>
      <c r="H11" s="6">
        <f t="shared" si="2"/>
        <v>0</v>
      </c>
      <c r="I11" s="6">
        <f>IF(B11&lt;&gt;0,Other!M11,0)</f>
        <v>0</v>
      </c>
      <c r="J11" s="6">
        <f t="shared" si="3"/>
        <v>0</v>
      </c>
      <c r="K11" s="6">
        <f t="shared" si="4"/>
        <v>0</v>
      </c>
      <c r="L11" s="5">
        <f t="shared" si="5"/>
        <v>0</v>
      </c>
      <c r="M11" s="6">
        <f t="shared" si="6"/>
        <v>0</v>
      </c>
      <c r="N11" s="6">
        <f t="shared" si="7"/>
        <v>0</v>
      </c>
      <c r="O11" s="5">
        <f t="shared" si="8"/>
        <v>0</v>
      </c>
      <c r="Q11" s="11">
        <f t="shared" si="9"/>
        <v>0</v>
      </c>
      <c r="R11" s="7">
        <f t="shared" si="10"/>
        <v>0</v>
      </c>
      <c r="S11" s="64">
        <f t="shared" si="11"/>
        <v>0</v>
      </c>
      <c r="T11" s="11">
        <f>IF(B11&lt;&gt;0,203.489584573609,0)</f>
        <v>0</v>
      </c>
      <c r="U11" s="84">
        <f t="shared" si="12"/>
        <v>0</v>
      </c>
      <c r="V11" s="1">
        <v>802</v>
      </c>
    </row>
    <row r="12" spans="1:23" ht="29.25" customHeight="1">
      <c r="A12" s="113"/>
      <c r="B12" s="138">
        <v>0</v>
      </c>
      <c r="C12" s="6">
        <f>Material!L18</f>
        <v>0</v>
      </c>
      <c r="D12" s="6">
        <f t="shared" si="0"/>
        <v>0</v>
      </c>
      <c r="E12" s="6">
        <f>IF(B12&lt;&gt;0,Manpower!$W$36,0)</f>
        <v>0</v>
      </c>
      <c r="F12" s="6">
        <f t="shared" si="1"/>
        <v>0</v>
      </c>
      <c r="G12" s="6">
        <f>IF(B12&lt;&gt;0,Machine!H13,0)</f>
        <v>0</v>
      </c>
      <c r="H12" s="6">
        <f t="shared" si="2"/>
        <v>0</v>
      </c>
      <c r="I12" s="6">
        <f>IF(B12&lt;&gt;0,Other!M12,0)</f>
        <v>0</v>
      </c>
      <c r="J12" s="6">
        <f t="shared" si="3"/>
        <v>0</v>
      </c>
      <c r="K12" s="6">
        <f t="shared" si="4"/>
        <v>0</v>
      </c>
      <c r="L12" s="5">
        <f t="shared" si="5"/>
        <v>0</v>
      </c>
      <c r="M12" s="6">
        <f t="shared" si="6"/>
        <v>0</v>
      </c>
      <c r="N12" s="6">
        <f t="shared" si="7"/>
        <v>0</v>
      </c>
      <c r="O12" s="5">
        <f t="shared" si="8"/>
        <v>0</v>
      </c>
      <c r="Q12" s="11">
        <f t="shared" si="9"/>
        <v>0</v>
      </c>
      <c r="R12" s="7">
        <f t="shared" si="10"/>
        <v>0</v>
      </c>
      <c r="S12" s="64">
        <f t="shared" si="11"/>
        <v>0</v>
      </c>
      <c r="T12" s="11">
        <f>IF(B12&lt;&gt;0,178.25,0)</f>
        <v>0</v>
      </c>
      <c r="U12" s="84">
        <f t="shared" si="12"/>
        <v>0</v>
      </c>
      <c r="V12" s="1">
        <v>289</v>
      </c>
    </row>
    <row r="13" spans="1:23" ht="29.25" customHeight="1" thickBot="1">
      <c r="A13" s="114"/>
      <c r="B13" s="138">
        <v>0</v>
      </c>
      <c r="C13" s="95">
        <f>Material!L19</f>
        <v>0</v>
      </c>
      <c r="D13" s="95">
        <f t="shared" si="0"/>
        <v>0</v>
      </c>
      <c r="E13" s="95">
        <f>IF(B13&lt;&gt;0,Manpower!$W$36,0)</f>
        <v>0</v>
      </c>
      <c r="F13" s="95">
        <f t="shared" si="1"/>
        <v>0</v>
      </c>
      <c r="G13" s="95">
        <f>IF(B13&lt;&gt;0,Machine!H14,0)</f>
        <v>0</v>
      </c>
      <c r="H13" s="95">
        <f t="shared" si="2"/>
        <v>0</v>
      </c>
      <c r="I13" s="95">
        <f>IF(B13&lt;&gt;0,Other!M13,0)</f>
        <v>0</v>
      </c>
      <c r="J13" s="95">
        <f t="shared" si="3"/>
        <v>0</v>
      </c>
      <c r="K13" s="95">
        <f t="shared" si="4"/>
        <v>0</v>
      </c>
      <c r="L13" s="94">
        <f t="shared" si="5"/>
        <v>0</v>
      </c>
      <c r="M13" s="95">
        <f t="shared" si="6"/>
        <v>0</v>
      </c>
      <c r="N13" s="95">
        <f t="shared" si="7"/>
        <v>0</v>
      </c>
      <c r="O13" s="94">
        <f t="shared" si="8"/>
        <v>0</v>
      </c>
      <c r="Q13" s="11">
        <f t="shared" si="9"/>
        <v>0</v>
      </c>
      <c r="R13" s="7">
        <f t="shared" si="10"/>
        <v>0</v>
      </c>
      <c r="S13" s="64">
        <f t="shared" si="11"/>
        <v>0</v>
      </c>
      <c r="T13" s="11">
        <f>IF(B13&lt;&gt;0,241.0055,0)</f>
        <v>0</v>
      </c>
      <c r="U13" s="84">
        <f t="shared" si="12"/>
        <v>0</v>
      </c>
      <c r="V13" s="1">
        <v>30</v>
      </c>
    </row>
    <row r="14" spans="1:23" ht="29.25" customHeight="1" thickTop="1">
      <c r="A14" s="96" t="s">
        <v>8</v>
      </c>
      <c r="B14" s="139">
        <f>SUM(B6:B13)</f>
        <v>205</v>
      </c>
      <c r="C14" s="97">
        <f>SUM(C6:C13)/(COUNTA(C6:C13)-COUNTIF(C6:C13,0))</f>
        <v>187.11207648780487</v>
      </c>
      <c r="D14" s="97">
        <f>SUM(D6:D13)</f>
        <v>38357.975679999996</v>
      </c>
      <c r="E14" s="97">
        <f>SUM(E6:E13)/(COUNTA(E6:E13)-COUNTIF(E6:E13,0))</f>
        <v>18.466012696652935</v>
      </c>
      <c r="F14" s="97">
        <f>SUM(F6:F13)</f>
        <v>3785.5326028138516</v>
      </c>
      <c r="G14" s="97">
        <f>SUM(G6:G13)/(COUNTA(G6:G13)-COUNTIF(G6:G13,0))</f>
        <v>45.168635256253943</v>
      </c>
      <c r="H14" s="97">
        <f>SUM(H6:H13)</f>
        <v>9259.5702275320582</v>
      </c>
      <c r="I14" s="97">
        <f>SUM(I6:I13)/(COUNTA(I6:I13)-COUNTIF(I6:I13,0))</f>
        <v>13.773188857263644</v>
      </c>
      <c r="J14" s="97">
        <f>SUM(J6:J13)</f>
        <v>2823.503715739047</v>
      </c>
      <c r="K14" s="97">
        <f>SUM(K6:K13)/(COUNTA(K6:K13)-COUNTIF(K6:K13,0))</f>
        <v>264.51991329797539</v>
      </c>
      <c r="L14" s="97">
        <f>SUM(L6:L13)/(COUNTA(L6:L13)-COUNTIF(L6:L13,0))</f>
        <v>18.516393930858278</v>
      </c>
      <c r="M14" s="97">
        <f>SUM(M6:M13)</f>
        <v>3795.8607558259469</v>
      </c>
      <c r="N14" s="97">
        <f>SUM(N6:N13)/(COUNTA(N6:N13)-COUNTIF(N6:N13,0))</f>
        <v>283.03630722883366</v>
      </c>
      <c r="O14" s="98">
        <f>SUM(O6:O13)</f>
        <v>58022.442981910899</v>
      </c>
      <c r="Q14" s="7">
        <f>SUM(Q6:Q13)</f>
        <v>3795.8607558259469</v>
      </c>
      <c r="R14" s="11">
        <f>SUM(R6:R13)/(COUNTA(R6:R13)-COUNTIF(R6:R13,0))</f>
        <v>128.25844897959217</v>
      </c>
      <c r="S14" s="64">
        <f>SUM(S6:S13)/(COUNTA(S6:S13)-COUNTIF(S6:S13,0))</f>
        <v>-1.2067653981522024</v>
      </c>
      <c r="T14" s="11">
        <f>SUM(T6:T13)/(COUNTA(T6:T13)-COUNTIF(T6:T13,0))</f>
        <v>147.497216326531</v>
      </c>
      <c r="U14" s="84">
        <f>SUM(U6:U13)</f>
        <v>62846.640000000167</v>
      </c>
      <c r="W14" s="86">
        <v>481952.72</v>
      </c>
    </row>
    <row r="15" spans="1:23" ht="18.75" customHeight="1">
      <c r="A15" s="99" t="s">
        <v>40</v>
      </c>
      <c r="C15" s="100">
        <f>C14/N14</f>
        <v>0.66108860138754399</v>
      </c>
      <c r="E15" s="100">
        <f>E14/N14</f>
        <v>6.5242558021799096E-2</v>
      </c>
      <c r="G15" s="100">
        <f>G14/N14</f>
        <v>0.15958601106159603</v>
      </c>
      <c r="I15" s="100">
        <f>I14/N14</f>
        <v>4.8662268781397289E-2</v>
      </c>
      <c r="K15" s="100">
        <f>K14/N14</f>
        <v>0.93457943925233644</v>
      </c>
      <c r="L15" s="100">
        <f>L14/N14</f>
        <v>6.5420560747663559E-2</v>
      </c>
      <c r="N15" s="101" t="s">
        <v>56</v>
      </c>
      <c r="O15" s="102"/>
      <c r="P15" s="82">
        <f>O14/U5</f>
        <v>5.4311530535686749E-2</v>
      </c>
      <c r="U15" s="11">
        <f>U5-O14</f>
        <v>1010303.977018089</v>
      </c>
      <c r="W15" s="11">
        <f>W14-U14</f>
        <v>419106.07999999978</v>
      </c>
    </row>
    <row r="16" spans="1:23" ht="18.75" customHeight="1">
      <c r="A16" s="103"/>
      <c r="B16" s="104" t="s">
        <v>60</v>
      </c>
      <c r="K16" s="100">
        <f>1-(T14-K14)/T14</f>
        <v>1.7933891898839516</v>
      </c>
      <c r="L16" s="100">
        <f>L14/T14</f>
        <v>0.12553724329187663</v>
      </c>
      <c r="N16" s="101" t="s">
        <v>59</v>
      </c>
      <c r="O16" s="102"/>
      <c r="P16" s="83">
        <f>1-P15</f>
        <v>0.94568846946431329</v>
      </c>
      <c r="Q16" s="93"/>
      <c r="U16" s="64">
        <f>U15/U14</f>
        <v>16.075703920179127</v>
      </c>
      <c r="W16" s="87">
        <f>W15/T14</f>
        <v>2841.4507774314739</v>
      </c>
    </row>
    <row r="17" spans="1:23" ht="18.75" customHeight="1">
      <c r="A17" s="103"/>
      <c r="B17" s="104" t="s">
        <v>44</v>
      </c>
      <c r="N17" s="62" t="s">
        <v>57</v>
      </c>
      <c r="O17" s="102"/>
      <c r="P17" s="83">
        <f>P16-U22</f>
        <v>0.81525368685561761</v>
      </c>
      <c r="U17" s="11">
        <f>U5/115*100</f>
        <v>928979.49565217388</v>
      </c>
      <c r="W17" s="11">
        <f>100*T14</f>
        <v>14749.7216326531</v>
      </c>
    </row>
    <row r="18" spans="1:23" s="2" customFormat="1" ht="15">
      <c r="A18" s="103"/>
      <c r="B18" s="104" t="s">
        <v>61</v>
      </c>
      <c r="D18" s="8"/>
      <c r="E18" s="8"/>
      <c r="F18" s="105"/>
      <c r="G18" s="8"/>
      <c r="H18" s="8"/>
      <c r="I18" s="8"/>
      <c r="J18" s="8"/>
      <c r="K18" s="8"/>
      <c r="L18" s="8"/>
      <c r="M18" s="8"/>
      <c r="N18" s="62" t="s">
        <v>58</v>
      </c>
      <c r="O18" s="106"/>
      <c r="P18" s="1"/>
      <c r="Q18" s="1"/>
      <c r="R18" s="1"/>
      <c r="U18" s="12"/>
      <c r="W18" s="12"/>
    </row>
    <row r="19" spans="1:23" s="2" customFormat="1" ht="15">
      <c r="A19" s="103"/>
      <c r="B19" s="104"/>
      <c r="D19" s="8"/>
      <c r="E19" s="8"/>
      <c r="F19" s="105"/>
      <c r="G19" s="8"/>
      <c r="H19" s="8"/>
      <c r="I19" s="8"/>
      <c r="J19" s="8"/>
      <c r="K19" s="8"/>
      <c r="L19" s="8"/>
      <c r="M19" s="8"/>
      <c r="N19" s="8"/>
      <c r="O19" s="107"/>
      <c r="P19" s="1"/>
      <c r="Q19" s="1"/>
      <c r="R19" s="1"/>
      <c r="U19" s="12">
        <f>U17*0.15</f>
        <v>139346.92434782608</v>
      </c>
      <c r="W19" s="12">
        <f>W14-W17</f>
        <v>467202.99836734688</v>
      </c>
    </row>
    <row r="20" spans="1:23" s="2" customFormat="1" ht="15.75" thickBot="1">
      <c r="A20" s="108"/>
      <c r="B20" s="109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 t="s">
        <v>45</v>
      </c>
      <c r="N20" s="110"/>
      <c r="O20" s="111"/>
      <c r="P20" s="1"/>
      <c r="Q20" s="1"/>
      <c r="R20" s="1"/>
      <c r="U20" s="82"/>
      <c r="V20" s="88"/>
      <c r="W20" s="12"/>
    </row>
    <row r="21" spans="1:23" s="2" customFormat="1" ht="15.75" thickTop="1">
      <c r="A21" s="1"/>
      <c r="B21" s="1" t="s">
        <v>39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 t="s">
        <v>45</v>
      </c>
      <c r="N21" s="8"/>
      <c r="P21" s="1"/>
      <c r="Q21" s="1"/>
      <c r="R21" s="1"/>
      <c r="U21" s="82">
        <f>U19/U17</f>
        <v>0.15</v>
      </c>
      <c r="V21" s="88">
        <f>W21/W19</f>
        <v>0.87580892420495626</v>
      </c>
      <c r="W21" s="12">
        <f>W19-O14</f>
        <v>409180.55538543599</v>
      </c>
    </row>
    <row r="22" spans="1:23" s="2" customFormat="1" ht="15">
      <c r="A22" s="1"/>
      <c r="B22" s="1"/>
      <c r="C22" s="10" t="s">
        <v>62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P22" s="1"/>
      <c r="Q22" s="1"/>
      <c r="R22" s="1"/>
      <c r="U22" s="82">
        <f>U19/U5</f>
        <v>0.13043478260869565</v>
      </c>
    </row>
    <row r="23" spans="1:23" s="2" customFormat="1" ht="15">
      <c r="A23" s="1"/>
      <c r="B23" s="1"/>
      <c r="C23" s="10" t="s">
        <v>63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 t="s">
        <v>10</v>
      </c>
      <c r="P23" s="1"/>
      <c r="Q23" s="1"/>
      <c r="R23" s="1"/>
      <c r="U23" s="82">
        <f>W23/U5</f>
        <v>0.81525368685561761</v>
      </c>
      <c r="W23" s="12">
        <f>U5-O14-U19</f>
        <v>870957.05267026299</v>
      </c>
    </row>
    <row r="24" spans="1:23" s="2" customFormat="1" ht="15">
      <c r="A24" s="1"/>
      <c r="B24" s="1"/>
      <c r="C24" s="10" t="s">
        <v>64</v>
      </c>
      <c r="D24" s="8"/>
      <c r="E24" s="8"/>
      <c r="F24" s="8"/>
      <c r="G24" s="8"/>
      <c r="H24" s="8"/>
      <c r="I24" s="8"/>
      <c r="J24" s="8"/>
      <c r="K24" s="8"/>
      <c r="L24" s="8"/>
      <c r="M24" s="9"/>
      <c r="N24" s="9" t="s">
        <v>9</v>
      </c>
      <c r="P24" s="1"/>
      <c r="Q24" s="1"/>
      <c r="R24" s="1"/>
      <c r="S24" s="12">
        <f>B14/18*26</f>
        <v>296.11111111111114</v>
      </c>
      <c r="T24" s="12">
        <f>W23/18*26</f>
        <v>1258049.0760792687</v>
      </c>
    </row>
    <row r="25" spans="1:23" s="2" customFormat="1" ht="15">
      <c r="A25" s="1"/>
      <c r="B25" s="1"/>
      <c r="C25" s="8"/>
      <c r="D25" s="8"/>
      <c r="E25" s="8"/>
      <c r="F25" s="8"/>
      <c r="G25" s="8"/>
      <c r="H25" s="8"/>
      <c r="I25" s="8"/>
      <c r="J25" s="8"/>
      <c r="K25" s="8"/>
      <c r="L25" s="8"/>
      <c r="P25" s="1"/>
      <c r="Q25" s="1"/>
      <c r="R25" s="1"/>
      <c r="T25" s="12">
        <f>T24+Machine!E15+Other!H14+Other!J14+Manpower!L35+Manpower!M35+Manpower!N35</f>
        <v>1274712.2243986218</v>
      </c>
    </row>
    <row r="26" spans="1:23" s="2" customFormat="1" ht="15">
      <c r="A26" s="1"/>
      <c r="B26" s="1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P26" s="1"/>
      <c r="Q26" s="1"/>
      <c r="R26" s="1"/>
    </row>
    <row r="28" spans="1:23" ht="31.5" customHeight="1">
      <c r="D28" s="60">
        <f>Material!K20</f>
        <v>38357.975679999996</v>
      </c>
      <c r="F28" s="60">
        <f>Manpower!U36/26/350*B14</f>
        <v>0</v>
      </c>
      <c r="H28" s="60">
        <f>Machine!G15</f>
        <v>9259.5702275320582</v>
      </c>
      <c r="J28" s="60">
        <f>Other!L14</f>
        <v>2823.503715739047</v>
      </c>
      <c r="M28" s="61">
        <f>Q14</f>
        <v>3795.8607558259469</v>
      </c>
      <c r="O28" s="12">
        <f>D28+F28+H28+J28+M28</f>
        <v>54236.910379097048</v>
      </c>
    </row>
    <row r="29" spans="1:23">
      <c r="L29" s="62" t="s">
        <v>41</v>
      </c>
      <c r="M29" s="12">
        <f>M28/6*26</f>
        <v>16448.729941912436</v>
      </c>
    </row>
  </sheetData>
  <mergeCells count="11">
    <mergeCell ref="A1:O1"/>
    <mergeCell ref="A4:A5"/>
    <mergeCell ref="B4:B5"/>
    <mergeCell ref="L4:M4"/>
    <mergeCell ref="O4:O5"/>
    <mergeCell ref="N4:N5"/>
    <mergeCell ref="C4:D4"/>
    <mergeCell ref="E4:F4"/>
    <mergeCell ref="G4:H4"/>
    <mergeCell ref="I4:J4"/>
    <mergeCell ref="K4:K5"/>
  </mergeCells>
  <phoneticPr fontId="29" type="noConversion"/>
  <printOptions horizontalCentered="1"/>
  <pageMargins left="3.937007874015748E-2" right="3.937007874015748E-2" top="0.74803149606299213" bottom="0.74803149606299213" header="0.31496062992125984" footer="0.31496062992125984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Material</vt:lpstr>
      <vt:lpstr>Manpower</vt:lpstr>
      <vt:lpstr>Machine</vt:lpstr>
      <vt:lpstr>Other</vt:lpstr>
      <vt:lpstr>Industerial Costs</vt:lpstr>
      <vt:lpstr>'Industerial Costs'!Print_Area</vt:lpstr>
      <vt:lpstr>Machine!Print_Area</vt:lpstr>
      <vt:lpstr>Manpower!Print_Area</vt:lpstr>
      <vt:lpstr>Other!Print_Area</vt:lpstr>
      <vt:lpstr>Manpower!Print_Titles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Ahmed Abuouf</cp:lastModifiedBy>
  <cp:lastPrinted>2024-01-02T14:51:07Z</cp:lastPrinted>
  <dcterms:created xsi:type="dcterms:W3CDTF">2023-06-25T08:57:35Z</dcterms:created>
  <dcterms:modified xsi:type="dcterms:W3CDTF">2024-01-23T14:06:29Z</dcterms:modified>
</cp:coreProperties>
</file>