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updateLinks="never"/>
  <mc:AlternateContent xmlns:mc="http://schemas.openxmlformats.org/markup-compatibility/2006">
    <mc:Choice Requires="x15">
      <x15ac:absPath xmlns:x15ac="http://schemas.microsoft.com/office/spreadsheetml/2010/11/ac" url="D:\أدوات التحليل\"/>
    </mc:Choice>
  </mc:AlternateContent>
  <xr:revisionPtr revIDLastSave="0" documentId="13_ncr:1_{7D08D1F2-CBFC-47BA-AFA0-5C85E1908EBF}" xr6:coauthVersionLast="47" xr6:coauthVersionMax="47" xr10:uidLastSave="{00000000-0000-0000-0000-000000000000}"/>
  <bookViews>
    <workbookView xWindow="-108" yWindow="-108" windowWidth="23256" windowHeight="12576" tabRatio="920" activeTab="13" xr2:uid="{00000000-000D-0000-FFFF-FFFF00000000}"/>
  </bookViews>
  <sheets>
    <sheet name="Cover" sheetId="50" r:id="rId1"/>
    <sheet name="Contents" sheetId="8" r:id="rId2"/>
    <sheet name="Scenarios" sheetId="12" r:id="rId3"/>
    <sheet name="Support" sheetId="49" state="hidden" r:id="rId4"/>
    <sheet name="Inputs" sheetId="3" r:id="rId5"/>
    <sheet name="IS" sheetId="43" r:id="rId6"/>
    <sheet name="BS" sheetId="4" r:id="rId7"/>
    <sheet name="CF" sheetId="31" r:id="rId8"/>
    <sheet name="Highlights" sheetId="45" r:id="rId9"/>
    <sheet name="Assets Liability" sheetId="37" r:id="rId10"/>
    <sheet name="Revenue &amp; Costs" sheetId="32" r:id="rId11"/>
    <sheet name="Equity" sheetId="34" r:id="rId12"/>
    <sheet name="Financing" sheetId="40" r:id="rId13"/>
    <sheet name="Act IS" sheetId="9" r:id="rId14"/>
    <sheet name="Act BS" sheetId="10" r:id="rId15"/>
    <sheet name="Act CF" sheetId="11" r:id="rId16"/>
    <sheet name="Valuation &gt;" sheetId="51" r:id="rId17"/>
    <sheet name="Val - Income Approach" sheetId="52" r:id="rId18"/>
    <sheet name="WACC " sheetId="53" r:id="rId19"/>
    <sheet name="Valuation Summary" sheetId="69" r:id="rId20"/>
    <sheet name="Reporting Results" sheetId="71" r:id="rId21"/>
    <sheet name="Output" sheetId="60" r:id="rId22"/>
    <sheet name="Screening Enhanced" sheetId="59" r:id="rId23"/>
    <sheet name="Screening" sheetId="73" state="hidden" r:id="rId24"/>
    <sheet name="Aggregates" sheetId="74" state="hidden" r:id="rId25"/>
    <sheet name="Screen Criteria" sheetId="75" state="hidden"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___________z2" localSheetId="12" hidden="1">{"Sch00",#N/A,FALSE,"1";"Contents",#N/A,FALSE,"1"}</definedName>
    <definedName name="____________z2" localSheetId="8" hidden="1">{"Sch00",#N/A,FALSE,"1";"Contents",#N/A,FALSE,"1"}</definedName>
    <definedName name="____________z2" localSheetId="4" hidden="1">{"Sch00",#N/A,FALSE,"1";"Contents",#N/A,FALSE,"1"}</definedName>
    <definedName name="____________z2" localSheetId="2" hidden="1">{"Sch00",#N/A,FALSE,"1";"Contents",#N/A,FALSE,"1"}</definedName>
    <definedName name="____________z2" localSheetId="19" hidden="1">{"Sch00",#N/A,FALSE,"1";"Contents",#N/A,FALSE,"1"}</definedName>
    <definedName name="____________z2" hidden="1">{"Sch00",#N/A,FALSE,"1";"Contents",#N/A,FALSE,"1"}</definedName>
    <definedName name="____________z3" localSheetId="12" hidden="1">{"Sch01",#N/A,FALSE,"2";"Sch02",#N/A,FALSE,"2";"Sch03",#N/A,FALSE,"2";"Sch04",#N/A,FALSE,"2";"Sch05",#N/A,FALSE,"2";"Sch06",#N/A,FALSE,"2";"Sch17",#N/A,FALSE,"2";"Sch19",#N/A,FALSE,"2";"Sch20",#N/A,FALSE,"2";"Sch21",#N/A,FALSE,"2";"Sch26",#N/A,FALSE,"2"}</definedName>
    <definedName name="____________z3" localSheetId="8" hidden="1">{"Sch01",#N/A,FALSE,"2";"Sch02",#N/A,FALSE,"2";"Sch03",#N/A,FALSE,"2";"Sch04",#N/A,FALSE,"2";"Sch05",#N/A,FALSE,"2";"Sch06",#N/A,FALSE,"2";"Sch17",#N/A,FALSE,"2";"Sch19",#N/A,FALSE,"2";"Sch20",#N/A,FALSE,"2";"Sch21",#N/A,FALSE,"2";"Sch26",#N/A,FALSE,"2"}</definedName>
    <definedName name="____________z3" localSheetId="4" hidden="1">{"Sch01",#N/A,FALSE,"2";"Sch02",#N/A,FALSE,"2";"Sch03",#N/A,FALSE,"2";"Sch04",#N/A,FALSE,"2";"Sch05",#N/A,FALSE,"2";"Sch06",#N/A,FALSE,"2";"Sch17",#N/A,FALSE,"2";"Sch19",#N/A,FALSE,"2";"Sch20",#N/A,FALSE,"2";"Sch21",#N/A,FALSE,"2";"Sch26",#N/A,FALSE,"2"}</definedName>
    <definedName name="____________z3" localSheetId="2" hidden="1">{"Sch01",#N/A,FALSE,"2";"Sch02",#N/A,FALSE,"2";"Sch03",#N/A,FALSE,"2";"Sch04",#N/A,FALSE,"2";"Sch05",#N/A,FALSE,"2";"Sch06",#N/A,FALSE,"2";"Sch17",#N/A,FALSE,"2";"Sch19",#N/A,FALSE,"2";"Sch20",#N/A,FALSE,"2";"Sch21",#N/A,FALSE,"2";"Sch26",#N/A,FALSE,"2"}</definedName>
    <definedName name="____________z3" localSheetId="19" hidden="1">{"Sch01",#N/A,FALSE,"2";"Sch02",#N/A,FALSE,"2";"Sch03",#N/A,FALSE,"2";"Sch04",#N/A,FALSE,"2";"Sch05",#N/A,FALSE,"2";"Sch06",#N/A,FALSE,"2";"Sch17",#N/A,FALSE,"2";"Sch19",#N/A,FALSE,"2";"Sch20",#N/A,FALSE,"2";"Sch21",#N/A,FALSE,"2";"Sch26",#N/A,FALSE,"2"}</definedName>
    <definedName name="____________z3" hidden="1">{"Sch01",#N/A,FALSE,"2";"Sch02",#N/A,FALSE,"2";"Sch03",#N/A,FALSE,"2";"Sch04",#N/A,FALSE,"2";"Sch05",#N/A,FALSE,"2";"Sch06",#N/A,FALSE,"2";"Sch17",#N/A,FALSE,"2";"Sch19",#N/A,FALSE,"2";"Sch20",#N/A,FALSE,"2";"Sch21",#N/A,FALSE,"2";"Sch26",#N/A,FALSE,"2"}</definedName>
    <definedName name="__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2" localSheetId="12" hidden="1">{"Sch00",#N/A,FALSE,"1";"Contents",#N/A,FALSE,"1"}</definedName>
    <definedName name="___________z2" localSheetId="8" hidden="1">{"Sch00",#N/A,FALSE,"1";"Contents",#N/A,FALSE,"1"}</definedName>
    <definedName name="___________z2" localSheetId="4" hidden="1">{"Sch00",#N/A,FALSE,"1";"Contents",#N/A,FALSE,"1"}</definedName>
    <definedName name="___________z2" localSheetId="2" hidden="1">{"Sch00",#N/A,FALSE,"1";"Contents",#N/A,FALSE,"1"}</definedName>
    <definedName name="___________z2" localSheetId="19" hidden="1">{"Sch00",#N/A,FALSE,"1";"Contents",#N/A,FALSE,"1"}</definedName>
    <definedName name="___________z2" hidden="1">{"Sch00",#N/A,FALSE,"1";"Contents",#N/A,FALSE,"1"}</definedName>
    <definedName name="___________z3" localSheetId="12" hidden="1">{"Sch01",#N/A,FALSE,"2";"Sch02",#N/A,FALSE,"2";"Sch03",#N/A,FALSE,"2";"Sch04",#N/A,FALSE,"2";"Sch05",#N/A,FALSE,"2";"Sch06",#N/A,FALSE,"2";"Sch17",#N/A,FALSE,"2";"Sch19",#N/A,FALSE,"2";"Sch20",#N/A,FALSE,"2";"Sch21",#N/A,FALSE,"2";"Sch26",#N/A,FALSE,"2"}</definedName>
    <definedName name="___________z3" localSheetId="8" hidden="1">{"Sch01",#N/A,FALSE,"2";"Sch02",#N/A,FALSE,"2";"Sch03",#N/A,FALSE,"2";"Sch04",#N/A,FALSE,"2";"Sch05",#N/A,FALSE,"2";"Sch06",#N/A,FALSE,"2";"Sch17",#N/A,FALSE,"2";"Sch19",#N/A,FALSE,"2";"Sch20",#N/A,FALSE,"2";"Sch21",#N/A,FALSE,"2";"Sch26",#N/A,FALSE,"2"}</definedName>
    <definedName name="___________z3" localSheetId="4" hidden="1">{"Sch01",#N/A,FALSE,"2";"Sch02",#N/A,FALSE,"2";"Sch03",#N/A,FALSE,"2";"Sch04",#N/A,FALSE,"2";"Sch05",#N/A,FALSE,"2";"Sch06",#N/A,FALSE,"2";"Sch17",#N/A,FALSE,"2";"Sch19",#N/A,FALSE,"2";"Sch20",#N/A,FALSE,"2";"Sch21",#N/A,FALSE,"2";"Sch26",#N/A,FALSE,"2"}</definedName>
    <definedName name="___________z3" localSheetId="2" hidden="1">{"Sch01",#N/A,FALSE,"2";"Sch02",#N/A,FALSE,"2";"Sch03",#N/A,FALSE,"2";"Sch04",#N/A,FALSE,"2";"Sch05",#N/A,FALSE,"2";"Sch06",#N/A,FALSE,"2";"Sch17",#N/A,FALSE,"2";"Sch19",#N/A,FALSE,"2";"Sch20",#N/A,FALSE,"2";"Sch21",#N/A,FALSE,"2";"Sch26",#N/A,FALSE,"2"}</definedName>
    <definedName name="___________z3" localSheetId="19" hidden="1">{"Sch01",#N/A,FALSE,"2";"Sch02",#N/A,FALSE,"2";"Sch03",#N/A,FALSE,"2";"Sch04",#N/A,FALSE,"2";"Sch05",#N/A,FALSE,"2";"Sch06",#N/A,FALSE,"2";"Sch17",#N/A,FALSE,"2";"Sch19",#N/A,FALSE,"2";"Sch20",#N/A,FALSE,"2";"Sch21",#N/A,FALSE,"2";"Sch26",#N/A,FALSE,"2"}</definedName>
    <definedName name="___________z3" hidden="1">{"Sch01",#N/A,FALSE,"2";"Sch02",#N/A,FALSE,"2";"Sch03",#N/A,FALSE,"2";"Sch04",#N/A,FALSE,"2";"Sch05",#N/A,FALSE,"2";"Sch06",#N/A,FALSE,"2";"Sch17",#N/A,FALSE,"2";"Sch19",#N/A,FALSE,"2";"Sch20",#N/A,FALSE,"2";"Sch21",#N/A,FALSE,"2";"Sch26",#N/A,FALSE,"2"}</definedName>
    <definedName name="_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2" localSheetId="12" hidden="1">{"Sch00",#N/A,FALSE,"1";"Contents",#N/A,FALSE,"1"}</definedName>
    <definedName name="__________z2" localSheetId="8" hidden="1">{"Sch00",#N/A,FALSE,"1";"Contents",#N/A,FALSE,"1"}</definedName>
    <definedName name="__________z2" localSheetId="4" hidden="1">{"Sch00",#N/A,FALSE,"1";"Contents",#N/A,FALSE,"1"}</definedName>
    <definedName name="__________z2" localSheetId="2" hidden="1">{"Sch00",#N/A,FALSE,"1";"Contents",#N/A,FALSE,"1"}</definedName>
    <definedName name="__________z2" localSheetId="19" hidden="1">{"Sch00",#N/A,FALSE,"1";"Contents",#N/A,FALSE,"1"}</definedName>
    <definedName name="__________z2" hidden="1">{"Sch00",#N/A,FALSE,"1";"Contents",#N/A,FALSE,"1"}</definedName>
    <definedName name="__________z3" localSheetId="12" hidden="1">{"Sch01",#N/A,FALSE,"2";"Sch02",#N/A,FALSE,"2";"Sch03",#N/A,FALSE,"2";"Sch04",#N/A,FALSE,"2";"Sch05",#N/A,FALSE,"2";"Sch06",#N/A,FALSE,"2";"Sch17",#N/A,FALSE,"2";"Sch19",#N/A,FALSE,"2";"Sch20",#N/A,FALSE,"2";"Sch21",#N/A,FALSE,"2";"Sch26",#N/A,FALSE,"2"}</definedName>
    <definedName name="__________z3" localSheetId="8" hidden="1">{"Sch01",#N/A,FALSE,"2";"Sch02",#N/A,FALSE,"2";"Sch03",#N/A,FALSE,"2";"Sch04",#N/A,FALSE,"2";"Sch05",#N/A,FALSE,"2";"Sch06",#N/A,FALSE,"2";"Sch17",#N/A,FALSE,"2";"Sch19",#N/A,FALSE,"2";"Sch20",#N/A,FALSE,"2";"Sch21",#N/A,FALSE,"2";"Sch26",#N/A,FALSE,"2"}</definedName>
    <definedName name="__________z3" localSheetId="4" hidden="1">{"Sch01",#N/A,FALSE,"2";"Sch02",#N/A,FALSE,"2";"Sch03",#N/A,FALSE,"2";"Sch04",#N/A,FALSE,"2";"Sch05",#N/A,FALSE,"2";"Sch06",#N/A,FALSE,"2";"Sch17",#N/A,FALSE,"2";"Sch19",#N/A,FALSE,"2";"Sch20",#N/A,FALSE,"2";"Sch21",#N/A,FALSE,"2";"Sch26",#N/A,FALSE,"2"}</definedName>
    <definedName name="__________z3" localSheetId="2" hidden="1">{"Sch01",#N/A,FALSE,"2";"Sch02",#N/A,FALSE,"2";"Sch03",#N/A,FALSE,"2";"Sch04",#N/A,FALSE,"2";"Sch05",#N/A,FALSE,"2";"Sch06",#N/A,FALSE,"2";"Sch17",#N/A,FALSE,"2";"Sch19",#N/A,FALSE,"2";"Sch20",#N/A,FALSE,"2";"Sch21",#N/A,FALSE,"2";"Sch26",#N/A,FALSE,"2"}</definedName>
    <definedName name="__________z3" localSheetId="19" hidden="1">{"Sch01",#N/A,FALSE,"2";"Sch02",#N/A,FALSE,"2";"Sch03",#N/A,FALSE,"2";"Sch04",#N/A,FALSE,"2";"Sch05",#N/A,FALSE,"2";"Sch06",#N/A,FALSE,"2";"Sch17",#N/A,FALSE,"2";"Sch19",#N/A,FALSE,"2";"Sch20",#N/A,FALSE,"2";"Sch21",#N/A,FALSE,"2";"Sch26",#N/A,FALSE,"2"}</definedName>
    <definedName name="__________z3" hidden="1">{"Sch01",#N/A,FALSE,"2";"Sch02",#N/A,FALSE,"2";"Sch03",#N/A,FALSE,"2";"Sch04",#N/A,FALSE,"2";"Sch05",#N/A,FALSE,"2";"Sch06",#N/A,FALSE,"2";"Sch17",#N/A,FALSE,"2";"Sch19",#N/A,FALSE,"2";"Sch20",#N/A,FALSE,"2";"Sch21",#N/A,FALSE,"2";"Sch26",#N/A,FALSE,"2"}</definedName>
    <definedName name="_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2" localSheetId="12" hidden="1">{"Sch00",#N/A,FALSE,"1";"Contents",#N/A,FALSE,"1"}</definedName>
    <definedName name="_________z2" localSheetId="8" hidden="1">{"Sch00",#N/A,FALSE,"1";"Contents",#N/A,FALSE,"1"}</definedName>
    <definedName name="_________z2" localSheetId="4" hidden="1">{"Sch00",#N/A,FALSE,"1";"Contents",#N/A,FALSE,"1"}</definedName>
    <definedName name="_________z2" localSheetId="2" hidden="1">{"Sch00",#N/A,FALSE,"1";"Contents",#N/A,FALSE,"1"}</definedName>
    <definedName name="_________z2" localSheetId="19" hidden="1">{"Sch00",#N/A,FALSE,"1";"Contents",#N/A,FALSE,"1"}</definedName>
    <definedName name="_________z2" hidden="1">{"Sch00",#N/A,FALSE,"1";"Contents",#N/A,FALSE,"1"}</definedName>
    <definedName name="_________z3" localSheetId="12" hidden="1">{"Sch01",#N/A,FALSE,"2";"Sch02",#N/A,FALSE,"2";"Sch03",#N/A,FALSE,"2";"Sch04",#N/A,FALSE,"2";"Sch05",#N/A,FALSE,"2";"Sch06",#N/A,FALSE,"2";"Sch17",#N/A,FALSE,"2";"Sch19",#N/A,FALSE,"2";"Sch20",#N/A,FALSE,"2";"Sch21",#N/A,FALSE,"2";"Sch26",#N/A,FALSE,"2"}</definedName>
    <definedName name="_________z3" localSheetId="8" hidden="1">{"Sch01",#N/A,FALSE,"2";"Sch02",#N/A,FALSE,"2";"Sch03",#N/A,FALSE,"2";"Sch04",#N/A,FALSE,"2";"Sch05",#N/A,FALSE,"2";"Sch06",#N/A,FALSE,"2";"Sch17",#N/A,FALSE,"2";"Sch19",#N/A,FALSE,"2";"Sch20",#N/A,FALSE,"2";"Sch21",#N/A,FALSE,"2";"Sch26",#N/A,FALSE,"2"}</definedName>
    <definedName name="_________z3" localSheetId="4" hidden="1">{"Sch01",#N/A,FALSE,"2";"Sch02",#N/A,FALSE,"2";"Sch03",#N/A,FALSE,"2";"Sch04",#N/A,FALSE,"2";"Sch05",#N/A,FALSE,"2";"Sch06",#N/A,FALSE,"2";"Sch17",#N/A,FALSE,"2";"Sch19",#N/A,FALSE,"2";"Sch20",#N/A,FALSE,"2";"Sch21",#N/A,FALSE,"2";"Sch26",#N/A,FALSE,"2"}</definedName>
    <definedName name="_________z3" localSheetId="2" hidden="1">{"Sch01",#N/A,FALSE,"2";"Sch02",#N/A,FALSE,"2";"Sch03",#N/A,FALSE,"2";"Sch04",#N/A,FALSE,"2";"Sch05",#N/A,FALSE,"2";"Sch06",#N/A,FALSE,"2";"Sch17",#N/A,FALSE,"2";"Sch19",#N/A,FALSE,"2";"Sch20",#N/A,FALSE,"2";"Sch21",#N/A,FALSE,"2";"Sch26",#N/A,FALSE,"2"}</definedName>
    <definedName name="_________z3" localSheetId="19" hidden="1">{"Sch01",#N/A,FALSE,"2";"Sch02",#N/A,FALSE,"2";"Sch03",#N/A,FALSE,"2";"Sch04",#N/A,FALSE,"2";"Sch05",#N/A,FALSE,"2";"Sch06",#N/A,FALSE,"2";"Sch17",#N/A,FALSE,"2";"Sch19",#N/A,FALSE,"2";"Sch20",#N/A,FALSE,"2";"Sch21",#N/A,FALSE,"2";"Sch26",#N/A,FALSE,"2"}</definedName>
    <definedName name="_________z3" hidden="1">{"Sch01",#N/A,FALSE,"2";"Sch02",#N/A,FALSE,"2";"Sch03",#N/A,FALSE,"2";"Sch04",#N/A,FALSE,"2";"Sch05",#N/A,FALSE,"2";"Sch06",#N/A,FALSE,"2";"Sch17",#N/A,FALSE,"2";"Sch19",#N/A,FALSE,"2";"Sch20",#N/A,FALSE,"2";"Sch21",#N/A,FALSE,"2";"Sch26",#N/A,FALSE,"2"}</definedName>
    <definedName name="_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SDFDSAF" localSheetId="19" hidden="1">#REF!</definedName>
    <definedName name="________SDFDSAF" hidden="1">#REF!</definedName>
    <definedName name="________z2" localSheetId="12" hidden="1">{"Sch00",#N/A,FALSE,"1";"Contents",#N/A,FALSE,"1"}</definedName>
    <definedName name="________z2" localSheetId="8" hidden="1">{"Sch00",#N/A,FALSE,"1";"Contents",#N/A,FALSE,"1"}</definedName>
    <definedName name="________z2" localSheetId="4" hidden="1">{"Sch00",#N/A,FALSE,"1";"Contents",#N/A,FALSE,"1"}</definedName>
    <definedName name="________z2" localSheetId="2" hidden="1">{"Sch00",#N/A,FALSE,"1";"Contents",#N/A,FALSE,"1"}</definedName>
    <definedName name="________z2" localSheetId="19" hidden="1">{"Sch00",#N/A,FALSE,"1";"Contents",#N/A,FALSE,"1"}</definedName>
    <definedName name="________z2" hidden="1">{"Sch00",#N/A,FALSE,"1";"Contents",#N/A,FALSE,"1"}</definedName>
    <definedName name="________z3" localSheetId="12" hidden="1">{"Sch01",#N/A,FALSE,"2";"Sch02",#N/A,FALSE,"2";"Sch03",#N/A,FALSE,"2";"Sch04",#N/A,FALSE,"2";"Sch05",#N/A,FALSE,"2";"Sch06",#N/A,FALSE,"2";"Sch17",#N/A,FALSE,"2";"Sch19",#N/A,FALSE,"2";"Sch20",#N/A,FALSE,"2";"Sch21",#N/A,FALSE,"2";"Sch26",#N/A,FALSE,"2"}</definedName>
    <definedName name="________z3" localSheetId="8" hidden="1">{"Sch01",#N/A,FALSE,"2";"Sch02",#N/A,FALSE,"2";"Sch03",#N/A,FALSE,"2";"Sch04",#N/A,FALSE,"2";"Sch05",#N/A,FALSE,"2";"Sch06",#N/A,FALSE,"2";"Sch17",#N/A,FALSE,"2";"Sch19",#N/A,FALSE,"2";"Sch20",#N/A,FALSE,"2";"Sch21",#N/A,FALSE,"2";"Sch26",#N/A,FALSE,"2"}</definedName>
    <definedName name="________z3" localSheetId="4" hidden="1">{"Sch01",#N/A,FALSE,"2";"Sch02",#N/A,FALSE,"2";"Sch03",#N/A,FALSE,"2";"Sch04",#N/A,FALSE,"2";"Sch05",#N/A,FALSE,"2";"Sch06",#N/A,FALSE,"2";"Sch17",#N/A,FALSE,"2";"Sch19",#N/A,FALSE,"2";"Sch20",#N/A,FALSE,"2";"Sch21",#N/A,FALSE,"2";"Sch26",#N/A,FALSE,"2"}</definedName>
    <definedName name="________z3" localSheetId="2" hidden="1">{"Sch01",#N/A,FALSE,"2";"Sch02",#N/A,FALSE,"2";"Sch03",#N/A,FALSE,"2";"Sch04",#N/A,FALSE,"2";"Sch05",#N/A,FALSE,"2";"Sch06",#N/A,FALSE,"2";"Sch17",#N/A,FALSE,"2";"Sch19",#N/A,FALSE,"2";"Sch20",#N/A,FALSE,"2";"Sch21",#N/A,FALSE,"2";"Sch26",#N/A,FALSE,"2"}</definedName>
    <definedName name="________z3" localSheetId="19" hidden="1">{"Sch01",#N/A,FALSE,"2";"Sch02",#N/A,FALSE,"2";"Sch03",#N/A,FALSE,"2";"Sch04",#N/A,FALSE,"2";"Sch05",#N/A,FALSE,"2";"Sch06",#N/A,FALSE,"2";"Sch17",#N/A,FALSE,"2";"Sch19",#N/A,FALSE,"2";"Sch20",#N/A,FALSE,"2";"Sch21",#N/A,FALSE,"2";"Sch26",#N/A,FALSE,"2"}</definedName>
    <definedName name="________z3" hidden="1">{"Sch01",#N/A,FALSE,"2";"Sch02",#N/A,FALSE,"2";"Sch03",#N/A,FALSE,"2";"Sch04",#N/A,FALSE,"2";"Sch05",#N/A,FALSE,"2";"Sch06",#N/A,FALSE,"2";"Sch17",#N/A,FALSE,"2";"Sch19",#N/A,FALSE,"2";"Sch20",#N/A,FALSE,"2";"Sch21",#N/A,FALSE,"2";"Sch26",#N/A,FALSE,"2"}</definedName>
    <definedName name="_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2" localSheetId="12" hidden="1">{"Sch00",#N/A,FALSE,"1";"Contents",#N/A,FALSE,"1"}</definedName>
    <definedName name="_______z2" localSheetId="8" hidden="1">{"Sch00",#N/A,FALSE,"1";"Contents",#N/A,FALSE,"1"}</definedName>
    <definedName name="_______z2" localSheetId="4" hidden="1">{"Sch00",#N/A,FALSE,"1";"Contents",#N/A,FALSE,"1"}</definedName>
    <definedName name="_______z2" localSheetId="2" hidden="1">{"Sch00",#N/A,FALSE,"1";"Contents",#N/A,FALSE,"1"}</definedName>
    <definedName name="_______z2" localSheetId="19" hidden="1">{"Sch00",#N/A,FALSE,"1";"Contents",#N/A,FALSE,"1"}</definedName>
    <definedName name="_______z2" hidden="1">{"Sch00",#N/A,FALSE,"1";"Contents",#N/A,FALSE,"1"}</definedName>
    <definedName name="_______z3" localSheetId="12" hidden="1">{"Sch01",#N/A,FALSE,"2";"Sch02",#N/A,FALSE,"2";"Sch03",#N/A,FALSE,"2";"Sch04",#N/A,FALSE,"2";"Sch05",#N/A,FALSE,"2";"Sch06",#N/A,FALSE,"2";"Sch17",#N/A,FALSE,"2";"Sch19",#N/A,FALSE,"2";"Sch20",#N/A,FALSE,"2";"Sch21",#N/A,FALSE,"2";"Sch26",#N/A,FALSE,"2"}</definedName>
    <definedName name="_______z3" localSheetId="8" hidden="1">{"Sch01",#N/A,FALSE,"2";"Sch02",#N/A,FALSE,"2";"Sch03",#N/A,FALSE,"2";"Sch04",#N/A,FALSE,"2";"Sch05",#N/A,FALSE,"2";"Sch06",#N/A,FALSE,"2";"Sch17",#N/A,FALSE,"2";"Sch19",#N/A,FALSE,"2";"Sch20",#N/A,FALSE,"2";"Sch21",#N/A,FALSE,"2";"Sch26",#N/A,FALSE,"2"}</definedName>
    <definedName name="_______z3" localSheetId="4" hidden="1">{"Sch01",#N/A,FALSE,"2";"Sch02",#N/A,FALSE,"2";"Sch03",#N/A,FALSE,"2";"Sch04",#N/A,FALSE,"2";"Sch05",#N/A,FALSE,"2";"Sch06",#N/A,FALSE,"2";"Sch17",#N/A,FALSE,"2";"Sch19",#N/A,FALSE,"2";"Sch20",#N/A,FALSE,"2";"Sch21",#N/A,FALSE,"2";"Sch26",#N/A,FALSE,"2"}</definedName>
    <definedName name="_______z3" localSheetId="2" hidden="1">{"Sch01",#N/A,FALSE,"2";"Sch02",#N/A,FALSE,"2";"Sch03",#N/A,FALSE,"2";"Sch04",#N/A,FALSE,"2";"Sch05",#N/A,FALSE,"2";"Sch06",#N/A,FALSE,"2";"Sch17",#N/A,FALSE,"2";"Sch19",#N/A,FALSE,"2";"Sch20",#N/A,FALSE,"2";"Sch21",#N/A,FALSE,"2";"Sch26",#N/A,FALSE,"2"}</definedName>
    <definedName name="_______z3" localSheetId="19" hidden="1">{"Sch01",#N/A,FALSE,"2";"Sch02",#N/A,FALSE,"2";"Sch03",#N/A,FALSE,"2";"Sch04",#N/A,FALSE,"2";"Sch05",#N/A,FALSE,"2";"Sch06",#N/A,FALSE,"2";"Sch17",#N/A,FALSE,"2";"Sch19",#N/A,FALSE,"2";"Sch20",#N/A,FALSE,"2";"Sch21",#N/A,FALSE,"2";"Sch26",#N/A,FALSE,"2"}</definedName>
    <definedName name="_______z3" hidden="1">{"Sch01",#N/A,FALSE,"2";"Sch02",#N/A,FALSE,"2";"Sch03",#N/A,FALSE,"2";"Sch04",#N/A,FALSE,"2";"Sch05",#N/A,FALSE,"2";"Sch06",#N/A,FALSE,"2";"Sch17",#N/A,FALSE,"2";"Sch19",#N/A,FALSE,"2";"Sch20",#N/A,FALSE,"2";"Sch21",#N/A,FALSE,"2";"Sch26",#N/A,FALSE,"2"}</definedName>
    <definedName name="_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2" localSheetId="12" hidden="1">{"Sch00",#N/A,FALSE,"1";"Contents",#N/A,FALSE,"1"}</definedName>
    <definedName name="______z2" localSheetId="8" hidden="1">{"Sch00",#N/A,FALSE,"1";"Contents",#N/A,FALSE,"1"}</definedName>
    <definedName name="______z2" localSheetId="4" hidden="1">{"Sch00",#N/A,FALSE,"1";"Contents",#N/A,FALSE,"1"}</definedName>
    <definedName name="______z2" localSheetId="2" hidden="1">{"Sch00",#N/A,FALSE,"1";"Contents",#N/A,FALSE,"1"}</definedName>
    <definedName name="______z2" localSheetId="19" hidden="1">{"Sch00",#N/A,FALSE,"1";"Contents",#N/A,FALSE,"1"}</definedName>
    <definedName name="______z2" hidden="1">{"Sch00",#N/A,FALSE,"1";"Contents",#N/A,FALSE,"1"}</definedName>
    <definedName name="______z3" localSheetId="12" hidden="1">{"Sch01",#N/A,FALSE,"2";"Sch02",#N/A,FALSE,"2";"Sch03",#N/A,FALSE,"2";"Sch04",#N/A,FALSE,"2";"Sch05",#N/A,FALSE,"2";"Sch06",#N/A,FALSE,"2";"Sch17",#N/A,FALSE,"2";"Sch19",#N/A,FALSE,"2";"Sch20",#N/A,FALSE,"2";"Sch21",#N/A,FALSE,"2";"Sch26",#N/A,FALSE,"2"}</definedName>
    <definedName name="______z3" localSheetId="8" hidden="1">{"Sch01",#N/A,FALSE,"2";"Sch02",#N/A,FALSE,"2";"Sch03",#N/A,FALSE,"2";"Sch04",#N/A,FALSE,"2";"Sch05",#N/A,FALSE,"2";"Sch06",#N/A,FALSE,"2";"Sch17",#N/A,FALSE,"2";"Sch19",#N/A,FALSE,"2";"Sch20",#N/A,FALSE,"2";"Sch21",#N/A,FALSE,"2";"Sch26",#N/A,FALSE,"2"}</definedName>
    <definedName name="______z3" localSheetId="4" hidden="1">{"Sch01",#N/A,FALSE,"2";"Sch02",#N/A,FALSE,"2";"Sch03",#N/A,FALSE,"2";"Sch04",#N/A,FALSE,"2";"Sch05",#N/A,FALSE,"2";"Sch06",#N/A,FALSE,"2";"Sch17",#N/A,FALSE,"2";"Sch19",#N/A,FALSE,"2";"Sch20",#N/A,FALSE,"2";"Sch21",#N/A,FALSE,"2";"Sch26",#N/A,FALSE,"2"}</definedName>
    <definedName name="______z3" localSheetId="2" hidden="1">{"Sch01",#N/A,FALSE,"2";"Sch02",#N/A,FALSE,"2";"Sch03",#N/A,FALSE,"2";"Sch04",#N/A,FALSE,"2";"Sch05",#N/A,FALSE,"2";"Sch06",#N/A,FALSE,"2";"Sch17",#N/A,FALSE,"2";"Sch19",#N/A,FALSE,"2";"Sch20",#N/A,FALSE,"2";"Sch21",#N/A,FALSE,"2";"Sch26",#N/A,FALSE,"2"}</definedName>
    <definedName name="______z3" localSheetId="19" hidden="1">{"Sch01",#N/A,FALSE,"2";"Sch02",#N/A,FALSE,"2";"Sch03",#N/A,FALSE,"2";"Sch04",#N/A,FALSE,"2";"Sch05",#N/A,FALSE,"2";"Sch06",#N/A,FALSE,"2";"Sch17",#N/A,FALSE,"2";"Sch19",#N/A,FALSE,"2";"Sch20",#N/A,FALSE,"2";"Sch21",#N/A,FALSE,"2";"Sch26",#N/A,FALSE,"2"}</definedName>
    <definedName name="______z3" hidden="1">{"Sch01",#N/A,FALSE,"2";"Sch02",#N/A,FALSE,"2";"Sch03",#N/A,FALSE,"2";"Sch04",#N/A,FALSE,"2";"Sch05",#N/A,FALSE,"2";"Sch06",#N/A,FALSE,"2";"Sch17",#N/A,FALSE,"2";"Sch19",#N/A,FALSE,"2";"Sch20",#N/A,FALSE,"2";"Sch21",#N/A,FALSE,"2";"Sch26",#N/A,FALSE,"2"}</definedName>
    <definedName name="_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2" localSheetId="12" hidden="1">{"Sch00",#N/A,FALSE,"1";"Contents",#N/A,FALSE,"1"}</definedName>
    <definedName name="_____z2" localSheetId="8" hidden="1">{"Sch00",#N/A,FALSE,"1";"Contents",#N/A,FALSE,"1"}</definedName>
    <definedName name="_____z2" localSheetId="4" hidden="1">{"Sch00",#N/A,FALSE,"1";"Contents",#N/A,FALSE,"1"}</definedName>
    <definedName name="_____z2" localSheetId="2" hidden="1">{"Sch00",#N/A,FALSE,"1";"Contents",#N/A,FALSE,"1"}</definedName>
    <definedName name="_____z2" localSheetId="19" hidden="1">{"Sch00",#N/A,FALSE,"1";"Contents",#N/A,FALSE,"1"}</definedName>
    <definedName name="_____z2" hidden="1">{"Sch00",#N/A,FALSE,"1";"Contents",#N/A,FALSE,"1"}</definedName>
    <definedName name="_____z3" localSheetId="12" hidden="1">{"Sch01",#N/A,FALSE,"2";"Sch02",#N/A,FALSE,"2";"Sch03",#N/A,FALSE,"2";"Sch04",#N/A,FALSE,"2";"Sch05",#N/A,FALSE,"2";"Sch06",#N/A,FALSE,"2";"Sch17",#N/A,FALSE,"2";"Sch19",#N/A,FALSE,"2";"Sch20",#N/A,FALSE,"2";"Sch21",#N/A,FALSE,"2";"Sch26",#N/A,FALSE,"2"}</definedName>
    <definedName name="_____z3" localSheetId="8" hidden="1">{"Sch01",#N/A,FALSE,"2";"Sch02",#N/A,FALSE,"2";"Sch03",#N/A,FALSE,"2";"Sch04",#N/A,FALSE,"2";"Sch05",#N/A,FALSE,"2";"Sch06",#N/A,FALSE,"2";"Sch17",#N/A,FALSE,"2";"Sch19",#N/A,FALSE,"2";"Sch20",#N/A,FALSE,"2";"Sch21",#N/A,FALSE,"2";"Sch26",#N/A,FALSE,"2"}</definedName>
    <definedName name="_____z3" localSheetId="4" hidden="1">{"Sch01",#N/A,FALSE,"2";"Sch02",#N/A,FALSE,"2";"Sch03",#N/A,FALSE,"2";"Sch04",#N/A,FALSE,"2";"Sch05",#N/A,FALSE,"2";"Sch06",#N/A,FALSE,"2";"Sch17",#N/A,FALSE,"2";"Sch19",#N/A,FALSE,"2";"Sch20",#N/A,FALSE,"2";"Sch21",#N/A,FALSE,"2";"Sch26",#N/A,FALSE,"2"}</definedName>
    <definedName name="_____z3" localSheetId="2" hidden="1">{"Sch01",#N/A,FALSE,"2";"Sch02",#N/A,FALSE,"2";"Sch03",#N/A,FALSE,"2";"Sch04",#N/A,FALSE,"2";"Sch05",#N/A,FALSE,"2";"Sch06",#N/A,FALSE,"2";"Sch17",#N/A,FALSE,"2";"Sch19",#N/A,FALSE,"2";"Sch20",#N/A,FALSE,"2";"Sch21",#N/A,FALSE,"2";"Sch26",#N/A,FALSE,"2"}</definedName>
    <definedName name="_____z3" localSheetId="19" hidden="1">{"Sch01",#N/A,FALSE,"2";"Sch02",#N/A,FALSE,"2";"Sch03",#N/A,FALSE,"2";"Sch04",#N/A,FALSE,"2";"Sch05",#N/A,FALSE,"2";"Sch06",#N/A,FALSE,"2";"Sch17",#N/A,FALSE,"2";"Sch19",#N/A,FALSE,"2";"Sch20",#N/A,FALSE,"2";"Sch21",#N/A,FALSE,"2";"Sch26",#N/A,FALSE,"2"}</definedName>
    <definedName name="_____z3" hidden="1">{"Sch01",#N/A,FALSE,"2";"Sch02",#N/A,FALSE,"2";"Sch03",#N/A,FALSE,"2";"Sch04",#N/A,FALSE,"2";"Sch05",#N/A,FALSE,"2";"Sch06",#N/A,FALSE,"2";"Sch17",#N/A,FALSE,"2";"Sch19",#N/A,FALSE,"2";"Sch20",#N/A,FALSE,"2";"Sch21",#N/A,FALSE,"2";"Sch26",#N/A,FALSE,"2"}</definedName>
    <definedName name="_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2" localSheetId="12" hidden="1">{"Sch00",#N/A,FALSE,"1";"Contents",#N/A,FALSE,"1"}</definedName>
    <definedName name="____z2" localSheetId="8" hidden="1">{"Sch00",#N/A,FALSE,"1";"Contents",#N/A,FALSE,"1"}</definedName>
    <definedName name="____z2" localSheetId="4" hidden="1">{"Sch00",#N/A,FALSE,"1";"Contents",#N/A,FALSE,"1"}</definedName>
    <definedName name="____z2" localSheetId="2" hidden="1">{"Sch00",#N/A,FALSE,"1";"Contents",#N/A,FALSE,"1"}</definedName>
    <definedName name="____z2" localSheetId="19" hidden="1">{"Sch00",#N/A,FALSE,"1";"Contents",#N/A,FALSE,"1"}</definedName>
    <definedName name="____z2" hidden="1">{"Sch00",#N/A,FALSE,"1";"Contents",#N/A,FALSE,"1"}</definedName>
    <definedName name="____z3" localSheetId="12" hidden="1">{"Sch01",#N/A,FALSE,"2";"Sch02",#N/A,FALSE,"2";"Sch03",#N/A,FALSE,"2";"Sch04",#N/A,FALSE,"2";"Sch05",#N/A,FALSE,"2";"Sch06",#N/A,FALSE,"2";"Sch17",#N/A,FALSE,"2";"Sch19",#N/A,FALSE,"2";"Sch20",#N/A,FALSE,"2";"Sch21",#N/A,FALSE,"2";"Sch26",#N/A,FALSE,"2"}</definedName>
    <definedName name="____z3" localSheetId="8" hidden="1">{"Sch01",#N/A,FALSE,"2";"Sch02",#N/A,FALSE,"2";"Sch03",#N/A,FALSE,"2";"Sch04",#N/A,FALSE,"2";"Sch05",#N/A,FALSE,"2";"Sch06",#N/A,FALSE,"2";"Sch17",#N/A,FALSE,"2";"Sch19",#N/A,FALSE,"2";"Sch20",#N/A,FALSE,"2";"Sch21",#N/A,FALSE,"2";"Sch26",#N/A,FALSE,"2"}</definedName>
    <definedName name="____z3" localSheetId="4" hidden="1">{"Sch01",#N/A,FALSE,"2";"Sch02",#N/A,FALSE,"2";"Sch03",#N/A,FALSE,"2";"Sch04",#N/A,FALSE,"2";"Sch05",#N/A,FALSE,"2";"Sch06",#N/A,FALSE,"2";"Sch17",#N/A,FALSE,"2";"Sch19",#N/A,FALSE,"2";"Sch20",#N/A,FALSE,"2";"Sch21",#N/A,FALSE,"2";"Sch26",#N/A,FALSE,"2"}</definedName>
    <definedName name="____z3" localSheetId="2" hidden="1">{"Sch01",#N/A,FALSE,"2";"Sch02",#N/A,FALSE,"2";"Sch03",#N/A,FALSE,"2";"Sch04",#N/A,FALSE,"2";"Sch05",#N/A,FALSE,"2";"Sch06",#N/A,FALSE,"2";"Sch17",#N/A,FALSE,"2";"Sch19",#N/A,FALSE,"2";"Sch20",#N/A,FALSE,"2";"Sch21",#N/A,FALSE,"2";"Sch26",#N/A,FALSE,"2"}</definedName>
    <definedName name="____z3" localSheetId="19" hidden="1">{"Sch01",#N/A,FALSE,"2";"Sch02",#N/A,FALSE,"2";"Sch03",#N/A,FALSE,"2";"Sch04",#N/A,FALSE,"2";"Sch05",#N/A,FALSE,"2";"Sch06",#N/A,FALSE,"2";"Sch17",#N/A,FALSE,"2";"Sch19",#N/A,FALSE,"2";"Sch20",#N/A,FALSE,"2";"Sch21",#N/A,FALSE,"2";"Sch26",#N/A,FALSE,"2"}</definedName>
    <definedName name="____z3" hidden="1">{"Sch01",#N/A,FALSE,"2";"Sch02",#N/A,FALSE,"2";"Sch03",#N/A,FALSE,"2";"Sch04",#N/A,FALSE,"2";"Sch05",#N/A,FALSE,"2";"Sch06",#N/A,FALSE,"2";"Sch17",#N/A,FALSE,"2";"Sch19",#N/A,FALSE,"2";"Sch20",#N/A,FALSE,"2";"Sch21",#N/A,FALSE,"2";"Sch26",#N/A,FALSE,"2"}</definedName>
    <definedName name="_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thinkcell_7CqcidpVEGRQ21eYCYfyg" localSheetId="19" hidden="1">#REF!</definedName>
    <definedName name="___thinkcell_7CqcidpVEGRQ21eYCYfyg" hidden="1">#REF!</definedName>
    <definedName name="___thinkcell0hD7xbYLW06IF7dekxdn6Q" localSheetId="19" hidden="1">#REF!</definedName>
    <definedName name="___thinkcell0hD7xbYLW06IF7dekxdn6Q" hidden="1">#REF!</definedName>
    <definedName name="___thinkcell0ox7.hZwzEKZPkMwgwCyWA" localSheetId="19" hidden="1">#REF!</definedName>
    <definedName name="___thinkcell0ox7.hZwzEKZPkMwgwCyWA" hidden="1">#REF!</definedName>
    <definedName name="___thinkcell77yGVXQRJU6SRiBBi3dhhw" localSheetId="19" hidden="1">#REF!</definedName>
    <definedName name="___thinkcell77yGVXQRJU6SRiBBi3dhhw" hidden="1">#REF!</definedName>
    <definedName name="___thinkcell8ilNEevYR0qOgbmZubbuRQ" localSheetId="19" hidden="1">#REF!</definedName>
    <definedName name="___thinkcell8ilNEevYR0qOgbmZubbuRQ" hidden="1">#REF!</definedName>
    <definedName name="___thinkcell9JByt4CxvEKxLF81q.Q8Ag" localSheetId="19" hidden="1">#REF!</definedName>
    <definedName name="___thinkcell9JByt4CxvEKxLF81q.Q8Ag" hidden="1">#REF!</definedName>
    <definedName name="___thinkcella7.38pENxECvf7tpZZXC0w" localSheetId="19" hidden="1">#REF!</definedName>
    <definedName name="___thinkcella7.38pENxECvf7tpZZXC0w" hidden="1">#REF!</definedName>
    <definedName name="___thinkcellaeqrbAkmQkO1.Yx8JUNmng" localSheetId="19" hidden="1">#REF!</definedName>
    <definedName name="___thinkcellaeqrbAkmQkO1.Yx8JUNmng" hidden="1">#REF!</definedName>
    <definedName name="___thinkcellAF8RgJfJ9kmRnUFp9vK7eQ" localSheetId="19" hidden="1">#REF!</definedName>
    <definedName name="___thinkcellAF8RgJfJ9kmRnUFp9vK7eQ" hidden="1">#REF!</definedName>
    <definedName name="___thinkcellBwj8t9uAKEejaKJwnHePjQ" localSheetId="19" hidden="1">#REF!</definedName>
    <definedName name="___thinkcellBwj8t9uAKEejaKJwnHePjQ" hidden="1">#REF!</definedName>
    <definedName name="___thinkcellcBS0ttsvkUyaSHb2O8_exg" localSheetId="19" hidden="1">#REF!</definedName>
    <definedName name="___thinkcellcBS0ttsvkUyaSHb2O8_exg" hidden="1">#REF!</definedName>
    <definedName name="___thinkcelldmNvcooebkq7e.S6oUDizg" localSheetId="19" hidden="1">#REF!</definedName>
    <definedName name="___thinkcelldmNvcooebkq7e.S6oUDizg" hidden="1">#REF!</definedName>
    <definedName name="___thinkcellGLHWd.gwFUesIhQBQscunw" localSheetId="19" hidden="1">#REF!</definedName>
    <definedName name="___thinkcellGLHWd.gwFUesIhQBQscunw" hidden="1">#REF!</definedName>
    <definedName name="___thinkcellGoepe3dJJU.3WmkaZtDBhw" localSheetId="19" hidden="1">#REF!</definedName>
    <definedName name="___thinkcellGoepe3dJJU.3WmkaZtDBhw" hidden="1">#REF!</definedName>
    <definedName name="___thinkcelliya3Er87ykSYaTnJM16nWw" localSheetId="19" hidden="1">#REF!</definedName>
    <definedName name="___thinkcelliya3Er87ykSYaTnJM16nWw" hidden="1">#REF!</definedName>
    <definedName name="___thinkcellk8iJyq0nCkGmgqdV9LiNIg" localSheetId="19" hidden="1">#REF!</definedName>
    <definedName name="___thinkcellk8iJyq0nCkGmgqdV9LiNIg" hidden="1">#REF!</definedName>
    <definedName name="___thinkcellkGTzu6EgZ0OpCltfO0_7lQ" localSheetId="19" hidden="1">#REF!</definedName>
    <definedName name="___thinkcellkGTzu6EgZ0OpCltfO0_7lQ" hidden="1">#REF!</definedName>
    <definedName name="___thinkcellKY1Pq6fky0uvbNjaijwPKw" localSheetId="19" hidden="1">#REF!</definedName>
    <definedName name="___thinkcellKY1Pq6fky0uvbNjaijwPKw" hidden="1">#REF!</definedName>
    <definedName name="___thinkcelllR2UW5NS4EqsIJz6JiMsEQ" localSheetId="19" hidden="1">#REF!</definedName>
    <definedName name="___thinkcelllR2UW5NS4EqsIJz6JiMsEQ" hidden="1">#REF!</definedName>
    <definedName name="___thinkcellMMfkhrR4TUeEIQOZkQG_vg" localSheetId="19" hidden="1">#REF!</definedName>
    <definedName name="___thinkcellMMfkhrR4TUeEIQOZkQG_vg" hidden="1">#REF!</definedName>
    <definedName name="___thinkcellP0bwBhtR50ep08VUYUnRTQ" localSheetId="19" hidden="1">#REF!</definedName>
    <definedName name="___thinkcellP0bwBhtR50ep08VUYUnRTQ" hidden="1">#REF!</definedName>
    <definedName name="___thinkcellQ3tDNQ1jDUSgSlDQMHgBcQ" localSheetId="19" hidden="1">#REF!</definedName>
    <definedName name="___thinkcellQ3tDNQ1jDUSgSlDQMHgBcQ" hidden="1">#REF!</definedName>
    <definedName name="___thinkcellRt3t1SgJjUGL03gdRvVKhA" localSheetId="19" hidden="1">#REF!</definedName>
    <definedName name="___thinkcellRt3t1SgJjUGL03gdRvVKhA" hidden="1">#REF!</definedName>
    <definedName name="___thinkcelltSui1c8Px06dpnuIeXe2YA" localSheetId="19" hidden="1">#REF!</definedName>
    <definedName name="___thinkcelltSui1c8Px06dpnuIeXe2YA" hidden="1">#REF!</definedName>
    <definedName name="___thinkcellutnQYMXkvk6cl9yhjBgdJQ" localSheetId="19" hidden="1">#REF!</definedName>
    <definedName name="___thinkcellutnQYMXkvk6cl9yhjBgdJQ" hidden="1">#REF!</definedName>
    <definedName name="___thinkcellwaX.hEm4dUWRTynXu9WAqQ" localSheetId="19" hidden="1">#REF!</definedName>
    <definedName name="___thinkcellwaX.hEm4dUWRTynXu9WAqQ" hidden="1">#REF!</definedName>
    <definedName name="___thinkcellyM5gSwyoykCQGkLt_tPRtg" localSheetId="19" hidden="1">#REF!</definedName>
    <definedName name="___thinkcellyM5gSwyoykCQGkLt_tPRtg" hidden="1">#REF!</definedName>
    <definedName name="___thinkcellZFAiNPRpgkSzdcr0e7YcUg" localSheetId="19" hidden="1">#REF!</definedName>
    <definedName name="___thinkcellZFAiNPRpgkSzdcr0e7YcUg" hidden="1">#REF!</definedName>
    <definedName name="___thinkcellZKHKgcfvLUu96RSP9U0eZQ" localSheetId="19" hidden="1">#REF!</definedName>
    <definedName name="___thinkcellZKHKgcfvLUu96RSP9U0eZQ" hidden="1">#REF!</definedName>
    <definedName name="___z2" localSheetId="12" hidden="1">{"Sch00",#N/A,FALSE,"1";"Contents",#N/A,FALSE,"1"}</definedName>
    <definedName name="___z2" localSheetId="8" hidden="1">{"Sch00",#N/A,FALSE,"1";"Contents",#N/A,FALSE,"1"}</definedName>
    <definedName name="___z2" localSheetId="4" hidden="1">{"Sch00",#N/A,FALSE,"1";"Contents",#N/A,FALSE,"1"}</definedName>
    <definedName name="___z2" localSheetId="2" hidden="1">{"Sch00",#N/A,FALSE,"1";"Contents",#N/A,FALSE,"1"}</definedName>
    <definedName name="___z2" localSheetId="19" hidden="1">{"Sch00",#N/A,FALSE,"1";"Contents",#N/A,FALSE,"1"}</definedName>
    <definedName name="___z2" hidden="1">{"Sch00",#N/A,FALSE,"1";"Contents",#N/A,FALSE,"1"}</definedName>
    <definedName name="___z3" localSheetId="12" hidden="1">{"Sch01",#N/A,FALSE,"2";"Sch02",#N/A,FALSE,"2";"Sch03",#N/A,FALSE,"2";"Sch04",#N/A,FALSE,"2";"Sch05",#N/A,FALSE,"2";"Sch06",#N/A,FALSE,"2";"Sch17",#N/A,FALSE,"2";"Sch19",#N/A,FALSE,"2";"Sch20",#N/A,FALSE,"2";"Sch21",#N/A,FALSE,"2";"Sch26",#N/A,FALSE,"2"}</definedName>
    <definedName name="___z3" localSheetId="8" hidden="1">{"Sch01",#N/A,FALSE,"2";"Sch02",#N/A,FALSE,"2";"Sch03",#N/A,FALSE,"2";"Sch04",#N/A,FALSE,"2";"Sch05",#N/A,FALSE,"2";"Sch06",#N/A,FALSE,"2";"Sch17",#N/A,FALSE,"2";"Sch19",#N/A,FALSE,"2";"Sch20",#N/A,FALSE,"2";"Sch21",#N/A,FALSE,"2";"Sch26",#N/A,FALSE,"2"}</definedName>
    <definedName name="___z3" localSheetId="4" hidden="1">{"Sch01",#N/A,FALSE,"2";"Sch02",#N/A,FALSE,"2";"Sch03",#N/A,FALSE,"2";"Sch04",#N/A,FALSE,"2";"Sch05",#N/A,FALSE,"2";"Sch06",#N/A,FALSE,"2";"Sch17",#N/A,FALSE,"2";"Sch19",#N/A,FALSE,"2";"Sch20",#N/A,FALSE,"2";"Sch21",#N/A,FALSE,"2";"Sch26",#N/A,FALSE,"2"}</definedName>
    <definedName name="___z3" localSheetId="2" hidden="1">{"Sch01",#N/A,FALSE,"2";"Sch02",#N/A,FALSE,"2";"Sch03",#N/A,FALSE,"2";"Sch04",#N/A,FALSE,"2";"Sch05",#N/A,FALSE,"2";"Sch06",#N/A,FALSE,"2";"Sch17",#N/A,FALSE,"2";"Sch19",#N/A,FALSE,"2";"Sch20",#N/A,FALSE,"2";"Sch21",#N/A,FALSE,"2";"Sch26",#N/A,FALSE,"2"}</definedName>
    <definedName name="___z3" localSheetId="19" hidden="1">{"Sch01",#N/A,FALSE,"2";"Sch02",#N/A,FALSE,"2";"Sch03",#N/A,FALSE,"2";"Sch04",#N/A,FALSE,"2";"Sch05",#N/A,FALSE,"2";"Sch06",#N/A,FALSE,"2";"Sch17",#N/A,FALSE,"2";"Sch19",#N/A,FALSE,"2";"Sch20",#N/A,FALSE,"2";"Sch21",#N/A,FALSE,"2";"Sch26",#N/A,FALSE,"2"}</definedName>
    <definedName name="___z3" hidden="1">{"Sch01",#N/A,FALSE,"2";"Sch02",#N/A,FALSE,"2";"Sch03",#N/A,FALSE,"2";"Sch04",#N/A,FALSE,"2";"Sch05",#N/A,FALSE,"2";"Sch06",#N/A,FALSE,"2";"Sch17",#N/A,FALSE,"2";"Sch19",#N/A,FALSE,"2";"Sch20",#N/A,FALSE,"2";"Sch21",#N/A,FALSE,"2";"Sch26",#N/A,FALSE,"2"}</definedName>
    <definedName name="_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123Graph_A" localSheetId="15" hidden="1">'[1]Graph Data'!#REF!</definedName>
    <definedName name="__123Graph_A" localSheetId="7" hidden="1">'[1]Graph Data'!#REF!</definedName>
    <definedName name="__123Graph_A" localSheetId="0" hidden="1">'[1]Graph Data'!#REF!</definedName>
    <definedName name="__123Graph_A" localSheetId="12" hidden="1">'[1]Graph Data'!#REF!</definedName>
    <definedName name="__123Graph_A" localSheetId="8" hidden="1">'[1]Graph Data'!#REF!</definedName>
    <definedName name="__123Graph_A" localSheetId="4" hidden="1">'[1]Graph Data'!#REF!</definedName>
    <definedName name="__123Graph_A" localSheetId="5" hidden="1">'[1]Graph Data'!#REF!</definedName>
    <definedName name="__123Graph_A" localSheetId="2" hidden="1">'[1]Graph Data'!#REF!</definedName>
    <definedName name="__123Graph_A" localSheetId="17" hidden="1">'[1]Graph Data'!#REF!</definedName>
    <definedName name="__123Graph_A" localSheetId="19" hidden="1">'[2]Graph Data'!#REF!</definedName>
    <definedName name="__123Graph_A" hidden="1">'[1]Graph Data'!#REF!</definedName>
    <definedName name="__123Graph_ACHART1" localSheetId="15" hidden="1">#REF!</definedName>
    <definedName name="__123Graph_ACHART1" localSheetId="7" hidden="1">#REF!</definedName>
    <definedName name="__123Graph_ACHART1" localSheetId="0" hidden="1">#REF!</definedName>
    <definedName name="__123Graph_ACHART1" localSheetId="12" hidden="1">#REF!</definedName>
    <definedName name="__123Graph_ACHART1" localSheetId="8" hidden="1">#REF!</definedName>
    <definedName name="__123Graph_ACHART1" localSheetId="4" hidden="1">#REF!</definedName>
    <definedName name="__123Graph_ACHART1" localSheetId="5" hidden="1">#REF!</definedName>
    <definedName name="__123Graph_ACHART1" localSheetId="2" hidden="1">#REF!</definedName>
    <definedName name="__123Graph_ACHART1" localSheetId="17" hidden="1">#REF!</definedName>
    <definedName name="__123Graph_ACHART1" localSheetId="19" hidden="1">#REF!</definedName>
    <definedName name="__123Graph_ACHART1" hidden="1">#REF!</definedName>
    <definedName name="__123Graph_ACHART10" localSheetId="15" hidden="1">#REF!</definedName>
    <definedName name="__123Graph_ACHART10" localSheetId="7" hidden="1">#REF!</definedName>
    <definedName name="__123Graph_ACHART10" localSheetId="0" hidden="1">#REF!</definedName>
    <definedName name="__123Graph_ACHART10" localSheetId="12" hidden="1">#REF!</definedName>
    <definedName name="__123Graph_ACHART10" localSheetId="8" hidden="1">#REF!</definedName>
    <definedName name="__123Graph_ACHART10" localSheetId="4" hidden="1">#REF!</definedName>
    <definedName name="__123Graph_ACHART10" localSheetId="5" hidden="1">#REF!</definedName>
    <definedName name="__123Graph_ACHART10" localSheetId="2" hidden="1">#REF!</definedName>
    <definedName name="__123Graph_ACHART10" localSheetId="17" hidden="1">#REF!</definedName>
    <definedName name="__123Graph_ACHART10" localSheetId="19" hidden="1">#REF!</definedName>
    <definedName name="__123Graph_ACHART10" hidden="1">#REF!</definedName>
    <definedName name="__123Graph_ACHART11" localSheetId="15" hidden="1">#REF!</definedName>
    <definedName name="__123Graph_ACHART11" localSheetId="7" hidden="1">#REF!</definedName>
    <definedName name="__123Graph_ACHART11" localSheetId="0" hidden="1">#REF!</definedName>
    <definedName name="__123Graph_ACHART11" localSheetId="12" hidden="1">#REF!</definedName>
    <definedName name="__123Graph_ACHART11" localSheetId="8" hidden="1">#REF!</definedName>
    <definedName name="__123Graph_ACHART11" localSheetId="4" hidden="1">#REF!</definedName>
    <definedName name="__123Graph_ACHART11" localSheetId="5" hidden="1">#REF!</definedName>
    <definedName name="__123Graph_ACHART11" localSheetId="2" hidden="1">#REF!</definedName>
    <definedName name="__123Graph_ACHART11" localSheetId="17" hidden="1">#REF!</definedName>
    <definedName name="__123Graph_ACHART11" localSheetId="19" hidden="1">#REF!</definedName>
    <definedName name="__123Graph_ACHART11" hidden="1">#REF!</definedName>
    <definedName name="__123Graph_ACHART12" localSheetId="15" hidden="1">#REF!</definedName>
    <definedName name="__123Graph_ACHART12" localSheetId="7" hidden="1">#REF!</definedName>
    <definedName name="__123Graph_ACHART12" localSheetId="0" hidden="1">#REF!</definedName>
    <definedName name="__123Graph_ACHART12" localSheetId="12" hidden="1">#REF!</definedName>
    <definedName name="__123Graph_ACHART12" localSheetId="8" hidden="1">#REF!</definedName>
    <definedName name="__123Graph_ACHART12" localSheetId="4" hidden="1">#REF!</definedName>
    <definedName name="__123Graph_ACHART12" localSheetId="5" hidden="1">#REF!</definedName>
    <definedName name="__123Graph_ACHART12" localSheetId="2" hidden="1">#REF!</definedName>
    <definedName name="__123Graph_ACHART12" localSheetId="17" hidden="1">#REF!</definedName>
    <definedName name="__123Graph_ACHART12" localSheetId="19" hidden="1">#REF!</definedName>
    <definedName name="__123Graph_ACHART12" hidden="1">#REF!</definedName>
    <definedName name="__123Graph_ACHART13" localSheetId="15" hidden="1">#REF!</definedName>
    <definedName name="__123Graph_ACHART13" localSheetId="7" hidden="1">#REF!</definedName>
    <definedName name="__123Graph_ACHART13" localSheetId="0" hidden="1">#REF!</definedName>
    <definedName name="__123Graph_ACHART13" localSheetId="12" hidden="1">#REF!</definedName>
    <definedName name="__123Graph_ACHART13" localSheetId="8" hidden="1">#REF!</definedName>
    <definedName name="__123Graph_ACHART13" localSheetId="4" hidden="1">#REF!</definedName>
    <definedName name="__123Graph_ACHART13" localSheetId="5" hidden="1">#REF!</definedName>
    <definedName name="__123Graph_ACHART13" localSheetId="2" hidden="1">#REF!</definedName>
    <definedName name="__123Graph_ACHART13" localSheetId="17" hidden="1">#REF!</definedName>
    <definedName name="__123Graph_ACHART13" localSheetId="19" hidden="1">#REF!</definedName>
    <definedName name="__123Graph_ACHART13" hidden="1">#REF!</definedName>
    <definedName name="__123Graph_ACHART14" localSheetId="15" hidden="1">#REF!</definedName>
    <definedName name="__123Graph_ACHART14" localSheetId="7" hidden="1">#REF!</definedName>
    <definedName name="__123Graph_ACHART14" localSheetId="0" hidden="1">#REF!</definedName>
    <definedName name="__123Graph_ACHART14" localSheetId="12" hidden="1">#REF!</definedName>
    <definedName name="__123Graph_ACHART14" localSheetId="8" hidden="1">#REF!</definedName>
    <definedName name="__123Graph_ACHART14" localSheetId="4" hidden="1">#REF!</definedName>
    <definedName name="__123Graph_ACHART14" localSheetId="5" hidden="1">#REF!</definedName>
    <definedName name="__123Graph_ACHART14" localSheetId="2" hidden="1">#REF!</definedName>
    <definedName name="__123Graph_ACHART14" localSheetId="17" hidden="1">#REF!</definedName>
    <definedName name="__123Graph_ACHART14" localSheetId="19" hidden="1">#REF!</definedName>
    <definedName name="__123Graph_ACHART14" hidden="1">#REF!</definedName>
    <definedName name="__123Graph_ACHART15" localSheetId="15" hidden="1">#REF!</definedName>
    <definedName name="__123Graph_ACHART15" localSheetId="7" hidden="1">#REF!</definedName>
    <definedName name="__123Graph_ACHART15" localSheetId="0" hidden="1">#REF!</definedName>
    <definedName name="__123Graph_ACHART15" localSheetId="12" hidden="1">#REF!</definedName>
    <definedName name="__123Graph_ACHART15" localSheetId="8" hidden="1">#REF!</definedName>
    <definedName name="__123Graph_ACHART15" localSheetId="4" hidden="1">#REF!</definedName>
    <definedName name="__123Graph_ACHART15" localSheetId="5" hidden="1">#REF!</definedName>
    <definedName name="__123Graph_ACHART15" localSheetId="2" hidden="1">#REF!</definedName>
    <definedName name="__123Graph_ACHART15" localSheetId="17" hidden="1">#REF!</definedName>
    <definedName name="__123Graph_ACHART15" localSheetId="19" hidden="1">#REF!</definedName>
    <definedName name="__123Graph_ACHART15" hidden="1">#REF!</definedName>
    <definedName name="__123Graph_ACHART16" localSheetId="15" hidden="1">#REF!</definedName>
    <definedName name="__123Graph_ACHART16" localSheetId="7" hidden="1">#REF!</definedName>
    <definedName name="__123Graph_ACHART16" localSheetId="0" hidden="1">#REF!</definedName>
    <definedName name="__123Graph_ACHART16" localSheetId="12" hidden="1">#REF!</definedName>
    <definedName name="__123Graph_ACHART16" localSheetId="8" hidden="1">#REF!</definedName>
    <definedName name="__123Graph_ACHART16" localSheetId="4" hidden="1">#REF!</definedName>
    <definedName name="__123Graph_ACHART16" localSheetId="5" hidden="1">#REF!</definedName>
    <definedName name="__123Graph_ACHART16" localSheetId="2" hidden="1">#REF!</definedName>
    <definedName name="__123Graph_ACHART16" localSheetId="17" hidden="1">#REF!</definedName>
    <definedName name="__123Graph_ACHART16" localSheetId="19" hidden="1">#REF!</definedName>
    <definedName name="__123Graph_ACHART16" hidden="1">#REF!</definedName>
    <definedName name="__123Graph_ACHART17" localSheetId="15" hidden="1">#REF!</definedName>
    <definedName name="__123Graph_ACHART17" localSheetId="7" hidden="1">#REF!</definedName>
    <definedName name="__123Graph_ACHART17" localSheetId="0" hidden="1">#REF!</definedName>
    <definedName name="__123Graph_ACHART17" localSheetId="12" hidden="1">#REF!</definedName>
    <definedName name="__123Graph_ACHART17" localSheetId="8" hidden="1">#REF!</definedName>
    <definedName name="__123Graph_ACHART17" localSheetId="4" hidden="1">#REF!</definedName>
    <definedName name="__123Graph_ACHART17" localSheetId="5" hidden="1">#REF!</definedName>
    <definedName name="__123Graph_ACHART17" localSheetId="2" hidden="1">#REF!</definedName>
    <definedName name="__123Graph_ACHART17" localSheetId="17" hidden="1">#REF!</definedName>
    <definedName name="__123Graph_ACHART17" localSheetId="19" hidden="1">#REF!</definedName>
    <definedName name="__123Graph_ACHART17" hidden="1">#REF!</definedName>
    <definedName name="__123Graph_ACHART18" localSheetId="15" hidden="1">#REF!</definedName>
    <definedName name="__123Graph_ACHART18" localSheetId="7" hidden="1">#REF!</definedName>
    <definedName name="__123Graph_ACHART18" localSheetId="0" hidden="1">#REF!</definedName>
    <definedName name="__123Graph_ACHART18" localSheetId="12" hidden="1">#REF!</definedName>
    <definedName name="__123Graph_ACHART18" localSheetId="8" hidden="1">#REF!</definedName>
    <definedName name="__123Graph_ACHART18" localSheetId="4" hidden="1">#REF!</definedName>
    <definedName name="__123Graph_ACHART18" localSheetId="5" hidden="1">#REF!</definedName>
    <definedName name="__123Graph_ACHART18" localSheetId="2" hidden="1">#REF!</definedName>
    <definedName name="__123Graph_ACHART18" localSheetId="17" hidden="1">#REF!</definedName>
    <definedName name="__123Graph_ACHART18" localSheetId="19" hidden="1">#REF!</definedName>
    <definedName name="__123Graph_ACHART18" hidden="1">#REF!</definedName>
    <definedName name="__123Graph_ACHART19" localSheetId="15" hidden="1">#REF!</definedName>
    <definedName name="__123Graph_ACHART19" localSheetId="7" hidden="1">#REF!</definedName>
    <definedName name="__123Graph_ACHART19" localSheetId="0" hidden="1">#REF!</definedName>
    <definedName name="__123Graph_ACHART19" localSheetId="12" hidden="1">#REF!</definedName>
    <definedName name="__123Graph_ACHART19" localSheetId="8" hidden="1">#REF!</definedName>
    <definedName name="__123Graph_ACHART19" localSheetId="4" hidden="1">#REF!</definedName>
    <definedName name="__123Graph_ACHART19" localSheetId="5" hidden="1">#REF!</definedName>
    <definedName name="__123Graph_ACHART19" localSheetId="2" hidden="1">#REF!</definedName>
    <definedName name="__123Graph_ACHART19" localSheetId="17" hidden="1">#REF!</definedName>
    <definedName name="__123Graph_ACHART19" localSheetId="19" hidden="1">#REF!</definedName>
    <definedName name="__123Graph_ACHART19" hidden="1">#REF!</definedName>
    <definedName name="__123Graph_ACHART2" localSheetId="15" hidden="1">#REF!</definedName>
    <definedName name="__123Graph_ACHART2" localSheetId="7" hidden="1">#REF!</definedName>
    <definedName name="__123Graph_ACHART2" localSheetId="0" hidden="1">#REF!</definedName>
    <definedName name="__123Graph_ACHART2" localSheetId="12" hidden="1">#REF!</definedName>
    <definedName name="__123Graph_ACHART2" localSheetId="8" hidden="1">#REF!</definedName>
    <definedName name="__123Graph_ACHART2" localSheetId="4" hidden="1">#REF!</definedName>
    <definedName name="__123Graph_ACHART2" localSheetId="5" hidden="1">#REF!</definedName>
    <definedName name="__123Graph_ACHART2" localSheetId="2" hidden="1">#REF!</definedName>
    <definedName name="__123Graph_ACHART2" localSheetId="17" hidden="1">#REF!</definedName>
    <definedName name="__123Graph_ACHART2" localSheetId="19" hidden="1">#REF!</definedName>
    <definedName name="__123Graph_ACHART2" hidden="1">#REF!</definedName>
    <definedName name="__123Graph_ACHART20" localSheetId="15" hidden="1">#REF!</definedName>
    <definedName name="__123Graph_ACHART20" localSheetId="7" hidden="1">#REF!</definedName>
    <definedName name="__123Graph_ACHART20" localSheetId="0" hidden="1">#REF!</definedName>
    <definedName name="__123Graph_ACHART20" localSheetId="12" hidden="1">#REF!</definedName>
    <definedName name="__123Graph_ACHART20" localSheetId="8" hidden="1">#REF!</definedName>
    <definedName name="__123Graph_ACHART20" localSheetId="4" hidden="1">#REF!</definedName>
    <definedName name="__123Graph_ACHART20" localSheetId="5" hidden="1">#REF!</definedName>
    <definedName name="__123Graph_ACHART20" localSheetId="2" hidden="1">#REF!</definedName>
    <definedName name="__123Graph_ACHART20" localSheetId="17" hidden="1">#REF!</definedName>
    <definedName name="__123Graph_ACHART20" localSheetId="19" hidden="1">#REF!</definedName>
    <definedName name="__123Graph_ACHART20" hidden="1">#REF!</definedName>
    <definedName name="__123Graph_ACHART21" localSheetId="15" hidden="1">#REF!</definedName>
    <definedName name="__123Graph_ACHART21" localSheetId="7" hidden="1">#REF!</definedName>
    <definedName name="__123Graph_ACHART21" localSheetId="0" hidden="1">#REF!</definedName>
    <definedName name="__123Graph_ACHART21" localSheetId="12" hidden="1">#REF!</definedName>
    <definedName name="__123Graph_ACHART21" localSheetId="8" hidden="1">#REF!</definedName>
    <definedName name="__123Graph_ACHART21" localSheetId="4" hidden="1">#REF!</definedName>
    <definedName name="__123Graph_ACHART21" localSheetId="5" hidden="1">#REF!</definedName>
    <definedName name="__123Graph_ACHART21" localSheetId="2" hidden="1">#REF!</definedName>
    <definedName name="__123Graph_ACHART21" localSheetId="17" hidden="1">#REF!</definedName>
    <definedName name="__123Graph_ACHART21" localSheetId="19" hidden="1">#REF!</definedName>
    <definedName name="__123Graph_ACHART21" hidden="1">#REF!</definedName>
    <definedName name="__123Graph_ACHART22" localSheetId="15" hidden="1">#REF!</definedName>
    <definedName name="__123Graph_ACHART22" localSheetId="7" hidden="1">#REF!</definedName>
    <definedName name="__123Graph_ACHART22" localSheetId="0" hidden="1">#REF!</definedName>
    <definedName name="__123Graph_ACHART22" localSheetId="12" hidden="1">#REF!</definedName>
    <definedName name="__123Graph_ACHART22" localSheetId="8" hidden="1">#REF!</definedName>
    <definedName name="__123Graph_ACHART22" localSheetId="4" hidden="1">#REF!</definedName>
    <definedName name="__123Graph_ACHART22" localSheetId="5" hidden="1">#REF!</definedName>
    <definedName name="__123Graph_ACHART22" localSheetId="2" hidden="1">#REF!</definedName>
    <definedName name="__123Graph_ACHART22" localSheetId="17" hidden="1">#REF!</definedName>
    <definedName name="__123Graph_ACHART22" localSheetId="19" hidden="1">#REF!</definedName>
    <definedName name="__123Graph_ACHART22" hidden="1">#REF!</definedName>
    <definedName name="__123Graph_ACHART3" localSheetId="15" hidden="1">#REF!</definedName>
    <definedName name="__123Graph_ACHART3" localSheetId="7" hidden="1">#REF!</definedName>
    <definedName name="__123Graph_ACHART3" localSheetId="0" hidden="1">#REF!</definedName>
    <definedName name="__123Graph_ACHART3" localSheetId="12" hidden="1">#REF!</definedName>
    <definedName name="__123Graph_ACHART3" localSheetId="8" hidden="1">#REF!</definedName>
    <definedName name="__123Graph_ACHART3" localSheetId="4" hidden="1">#REF!</definedName>
    <definedName name="__123Graph_ACHART3" localSheetId="5" hidden="1">#REF!</definedName>
    <definedName name="__123Graph_ACHART3" localSheetId="2" hidden="1">#REF!</definedName>
    <definedName name="__123Graph_ACHART3" localSheetId="17" hidden="1">#REF!</definedName>
    <definedName name="__123Graph_ACHART3" localSheetId="19" hidden="1">#REF!</definedName>
    <definedName name="__123Graph_ACHART3" hidden="1">#REF!</definedName>
    <definedName name="__123Graph_ACHART4" localSheetId="15" hidden="1">#REF!</definedName>
    <definedName name="__123Graph_ACHART4" localSheetId="7" hidden="1">#REF!</definedName>
    <definedName name="__123Graph_ACHART4" localSheetId="0" hidden="1">#REF!</definedName>
    <definedName name="__123Graph_ACHART4" localSheetId="12" hidden="1">#REF!</definedName>
    <definedName name="__123Graph_ACHART4" localSheetId="8" hidden="1">#REF!</definedName>
    <definedName name="__123Graph_ACHART4" localSheetId="4" hidden="1">#REF!</definedName>
    <definedName name="__123Graph_ACHART4" localSheetId="5" hidden="1">#REF!</definedName>
    <definedName name="__123Graph_ACHART4" localSheetId="2" hidden="1">#REF!</definedName>
    <definedName name="__123Graph_ACHART4" localSheetId="17" hidden="1">#REF!</definedName>
    <definedName name="__123Graph_ACHART4" localSheetId="19" hidden="1">#REF!</definedName>
    <definedName name="__123Graph_ACHART4" hidden="1">#REF!</definedName>
    <definedName name="__123Graph_ACHART5" localSheetId="15" hidden="1">#REF!</definedName>
    <definedName name="__123Graph_ACHART5" localSheetId="7" hidden="1">#REF!</definedName>
    <definedName name="__123Graph_ACHART5" localSheetId="0" hidden="1">#REF!</definedName>
    <definedName name="__123Graph_ACHART5" localSheetId="12" hidden="1">#REF!</definedName>
    <definedName name="__123Graph_ACHART5" localSheetId="8" hidden="1">#REF!</definedName>
    <definedName name="__123Graph_ACHART5" localSheetId="4" hidden="1">#REF!</definedName>
    <definedName name="__123Graph_ACHART5" localSheetId="5" hidden="1">#REF!</definedName>
    <definedName name="__123Graph_ACHART5" localSheetId="2" hidden="1">#REF!</definedName>
    <definedName name="__123Graph_ACHART5" localSheetId="17" hidden="1">#REF!</definedName>
    <definedName name="__123Graph_ACHART5" localSheetId="19" hidden="1">#REF!</definedName>
    <definedName name="__123Graph_ACHART5" hidden="1">#REF!</definedName>
    <definedName name="__123Graph_ACHART6" localSheetId="15" hidden="1">#REF!</definedName>
    <definedName name="__123Graph_ACHART6" localSheetId="7" hidden="1">#REF!</definedName>
    <definedName name="__123Graph_ACHART6" localSheetId="0" hidden="1">#REF!</definedName>
    <definedName name="__123Graph_ACHART6" localSheetId="12" hidden="1">#REF!</definedName>
    <definedName name="__123Graph_ACHART6" localSheetId="8" hidden="1">#REF!</definedName>
    <definedName name="__123Graph_ACHART6" localSheetId="4" hidden="1">#REF!</definedName>
    <definedName name="__123Graph_ACHART6" localSheetId="5" hidden="1">#REF!</definedName>
    <definedName name="__123Graph_ACHART6" localSheetId="2" hidden="1">#REF!</definedName>
    <definedName name="__123Graph_ACHART6" localSheetId="17" hidden="1">#REF!</definedName>
    <definedName name="__123Graph_ACHART6" localSheetId="19" hidden="1">#REF!</definedName>
    <definedName name="__123Graph_ACHART6" hidden="1">#REF!</definedName>
    <definedName name="__123Graph_ACHART7" localSheetId="15" hidden="1">#REF!</definedName>
    <definedName name="__123Graph_ACHART7" localSheetId="7" hidden="1">#REF!</definedName>
    <definedName name="__123Graph_ACHART7" localSheetId="0" hidden="1">#REF!</definedName>
    <definedName name="__123Graph_ACHART7" localSheetId="12" hidden="1">#REF!</definedName>
    <definedName name="__123Graph_ACHART7" localSheetId="8" hidden="1">#REF!</definedName>
    <definedName name="__123Graph_ACHART7" localSheetId="4" hidden="1">#REF!</definedName>
    <definedName name="__123Graph_ACHART7" localSheetId="5" hidden="1">#REF!</definedName>
    <definedName name="__123Graph_ACHART7" localSheetId="2" hidden="1">#REF!</definedName>
    <definedName name="__123Graph_ACHART7" localSheetId="17" hidden="1">#REF!</definedName>
    <definedName name="__123Graph_ACHART7" localSheetId="19" hidden="1">#REF!</definedName>
    <definedName name="__123Graph_ACHART7" hidden="1">#REF!</definedName>
    <definedName name="__123Graph_ACHART8" localSheetId="15" hidden="1">#REF!</definedName>
    <definedName name="__123Graph_ACHART8" localSheetId="7" hidden="1">#REF!</definedName>
    <definedName name="__123Graph_ACHART8" localSheetId="0" hidden="1">#REF!</definedName>
    <definedName name="__123Graph_ACHART8" localSheetId="12" hidden="1">#REF!</definedName>
    <definedName name="__123Graph_ACHART8" localSheetId="8" hidden="1">#REF!</definedName>
    <definedName name="__123Graph_ACHART8" localSheetId="4" hidden="1">#REF!</definedName>
    <definedName name="__123Graph_ACHART8" localSheetId="5" hidden="1">#REF!</definedName>
    <definedName name="__123Graph_ACHART8" localSheetId="2" hidden="1">#REF!</definedName>
    <definedName name="__123Graph_ACHART8" localSheetId="17" hidden="1">#REF!</definedName>
    <definedName name="__123Graph_ACHART8" localSheetId="19" hidden="1">#REF!</definedName>
    <definedName name="__123Graph_ACHART8" hidden="1">#REF!</definedName>
    <definedName name="__123Graph_ACHART9" localSheetId="15" hidden="1">#REF!</definedName>
    <definedName name="__123Graph_ACHART9" localSheetId="7" hidden="1">#REF!</definedName>
    <definedName name="__123Graph_ACHART9" localSheetId="0" hidden="1">#REF!</definedName>
    <definedName name="__123Graph_ACHART9" localSheetId="12" hidden="1">#REF!</definedName>
    <definedName name="__123Graph_ACHART9" localSheetId="8" hidden="1">#REF!</definedName>
    <definedName name="__123Graph_ACHART9" localSheetId="4" hidden="1">#REF!</definedName>
    <definedName name="__123Graph_ACHART9" localSheetId="5" hidden="1">#REF!</definedName>
    <definedName name="__123Graph_ACHART9" localSheetId="2" hidden="1">#REF!</definedName>
    <definedName name="__123Graph_ACHART9" localSheetId="17" hidden="1">#REF!</definedName>
    <definedName name="__123Graph_ACHART9" localSheetId="19" hidden="1">#REF!</definedName>
    <definedName name="__123Graph_ACHART9" hidden="1">#REF!</definedName>
    <definedName name="__123Graph_ASLIDE17" localSheetId="15" hidden="1">#REF!</definedName>
    <definedName name="__123Graph_ASLIDE17" localSheetId="7" hidden="1">#REF!</definedName>
    <definedName name="__123Graph_ASLIDE17" localSheetId="0" hidden="1">#REF!</definedName>
    <definedName name="__123Graph_ASLIDE17" localSheetId="12" hidden="1">#REF!</definedName>
    <definedName name="__123Graph_ASLIDE17" localSheetId="8" hidden="1">#REF!</definedName>
    <definedName name="__123Graph_ASLIDE17" localSheetId="4" hidden="1">#REF!</definedName>
    <definedName name="__123Graph_ASLIDE17" localSheetId="5" hidden="1">#REF!</definedName>
    <definedName name="__123Graph_ASLIDE17" localSheetId="2" hidden="1">#REF!</definedName>
    <definedName name="__123Graph_ASLIDE17" localSheetId="17" hidden="1">#REF!</definedName>
    <definedName name="__123Graph_ASLIDE17" localSheetId="19" hidden="1">#REF!</definedName>
    <definedName name="__123Graph_ASLIDE17" hidden="1">#REF!</definedName>
    <definedName name="__123Graph_ASLIDEIII15" localSheetId="15" hidden="1">#REF!</definedName>
    <definedName name="__123Graph_ASLIDEIII15" localSheetId="7" hidden="1">#REF!</definedName>
    <definedName name="__123Graph_ASLIDEIII15" localSheetId="0" hidden="1">#REF!</definedName>
    <definedName name="__123Graph_ASLIDEIII15" localSheetId="12" hidden="1">#REF!</definedName>
    <definedName name="__123Graph_ASLIDEIII15" localSheetId="8" hidden="1">#REF!</definedName>
    <definedName name="__123Graph_ASLIDEIII15" localSheetId="4" hidden="1">#REF!</definedName>
    <definedName name="__123Graph_ASLIDEIII15" localSheetId="5" hidden="1">#REF!</definedName>
    <definedName name="__123Graph_ASLIDEIII15" localSheetId="2" hidden="1">#REF!</definedName>
    <definedName name="__123Graph_ASLIDEIII15" localSheetId="17" hidden="1">#REF!</definedName>
    <definedName name="__123Graph_ASLIDEIII15" localSheetId="19" hidden="1">#REF!</definedName>
    <definedName name="__123Graph_ASLIDEIII15" hidden="1">#REF!</definedName>
    <definedName name="__123Graph_ASLIDEIII25" localSheetId="15" hidden="1">#REF!</definedName>
    <definedName name="__123Graph_ASLIDEIII25" localSheetId="7" hidden="1">#REF!</definedName>
    <definedName name="__123Graph_ASLIDEIII25" localSheetId="0" hidden="1">#REF!</definedName>
    <definedName name="__123Graph_ASLIDEIII25" localSheetId="12" hidden="1">#REF!</definedName>
    <definedName name="__123Graph_ASLIDEIII25" localSheetId="8" hidden="1">#REF!</definedName>
    <definedName name="__123Graph_ASLIDEIII25" localSheetId="4" hidden="1">#REF!</definedName>
    <definedName name="__123Graph_ASLIDEIII25" localSheetId="5" hidden="1">#REF!</definedName>
    <definedName name="__123Graph_ASLIDEIII25" localSheetId="2" hidden="1">#REF!</definedName>
    <definedName name="__123Graph_ASLIDEIII25" localSheetId="17" hidden="1">#REF!</definedName>
    <definedName name="__123Graph_ASLIDEIII25" localSheetId="19" hidden="1">#REF!</definedName>
    <definedName name="__123Graph_ASLIDEIII25" hidden="1">#REF!</definedName>
    <definedName name="__123Graph_ASLIDEIII26" localSheetId="15" hidden="1">#REF!</definedName>
    <definedName name="__123Graph_ASLIDEIII26" localSheetId="7" hidden="1">#REF!</definedName>
    <definedName name="__123Graph_ASLIDEIII26" localSheetId="0" hidden="1">#REF!</definedName>
    <definedName name="__123Graph_ASLIDEIII26" localSheetId="12" hidden="1">#REF!</definedName>
    <definedName name="__123Graph_ASLIDEIII26" localSheetId="8" hidden="1">#REF!</definedName>
    <definedName name="__123Graph_ASLIDEIII26" localSheetId="4" hidden="1">#REF!</definedName>
    <definedName name="__123Graph_ASLIDEIII26" localSheetId="5" hidden="1">#REF!</definedName>
    <definedName name="__123Graph_ASLIDEIII26" localSheetId="2" hidden="1">#REF!</definedName>
    <definedName name="__123Graph_ASLIDEIII26" localSheetId="17" hidden="1">#REF!</definedName>
    <definedName name="__123Graph_ASLIDEIII26" localSheetId="19" hidden="1">#REF!</definedName>
    <definedName name="__123Graph_ASLIDEIII26" hidden="1">#REF!</definedName>
    <definedName name="__123Graph_B" localSheetId="15" hidden="1">'[1]Graph Data'!#REF!</definedName>
    <definedName name="__123Graph_B" localSheetId="7" hidden="1">'[1]Graph Data'!#REF!</definedName>
    <definedName name="__123Graph_B" localSheetId="0" hidden="1">'[1]Graph Data'!#REF!</definedName>
    <definedName name="__123Graph_B" localSheetId="12" hidden="1">'[1]Graph Data'!#REF!</definedName>
    <definedName name="__123Graph_B" localSheetId="8" hidden="1">'[1]Graph Data'!#REF!</definedName>
    <definedName name="__123Graph_B" localSheetId="4" hidden="1">'[1]Graph Data'!#REF!</definedName>
    <definedName name="__123Graph_B" localSheetId="5" hidden="1">'[1]Graph Data'!#REF!</definedName>
    <definedName name="__123Graph_B" localSheetId="2" hidden="1">'[1]Graph Data'!#REF!</definedName>
    <definedName name="__123Graph_B" localSheetId="17" hidden="1">'[1]Graph Data'!#REF!</definedName>
    <definedName name="__123Graph_B" localSheetId="19" hidden="1">'[2]Graph Data'!#REF!</definedName>
    <definedName name="__123Graph_B" hidden="1">'[1]Graph Data'!#REF!</definedName>
    <definedName name="__123Graph_BCHART1" localSheetId="15" hidden="1">#REF!</definedName>
    <definedName name="__123Graph_BCHART1" localSheetId="7" hidden="1">#REF!</definedName>
    <definedName name="__123Graph_BCHART1" localSheetId="0" hidden="1">#REF!</definedName>
    <definedName name="__123Graph_BCHART1" localSheetId="12" hidden="1">#REF!</definedName>
    <definedName name="__123Graph_BCHART1" localSheetId="8" hidden="1">#REF!</definedName>
    <definedName name="__123Graph_BCHART1" localSheetId="4" hidden="1">#REF!</definedName>
    <definedName name="__123Graph_BCHART1" localSheetId="5" hidden="1">#REF!</definedName>
    <definedName name="__123Graph_BCHART1" localSheetId="2" hidden="1">#REF!</definedName>
    <definedName name="__123Graph_BCHART1" localSheetId="17" hidden="1">#REF!</definedName>
    <definedName name="__123Graph_BCHART1" localSheetId="19" hidden="1">#REF!</definedName>
    <definedName name="__123Graph_BCHART1" hidden="1">#REF!</definedName>
    <definedName name="__123Graph_BCHART10" localSheetId="15" hidden="1">#REF!</definedName>
    <definedName name="__123Graph_BCHART10" localSheetId="7" hidden="1">#REF!</definedName>
    <definedName name="__123Graph_BCHART10" localSheetId="0" hidden="1">#REF!</definedName>
    <definedName name="__123Graph_BCHART10" localSheetId="12" hidden="1">#REF!</definedName>
    <definedName name="__123Graph_BCHART10" localSheetId="8" hidden="1">#REF!</definedName>
    <definedName name="__123Graph_BCHART10" localSheetId="4" hidden="1">#REF!</definedName>
    <definedName name="__123Graph_BCHART10" localSheetId="5" hidden="1">#REF!</definedName>
    <definedName name="__123Graph_BCHART10" localSheetId="2" hidden="1">#REF!</definedName>
    <definedName name="__123Graph_BCHART10" localSheetId="17" hidden="1">#REF!</definedName>
    <definedName name="__123Graph_BCHART10" localSheetId="19" hidden="1">#REF!</definedName>
    <definedName name="__123Graph_BCHART10" hidden="1">#REF!</definedName>
    <definedName name="__123Graph_BCHART11" localSheetId="15" hidden="1">#REF!</definedName>
    <definedName name="__123Graph_BCHART11" localSheetId="7" hidden="1">#REF!</definedName>
    <definedName name="__123Graph_BCHART11" localSheetId="0" hidden="1">#REF!</definedName>
    <definedName name="__123Graph_BCHART11" localSheetId="12" hidden="1">#REF!</definedName>
    <definedName name="__123Graph_BCHART11" localSheetId="8" hidden="1">#REF!</definedName>
    <definedName name="__123Graph_BCHART11" localSheetId="4" hidden="1">#REF!</definedName>
    <definedName name="__123Graph_BCHART11" localSheetId="5" hidden="1">#REF!</definedName>
    <definedName name="__123Graph_BCHART11" localSheetId="2" hidden="1">#REF!</definedName>
    <definedName name="__123Graph_BCHART11" localSheetId="17" hidden="1">#REF!</definedName>
    <definedName name="__123Graph_BCHART11" localSheetId="19" hidden="1">#REF!</definedName>
    <definedName name="__123Graph_BCHART11" hidden="1">#REF!</definedName>
    <definedName name="__123Graph_BCHART12" localSheetId="15" hidden="1">#REF!</definedName>
    <definedName name="__123Graph_BCHART12" localSheetId="7" hidden="1">#REF!</definedName>
    <definedName name="__123Graph_BCHART12" localSheetId="0" hidden="1">#REF!</definedName>
    <definedName name="__123Graph_BCHART12" localSheetId="12" hidden="1">#REF!</definedName>
    <definedName name="__123Graph_BCHART12" localSheetId="8" hidden="1">#REF!</definedName>
    <definedName name="__123Graph_BCHART12" localSheetId="4" hidden="1">#REF!</definedName>
    <definedName name="__123Graph_BCHART12" localSheetId="5" hidden="1">#REF!</definedName>
    <definedName name="__123Graph_BCHART12" localSheetId="2" hidden="1">#REF!</definedName>
    <definedName name="__123Graph_BCHART12" localSheetId="17" hidden="1">#REF!</definedName>
    <definedName name="__123Graph_BCHART12" localSheetId="19" hidden="1">#REF!</definedName>
    <definedName name="__123Graph_BCHART12" hidden="1">#REF!</definedName>
    <definedName name="__123Graph_BCHART13" localSheetId="15" hidden="1">#REF!</definedName>
    <definedName name="__123Graph_BCHART13" localSheetId="7" hidden="1">#REF!</definedName>
    <definedName name="__123Graph_BCHART13" localSheetId="0" hidden="1">#REF!</definedName>
    <definedName name="__123Graph_BCHART13" localSheetId="12" hidden="1">#REF!</definedName>
    <definedName name="__123Graph_BCHART13" localSheetId="8" hidden="1">#REF!</definedName>
    <definedName name="__123Graph_BCHART13" localSheetId="4" hidden="1">#REF!</definedName>
    <definedName name="__123Graph_BCHART13" localSheetId="5" hidden="1">#REF!</definedName>
    <definedName name="__123Graph_BCHART13" localSheetId="2" hidden="1">#REF!</definedName>
    <definedName name="__123Graph_BCHART13" localSheetId="17" hidden="1">#REF!</definedName>
    <definedName name="__123Graph_BCHART13" localSheetId="19" hidden="1">#REF!</definedName>
    <definedName name="__123Graph_BCHART13" hidden="1">#REF!</definedName>
    <definedName name="__123Graph_BCHART14" localSheetId="15" hidden="1">#REF!</definedName>
    <definedName name="__123Graph_BCHART14" localSheetId="7" hidden="1">#REF!</definedName>
    <definedName name="__123Graph_BCHART14" localSheetId="0" hidden="1">#REF!</definedName>
    <definedName name="__123Graph_BCHART14" localSheetId="12" hidden="1">#REF!</definedName>
    <definedName name="__123Graph_BCHART14" localSheetId="8" hidden="1">#REF!</definedName>
    <definedName name="__123Graph_BCHART14" localSheetId="4" hidden="1">#REF!</definedName>
    <definedName name="__123Graph_BCHART14" localSheetId="5" hidden="1">#REF!</definedName>
    <definedName name="__123Graph_BCHART14" localSheetId="2" hidden="1">#REF!</definedName>
    <definedName name="__123Graph_BCHART14" localSheetId="17" hidden="1">#REF!</definedName>
    <definedName name="__123Graph_BCHART14" localSheetId="19" hidden="1">#REF!</definedName>
    <definedName name="__123Graph_BCHART14" hidden="1">#REF!</definedName>
    <definedName name="__123Graph_BCHART15" localSheetId="15" hidden="1">#REF!</definedName>
    <definedName name="__123Graph_BCHART15" localSheetId="7" hidden="1">#REF!</definedName>
    <definedName name="__123Graph_BCHART15" localSheetId="0" hidden="1">#REF!</definedName>
    <definedName name="__123Graph_BCHART15" localSheetId="12" hidden="1">#REF!</definedName>
    <definedName name="__123Graph_BCHART15" localSheetId="8" hidden="1">#REF!</definedName>
    <definedName name="__123Graph_BCHART15" localSheetId="4" hidden="1">#REF!</definedName>
    <definedName name="__123Graph_BCHART15" localSheetId="5" hidden="1">#REF!</definedName>
    <definedName name="__123Graph_BCHART15" localSheetId="2" hidden="1">#REF!</definedName>
    <definedName name="__123Graph_BCHART15" localSheetId="17" hidden="1">#REF!</definedName>
    <definedName name="__123Graph_BCHART15" localSheetId="19" hidden="1">#REF!</definedName>
    <definedName name="__123Graph_BCHART15" hidden="1">#REF!</definedName>
    <definedName name="__123Graph_BCHART16" localSheetId="15" hidden="1">#REF!</definedName>
    <definedName name="__123Graph_BCHART16" localSheetId="7" hidden="1">#REF!</definedName>
    <definedName name="__123Graph_BCHART16" localSheetId="0" hidden="1">#REF!</definedName>
    <definedName name="__123Graph_BCHART16" localSheetId="12" hidden="1">#REF!</definedName>
    <definedName name="__123Graph_BCHART16" localSheetId="8" hidden="1">#REF!</definedName>
    <definedName name="__123Graph_BCHART16" localSheetId="4" hidden="1">#REF!</definedName>
    <definedName name="__123Graph_BCHART16" localSheetId="5" hidden="1">#REF!</definedName>
    <definedName name="__123Graph_BCHART16" localSheetId="2" hidden="1">#REF!</definedName>
    <definedName name="__123Graph_BCHART16" localSheetId="17" hidden="1">#REF!</definedName>
    <definedName name="__123Graph_BCHART16" localSheetId="19" hidden="1">#REF!</definedName>
    <definedName name="__123Graph_BCHART16" hidden="1">#REF!</definedName>
    <definedName name="__123Graph_BCHART17" localSheetId="15" hidden="1">#REF!</definedName>
    <definedName name="__123Graph_BCHART17" localSheetId="7" hidden="1">#REF!</definedName>
    <definedName name="__123Graph_BCHART17" localSheetId="0" hidden="1">#REF!</definedName>
    <definedName name="__123Graph_BCHART17" localSheetId="12" hidden="1">#REF!</definedName>
    <definedName name="__123Graph_BCHART17" localSheetId="8" hidden="1">#REF!</definedName>
    <definedName name="__123Graph_BCHART17" localSheetId="4" hidden="1">#REF!</definedName>
    <definedName name="__123Graph_BCHART17" localSheetId="5" hidden="1">#REF!</definedName>
    <definedName name="__123Graph_BCHART17" localSheetId="2" hidden="1">#REF!</definedName>
    <definedName name="__123Graph_BCHART17" localSheetId="17" hidden="1">#REF!</definedName>
    <definedName name="__123Graph_BCHART17" localSheetId="19" hidden="1">#REF!</definedName>
    <definedName name="__123Graph_BCHART17" hidden="1">#REF!</definedName>
    <definedName name="__123Graph_BCHART18" localSheetId="15" hidden="1">#REF!</definedName>
    <definedName name="__123Graph_BCHART18" localSheetId="7" hidden="1">#REF!</definedName>
    <definedName name="__123Graph_BCHART18" localSheetId="0" hidden="1">#REF!</definedName>
    <definedName name="__123Graph_BCHART18" localSheetId="12" hidden="1">#REF!</definedName>
    <definedName name="__123Graph_BCHART18" localSheetId="8" hidden="1">#REF!</definedName>
    <definedName name="__123Graph_BCHART18" localSheetId="4" hidden="1">#REF!</definedName>
    <definedName name="__123Graph_BCHART18" localSheetId="5" hidden="1">#REF!</definedName>
    <definedName name="__123Graph_BCHART18" localSheetId="2" hidden="1">#REF!</definedName>
    <definedName name="__123Graph_BCHART18" localSheetId="17" hidden="1">#REF!</definedName>
    <definedName name="__123Graph_BCHART18" localSheetId="19" hidden="1">#REF!</definedName>
    <definedName name="__123Graph_BCHART18" hidden="1">#REF!</definedName>
    <definedName name="__123Graph_BCHART19" localSheetId="15" hidden="1">#REF!</definedName>
    <definedName name="__123Graph_BCHART19" localSheetId="7" hidden="1">#REF!</definedName>
    <definedName name="__123Graph_BCHART19" localSheetId="0" hidden="1">#REF!</definedName>
    <definedName name="__123Graph_BCHART19" localSheetId="12" hidden="1">#REF!</definedName>
    <definedName name="__123Graph_BCHART19" localSheetId="8" hidden="1">#REF!</definedName>
    <definedName name="__123Graph_BCHART19" localSheetId="4" hidden="1">#REF!</definedName>
    <definedName name="__123Graph_BCHART19" localSheetId="5" hidden="1">#REF!</definedName>
    <definedName name="__123Graph_BCHART19" localSheetId="2" hidden="1">#REF!</definedName>
    <definedName name="__123Graph_BCHART19" localSheetId="17" hidden="1">#REF!</definedName>
    <definedName name="__123Graph_BCHART19" localSheetId="19" hidden="1">#REF!</definedName>
    <definedName name="__123Graph_BCHART19" hidden="1">#REF!</definedName>
    <definedName name="__123Graph_BCHART2" localSheetId="15" hidden="1">#REF!</definedName>
    <definedName name="__123Graph_BCHART2" localSheetId="7" hidden="1">#REF!</definedName>
    <definedName name="__123Graph_BCHART2" localSheetId="0" hidden="1">#REF!</definedName>
    <definedName name="__123Graph_BCHART2" localSheetId="12" hidden="1">#REF!</definedName>
    <definedName name="__123Graph_BCHART2" localSheetId="8" hidden="1">#REF!</definedName>
    <definedName name="__123Graph_BCHART2" localSheetId="4" hidden="1">#REF!</definedName>
    <definedName name="__123Graph_BCHART2" localSheetId="5" hidden="1">#REF!</definedName>
    <definedName name="__123Graph_BCHART2" localSheetId="2" hidden="1">#REF!</definedName>
    <definedName name="__123Graph_BCHART2" localSheetId="17" hidden="1">#REF!</definedName>
    <definedName name="__123Graph_BCHART2" localSheetId="19" hidden="1">#REF!</definedName>
    <definedName name="__123Graph_BCHART2" hidden="1">#REF!</definedName>
    <definedName name="__123Graph_BCHART20" localSheetId="15" hidden="1">#REF!</definedName>
    <definedName name="__123Graph_BCHART20" localSheetId="7" hidden="1">#REF!</definedName>
    <definedName name="__123Graph_BCHART20" localSheetId="0" hidden="1">#REF!</definedName>
    <definedName name="__123Graph_BCHART20" localSheetId="12" hidden="1">#REF!</definedName>
    <definedName name="__123Graph_BCHART20" localSheetId="8" hidden="1">#REF!</definedName>
    <definedName name="__123Graph_BCHART20" localSheetId="4" hidden="1">#REF!</definedName>
    <definedName name="__123Graph_BCHART20" localSheetId="5" hidden="1">#REF!</definedName>
    <definedName name="__123Graph_BCHART20" localSheetId="2" hidden="1">#REF!</definedName>
    <definedName name="__123Graph_BCHART20" localSheetId="17" hidden="1">#REF!</definedName>
    <definedName name="__123Graph_BCHART20" localSheetId="19" hidden="1">#REF!</definedName>
    <definedName name="__123Graph_BCHART20" hidden="1">#REF!</definedName>
    <definedName name="__123Graph_BCHART22" localSheetId="15" hidden="1">#REF!</definedName>
    <definedName name="__123Graph_BCHART22" localSheetId="7" hidden="1">#REF!</definedName>
    <definedName name="__123Graph_BCHART22" localSheetId="0" hidden="1">#REF!</definedName>
    <definedName name="__123Graph_BCHART22" localSheetId="12" hidden="1">#REF!</definedName>
    <definedName name="__123Graph_BCHART22" localSheetId="8" hidden="1">#REF!</definedName>
    <definedName name="__123Graph_BCHART22" localSheetId="4" hidden="1">#REF!</definedName>
    <definedName name="__123Graph_BCHART22" localSheetId="5" hidden="1">#REF!</definedName>
    <definedName name="__123Graph_BCHART22" localSheetId="2" hidden="1">#REF!</definedName>
    <definedName name="__123Graph_BCHART22" localSheetId="17" hidden="1">#REF!</definedName>
    <definedName name="__123Graph_BCHART22" localSheetId="19" hidden="1">#REF!</definedName>
    <definedName name="__123Graph_BCHART22" hidden="1">#REF!</definedName>
    <definedName name="__123Graph_BCHART3" localSheetId="15" hidden="1">#REF!</definedName>
    <definedName name="__123Graph_BCHART3" localSheetId="7" hidden="1">#REF!</definedName>
    <definedName name="__123Graph_BCHART3" localSheetId="0" hidden="1">#REF!</definedName>
    <definedName name="__123Graph_BCHART3" localSheetId="12" hidden="1">#REF!</definedName>
    <definedName name="__123Graph_BCHART3" localSheetId="8" hidden="1">#REF!</definedName>
    <definedName name="__123Graph_BCHART3" localSheetId="4" hidden="1">#REF!</definedName>
    <definedName name="__123Graph_BCHART3" localSheetId="5" hidden="1">#REF!</definedName>
    <definedName name="__123Graph_BCHART3" localSheetId="2" hidden="1">#REF!</definedName>
    <definedName name="__123Graph_BCHART3" localSheetId="17" hidden="1">#REF!</definedName>
    <definedName name="__123Graph_BCHART3" localSheetId="19" hidden="1">#REF!</definedName>
    <definedName name="__123Graph_BCHART3" hidden="1">#REF!</definedName>
    <definedName name="__123Graph_BCHART4" localSheetId="15" hidden="1">#REF!</definedName>
    <definedName name="__123Graph_BCHART4" localSheetId="7" hidden="1">#REF!</definedName>
    <definedName name="__123Graph_BCHART4" localSheetId="0" hidden="1">#REF!</definedName>
    <definedName name="__123Graph_BCHART4" localSheetId="12" hidden="1">#REF!</definedName>
    <definedName name="__123Graph_BCHART4" localSheetId="8" hidden="1">#REF!</definedName>
    <definedName name="__123Graph_BCHART4" localSheetId="4" hidden="1">#REF!</definedName>
    <definedName name="__123Graph_BCHART4" localSheetId="5" hidden="1">#REF!</definedName>
    <definedName name="__123Graph_BCHART4" localSheetId="2" hidden="1">#REF!</definedName>
    <definedName name="__123Graph_BCHART4" localSheetId="17" hidden="1">#REF!</definedName>
    <definedName name="__123Graph_BCHART4" localSheetId="19" hidden="1">#REF!</definedName>
    <definedName name="__123Graph_BCHART4" hidden="1">#REF!</definedName>
    <definedName name="__123Graph_BCHART6" localSheetId="15" hidden="1">#REF!</definedName>
    <definedName name="__123Graph_BCHART6" localSheetId="7" hidden="1">#REF!</definedName>
    <definedName name="__123Graph_BCHART6" localSheetId="0" hidden="1">#REF!</definedName>
    <definedName name="__123Graph_BCHART6" localSheetId="12" hidden="1">#REF!</definedName>
    <definedName name="__123Graph_BCHART6" localSheetId="8" hidden="1">#REF!</definedName>
    <definedName name="__123Graph_BCHART6" localSheetId="4" hidden="1">#REF!</definedName>
    <definedName name="__123Graph_BCHART6" localSheetId="5" hidden="1">#REF!</definedName>
    <definedName name="__123Graph_BCHART6" localSheetId="2" hidden="1">#REF!</definedName>
    <definedName name="__123Graph_BCHART6" localSheetId="17" hidden="1">#REF!</definedName>
    <definedName name="__123Graph_BCHART6" localSheetId="19" hidden="1">#REF!</definedName>
    <definedName name="__123Graph_BCHART6" hidden="1">#REF!</definedName>
    <definedName name="__123Graph_BCHART7" localSheetId="15" hidden="1">#REF!</definedName>
    <definedName name="__123Graph_BCHART7" localSheetId="7" hidden="1">#REF!</definedName>
    <definedName name="__123Graph_BCHART7" localSheetId="0" hidden="1">#REF!</definedName>
    <definedName name="__123Graph_BCHART7" localSheetId="12" hidden="1">#REF!</definedName>
    <definedName name="__123Graph_BCHART7" localSheetId="8" hidden="1">#REF!</definedName>
    <definedName name="__123Graph_BCHART7" localSheetId="4" hidden="1">#REF!</definedName>
    <definedName name="__123Graph_BCHART7" localSheetId="5" hidden="1">#REF!</definedName>
    <definedName name="__123Graph_BCHART7" localSheetId="2" hidden="1">#REF!</definedName>
    <definedName name="__123Graph_BCHART7" localSheetId="17" hidden="1">#REF!</definedName>
    <definedName name="__123Graph_BCHART7" localSheetId="19" hidden="1">#REF!</definedName>
    <definedName name="__123Graph_BCHART7" hidden="1">#REF!</definedName>
    <definedName name="__123Graph_BCHART8" localSheetId="15" hidden="1">#REF!</definedName>
    <definedName name="__123Graph_BCHART8" localSheetId="7" hidden="1">#REF!</definedName>
    <definedName name="__123Graph_BCHART8" localSheetId="0" hidden="1">#REF!</definedName>
    <definedName name="__123Graph_BCHART8" localSheetId="12" hidden="1">#REF!</definedName>
    <definedName name="__123Graph_BCHART8" localSheetId="8" hidden="1">#REF!</definedName>
    <definedName name="__123Graph_BCHART8" localSheetId="4" hidden="1">#REF!</definedName>
    <definedName name="__123Graph_BCHART8" localSheetId="5" hidden="1">#REF!</definedName>
    <definedName name="__123Graph_BCHART8" localSheetId="2" hidden="1">#REF!</definedName>
    <definedName name="__123Graph_BCHART8" localSheetId="17" hidden="1">#REF!</definedName>
    <definedName name="__123Graph_BCHART8" localSheetId="19" hidden="1">#REF!</definedName>
    <definedName name="__123Graph_BCHART8" hidden="1">#REF!</definedName>
    <definedName name="__123Graph_BCHART9" localSheetId="15" hidden="1">#REF!</definedName>
    <definedName name="__123Graph_BCHART9" localSheetId="7" hidden="1">#REF!</definedName>
    <definedName name="__123Graph_BCHART9" localSheetId="0" hidden="1">#REF!</definedName>
    <definedName name="__123Graph_BCHART9" localSheetId="12" hidden="1">#REF!</definedName>
    <definedName name="__123Graph_BCHART9" localSheetId="8" hidden="1">#REF!</definedName>
    <definedName name="__123Graph_BCHART9" localSheetId="4" hidden="1">#REF!</definedName>
    <definedName name="__123Graph_BCHART9" localSheetId="5" hidden="1">#REF!</definedName>
    <definedName name="__123Graph_BCHART9" localSheetId="2" hidden="1">#REF!</definedName>
    <definedName name="__123Graph_BCHART9" localSheetId="17" hidden="1">#REF!</definedName>
    <definedName name="__123Graph_BCHART9" localSheetId="19" hidden="1">#REF!</definedName>
    <definedName name="__123Graph_BCHART9" hidden="1">#REF!</definedName>
    <definedName name="__123Graph_BSLIDE17" localSheetId="15" hidden="1">#REF!</definedName>
    <definedName name="__123Graph_BSLIDE17" localSheetId="7" hidden="1">#REF!</definedName>
    <definedName name="__123Graph_BSLIDE17" localSheetId="0" hidden="1">#REF!</definedName>
    <definedName name="__123Graph_BSLIDE17" localSheetId="12" hidden="1">#REF!</definedName>
    <definedName name="__123Graph_BSLIDE17" localSheetId="8" hidden="1">#REF!</definedName>
    <definedName name="__123Graph_BSLIDE17" localSheetId="4" hidden="1">#REF!</definedName>
    <definedName name="__123Graph_BSLIDE17" localSheetId="5" hidden="1">#REF!</definedName>
    <definedName name="__123Graph_BSLIDE17" localSheetId="2" hidden="1">#REF!</definedName>
    <definedName name="__123Graph_BSLIDE17" localSheetId="17" hidden="1">#REF!</definedName>
    <definedName name="__123Graph_BSLIDE17" localSheetId="19" hidden="1">#REF!</definedName>
    <definedName name="__123Graph_BSLIDE17" hidden="1">#REF!</definedName>
    <definedName name="__123Graph_BSLIDEIII15" localSheetId="15" hidden="1">#REF!</definedName>
    <definedName name="__123Graph_BSLIDEIII15" localSheetId="7" hidden="1">#REF!</definedName>
    <definedName name="__123Graph_BSLIDEIII15" localSheetId="0" hidden="1">#REF!</definedName>
    <definedName name="__123Graph_BSLIDEIII15" localSheetId="12" hidden="1">#REF!</definedName>
    <definedName name="__123Graph_BSLIDEIII15" localSheetId="8" hidden="1">#REF!</definedName>
    <definedName name="__123Graph_BSLIDEIII15" localSheetId="4" hidden="1">#REF!</definedName>
    <definedName name="__123Graph_BSLIDEIII15" localSheetId="5" hidden="1">#REF!</definedName>
    <definedName name="__123Graph_BSLIDEIII15" localSheetId="2" hidden="1">#REF!</definedName>
    <definedName name="__123Graph_BSLIDEIII15" localSheetId="17" hidden="1">#REF!</definedName>
    <definedName name="__123Graph_BSLIDEIII15" localSheetId="19" hidden="1">#REF!</definedName>
    <definedName name="__123Graph_BSLIDEIII15" hidden="1">#REF!</definedName>
    <definedName name="__123Graph_BSLIDEIII25" localSheetId="15" hidden="1">#REF!</definedName>
    <definedName name="__123Graph_BSLIDEIII25" localSheetId="7" hidden="1">#REF!</definedName>
    <definedName name="__123Graph_BSLIDEIII25" localSheetId="0" hidden="1">#REF!</definedName>
    <definedName name="__123Graph_BSLIDEIII25" localSheetId="12" hidden="1">#REF!</definedName>
    <definedName name="__123Graph_BSLIDEIII25" localSheetId="8" hidden="1">#REF!</definedName>
    <definedName name="__123Graph_BSLIDEIII25" localSheetId="4" hidden="1">#REF!</definedName>
    <definedName name="__123Graph_BSLIDEIII25" localSheetId="5" hidden="1">#REF!</definedName>
    <definedName name="__123Graph_BSLIDEIII25" localSheetId="2" hidden="1">#REF!</definedName>
    <definedName name="__123Graph_BSLIDEIII25" localSheetId="17" hidden="1">#REF!</definedName>
    <definedName name="__123Graph_BSLIDEIII25" localSheetId="19" hidden="1">#REF!</definedName>
    <definedName name="__123Graph_BSLIDEIII25" hidden="1">#REF!</definedName>
    <definedName name="__123Graph_BSLIDEIII26" localSheetId="15" hidden="1">#REF!</definedName>
    <definedName name="__123Graph_BSLIDEIII26" localSheetId="7" hidden="1">#REF!</definedName>
    <definedName name="__123Graph_BSLIDEIII26" localSheetId="0" hidden="1">#REF!</definedName>
    <definedName name="__123Graph_BSLIDEIII26" localSheetId="12" hidden="1">#REF!</definedName>
    <definedName name="__123Graph_BSLIDEIII26" localSheetId="8" hidden="1">#REF!</definedName>
    <definedName name="__123Graph_BSLIDEIII26" localSheetId="4" hidden="1">#REF!</definedName>
    <definedName name="__123Graph_BSLIDEIII26" localSheetId="5" hidden="1">#REF!</definedName>
    <definedName name="__123Graph_BSLIDEIII26" localSheetId="2" hidden="1">#REF!</definedName>
    <definedName name="__123Graph_BSLIDEIII26" localSheetId="17" hidden="1">#REF!</definedName>
    <definedName name="__123Graph_BSLIDEIII26" localSheetId="19" hidden="1">#REF!</definedName>
    <definedName name="__123Graph_BSLIDEIII26" hidden="1">#REF!</definedName>
    <definedName name="__123Graph_C" localSheetId="15" hidden="1">'[1]Graph Data'!#REF!</definedName>
    <definedName name="__123Graph_C" localSheetId="7" hidden="1">'[1]Graph Data'!#REF!</definedName>
    <definedName name="__123Graph_C" localSheetId="0" hidden="1">'[1]Graph Data'!#REF!</definedName>
    <definedName name="__123Graph_C" localSheetId="12" hidden="1">'[1]Graph Data'!#REF!</definedName>
    <definedName name="__123Graph_C" localSheetId="8" hidden="1">'[1]Graph Data'!#REF!</definedName>
    <definedName name="__123Graph_C" localSheetId="4" hidden="1">'[1]Graph Data'!#REF!</definedName>
    <definedName name="__123Graph_C" localSheetId="5" hidden="1">'[1]Graph Data'!#REF!</definedName>
    <definedName name="__123Graph_C" localSheetId="2" hidden="1">'[1]Graph Data'!#REF!</definedName>
    <definedName name="__123Graph_C" localSheetId="17" hidden="1">'[1]Graph Data'!#REF!</definedName>
    <definedName name="__123Graph_C" localSheetId="19" hidden="1">'[2]Graph Data'!#REF!</definedName>
    <definedName name="__123Graph_C" hidden="1">'[1]Graph Data'!#REF!</definedName>
    <definedName name="__123Graph_CCHART1" localSheetId="15" hidden="1">#REF!</definedName>
    <definedName name="__123Graph_CCHART1" localSheetId="7" hidden="1">#REF!</definedName>
    <definedName name="__123Graph_CCHART1" localSheetId="0" hidden="1">#REF!</definedName>
    <definedName name="__123Graph_CCHART1" localSheetId="12" hidden="1">#REF!</definedName>
    <definedName name="__123Graph_CCHART1" localSheetId="8" hidden="1">#REF!</definedName>
    <definedName name="__123Graph_CCHART1" localSheetId="4" hidden="1">#REF!</definedName>
    <definedName name="__123Graph_CCHART1" localSheetId="5" hidden="1">#REF!</definedName>
    <definedName name="__123Graph_CCHART1" localSheetId="2" hidden="1">#REF!</definedName>
    <definedName name="__123Graph_CCHART1" localSheetId="17" hidden="1">#REF!</definedName>
    <definedName name="__123Graph_CCHART1" localSheetId="19" hidden="1">#REF!</definedName>
    <definedName name="__123Graph_CCHART1" hidden="1">#REF!</definedName>
    <definedName name="__123Graph_CCHART10" localSheetId="15" hidden="1">#REF!</definedName>
    <definedName name="__123Graph_CCHART10" localSheetId="7" hidden="1">#REF!</definedName>
    <definedName name="__123Graph_CCHART10" localSheetId="0" hidden="1">#REF!</definedName>
    <definedName name="__123Graph_CCHART10" localSheetId="12" hidden="1">#REF!</definedName>
    <definedName name="__123Graph_CCHART10" localSheetId="8" hidden="1">#REF!</definedName>
    <definedName name="__123Graph_CCHART10" localSheetId="4" hidden="1">#REF!</definedName>
    <definedName name="__123Graph_CCHART10" localSheetId="5" hidden="1">#REF!</definedName>
    <definedName name="__123Graph_CCHART10" localSheetId="2" hidden="1">#REF!</definedName>
    <definedName name="__123Graph_CCHART10" localSheetId="17" hidden="1">#REF!</definedName>
    <definedName name="__123Graph_CCHART10" localSheetId="19" hidden="1">#REF!</definedName>
    <definedName name="__123Graph_CCHART10" hidden="1">#REF!</definedName>
    <definedName name="__123Graph_CCHART11" localSheetId="15" hidden="1">#REF!</definedName>
    <definedName name="__123Graph_CCHART11" localSheetId="7" hidden="1">#REF!</definedName>
    <definedName name="__123Graph_CCHART11" localSheetId="0" hidden="1">#REF!</definedName>
    <definedName name="__123Graph_CCHART11" localSheetId="12" hidden="1">#REF!</definedName>
    <definedName name="__123Graph_CCHART11" localSheetId="8" hidden="1">#REF!</definedName>
    <definedName name="__123Graph_CCHART11" localSheetId="4" hidden="1">#REF!</definedName>
    <definedName name="__123Graph_CCHART11" localSheetId="5" hidden="1">#REF!</definedName>
    <definedName name="__123Graph_CCHART11" localSheetId="2" hidden="1">#REF!</definedName>
    <definedName name="__123Graph_CCHART11" localSheetId="17" hidden="1">#REF!</definedName>
    <definedName name="__123Graph_CCHART11" localSheetId="19" hidden="1">#REF!</definedName>
    <definedName name="__123Graph_CCHART11" hidden="1">#REF!</definedName>
    <definedName name="__123Graph_CCHART14" localSheetId="15" hidden="1">#REF!</definedName>
    <definedName name="__123Graph_CCHART14" localSheetId="7" hidden="1">#REF!</definedName>
    <definedName name="__123Graph_CCHART14" localSheetId="0" hidden="1">#REF!</definedName>
    <definedName name="__123Graph_CCHART14" localSheetId="12" hidden="1">#REF!</definedName>
    <definedName name="__123Graph_CCHART14" localSheetId="8" hidden="1">#REF!</definedName>
    <definedName name="__123Graph_CCHART14" localSheetId="4" hidden="1">#REF!</definedName>
    <definedName name="__123Graph_CCHART14" localSheetId="5" hidden="1">#REF!</definedName>
    <definedName name="__123Graph_CCHART14" localSheetId="2" hidden="1">#REF!</definedName>
    <definedName name="__123Graph_CCHART14" localSheetId="17" hidden="1">#REF!</definedName>
    <definedName name="__123Graph_CCHART14" localSheetId="19" hidden="1">#REF!</definedName>
    <definedName name="__123Graph_CCHART14" hidden="1">#REF!</definedName>
    <definedName name="__123Graph_CCHART15" localSheetId="15" hidden="1">#REF!</definedName>
    <definedName name="__123Graph_CCHART15" localSheetId="7" hidden="1">#REF!</definedName>
    <definedName name="__123Graph_CCHART15" localSheetId="0" hidden="1">#REF!</definedName>
    <definedName name="__123Graph_CCHART15" localSheetId="12" hidden="1">#REF!</definedName>
    <definedName name="__123Graph_CCHART15" localSheetId="8" hidden="1">#REF!</definedName>
    <definedName name="__123Graph_CCHART15" localSheetId="4" hidden="1">#REF!</definedName>
    <definedName name="__123Graph_CCHART15" localSheetId="5" hidden="1">#REF!</definedName>
    <definedName name="__123Graph_CCHART15" localSheetId="2" hidden="1">#REF!</definedName>
    <definedName name="__123Graph_CCHART15" localSheetId="17" hidden="1">#REF!</definedName>
    <definedName name="__123Graph_CCHART15" localSheetId="19" hidden="1">#REF!</definedName>
    <definedName name="__123Graph_CCHART15" hidden="1">#REF!</definedName>
    <definedName name="__123Graph_CCHART2" localSheetId="15" hidden="1">#REF!</definedName>
    <definedName name="__123Graph_CCHART2" localSheetId="7" hidden="1">#REF!</definedName>
    <definedName name="__123Graph_CCHART2" localSheetId="0" hidden="1">#REF!</definedName>
    <definedName name="__123Graph_CCHART2" localSheetId="12" hidden="1">#REF!</definedName>
    <definedName name="__123Graph_CCHART2" localSheetId="8" hidden="1">#REF!</definedName>
    <definedName name="__123Graph_CCHART2" localSheetId="4" hidden="1">#REF!</definedName>
    <definedName name="__123Graph_CCHART2" localSheetId="5" hidden="1">#REF!</definedName>
    <definedName name="__123Graph_CCHART2" localSheetId="2" hidden="1">#REF!</definedName>
    <definedName name="__123Graph_CCHART2" localSheetId="17" hidden="1">#REF!</definedName>
    <definedName name="__123Graph_CCHART2" localSheetId="19" hidden="1">#REF!</definedName>
    <definedName name="__123Graph_CCHART2" hidden="1">#REF!</definedName>
    <definedName name="__123Graph_CCHART22" localSheetId="15" hidden="1">#REF!</definedName>
    <definedName name="__123Graph_CCHART22" localSheetId="7" hidden="1">#REF!</definedName>
    <definedName name="__123Graph_CCHART22" localSheetId="0" hidden="1">#REF!</definedName>
    <definedName name="__123Graph_CCHART22" localSheetId="12" hidden="1">#REF!</definedName>
    <definedName name="__123Graph_CCHART22" localSheetId="8" hidden="1">#REF!</definedName>
    <definedName name="__123Graph_CCHART22" localSheetId="4" hidden="1">#REF!</definedName>
    <definedName name="__123Graph_CCHART22" localSheetId="5" hidden="1">#REF!</definedName>
    <definedName name="__123Graph_CCHART22" localSheetId="2" hidden="1">#REF!</definedName>
    <definedName name="__123Graph_CCHART22" localSheetId="17" hidden="1">#REF!</definedName>
    <definedName name="__123Graph_CCHART22" localSheetId="19" hidden="1">#REF!</definedName>
    <definedName name="__123Graph_CCHART22" hidden="1">#REF!</definedName>
    <definedName name="__123Graph_CCHART3" localSheetId="15" hidden="1">#REF!</definedName>
    <definedName name="__123Graph_CCHART3" localSheetId="7" hidden="1">#REF!</definedName>
    <definedName name="__123Graph_CCHART3" localSheetId="0" hidden="1">#REF!</definedName>
    <definedName name="__123Graph_CCHART3" localSheetId="12" hidden="1">#REF!</definedName>
    <definedName name="__123Graph_CCHART3" localSheetId="8" hidden="1">#REF!</definedName>
    <definedName name="__123Graph_CCHART3" localSheetId="4" hidden="1">#REF!</definedName>
    <definedName name="__123Graph_CCHART3" localSheetId="5" hidden="1">#REF!</definedName>
    <definedName name="__123Graph_CCHART3" localSheetId="2" hidden="1">#REF!</definedName>
    <definedName name="__123Graph_CCHART3" localSheetId="17" hidden="1">#REF!</definedName>
    <definedName name="__123Graph_CCHART3" localSheetId="19" hidden="1">#REF!</definedName>
    <definedName name="__123Graph_CCHART3" hidden="1">#REF!</definedName>
    <definedName name="__123Graph_CCHART6" localSheetId="15" hidden="1">#REF!</definedName>
    <definedName name="__123Graph_CCHART6" localSheetId="7" hidden="1">#REF!</definedName>
    <definedName name="__123Graph_CCHART6" localSheetId="0" hidden="1">#REF!</definedName>
    <definedName name="__123Graph_CCHART6" localSheetId="12" hidden="1">#REF!</definedName>
    <definedName name="__123Graph_CCHART6" localSheetId="8" hidden="1">#REF!</definedName>
    <definedName name="__123Graph_CCHART6" localSheetId="4" hidden="1">#REF!</definedName>
    <definedName name="__123Graph_CCHART6" localSheetId="5" hidden="1">#REF!</definedName>
    <definedName name="__123Graph_CCHART6" localSheetId="2" hidden="1">#REF!</definedName>
    <definedName name="__123Graph_CCHART6" localSheetId="17" hidden="1">#REF!</definedName>
    <definedName name="__123Graph_CCHART6" localSheetId="19" hidden="1">#REF!</definedName>
    <definedName name="__123Graph_CCHART6" hidden="1">#REF!</definedName>
    <definedName name="__123Graph_CCHART7" localSheetId="15" hidden="1">#REF!</definedName>
    <definedName name="__123Graph_CCHART7" localSheetId="7" hidden="1">#REF!</definedName>
    <definedName name="__123Graph_CCHART7" localSheetId="0" hidden="1">#REF!</definedName>
    <definedName name="__123Graph_CCHART7" localSheetId="12" hidden="1">#REF!</definedName>
    <definedName name="__123Graph_CCHART7" localSheetId="8" hidden="1">#REF!</definedName>
    <definedName name="__123Graph_CCHART7" localSheetId="4" hidden="1">#REF!</definedName>
    <definedName name="__123Graph_CCHART7" localSheetId="5" hidden="1">#REF!</definedName>
    <definedName name="__123Graph_CCHART7" localSheetId="2" hidden="1">#REF!</definedName>
    <definedName name="__123Graph_CCHART7" localSheetId="17" hidden="1">#REF!</definedName>
    <definedName name="__123Graph_CCHART7" localSheetId="19" hidden="1">#REF!</definedName>
    <definedName name="__123Graph_CCHART7" hidden="1">#REF!</definedName>
    <definedName name="__123Graph_CCHART8" localSheetId="15" hidden="1">#REF!</definedName>
    <definedName name="__123Graph_CCHART8" localSheetId="7" hidden="1">#REF!</definedName>
    <definedName name="__123Graph_CCHART8" localSheetId="0" hidden="1">#REF!</definedName>
    <definedName name="__123Graph_CCHART8" localSheetId="12" hidden="1">#REF!</definedName>
    <definedName name="__123Graph_CCHART8" localSheetId="8" hidden="1">#REF!</definedName>
    <definedName name="__123Graph_CCHART8" localSheetId="4" hidden="1">#REF!</definedName>
    <definedName name="__123Graph_CCHART8" localSheetId="5" hidden="1">#REF!</definedName>
    <definedName name="__123Graph_CCHART8" localSheetId="2" hidden="1">#REF!</definedName>
    <definedName name="__123Graph_CCHART8" localSheetId="17" hidden="1">#REF!</definedName>
    <definedName name="__123Graph_CCHART8" localSheetId="19" hidden="1">#REF!</definedName>
    <definedName name="__123Graph_CCHART8" hidden="1">#REF!</definedName>
    <definedName name="__123Graph_CSLIDEIII25" localSheetId="15" hidden="1">#REF!</definedName>
    <definedName name="__123Graph_CSLIDEIII25" localSheetId="7" hidden="1">#REF!</definedName>
    <definedName name="__123Graph_CSLIDEIII25" localSheetId="0" hidden="1">#REF!</definedName>
    <definedName name="__123Graph_CSLIDEIII25" localSheetId="12" hidden="1">#REF!</definedName>
    <definedName name="__123Graph_CSLIDEIII25" localSheetId="8" hidden="1">#REF!</definedName>
    <definedName name="__123Graph_CSLIDEIII25" localSheetId="4" hidden="1">#REF!</definedName>
    <definedName name="__123Graph_CSLIDEIII25" localSheetId="5" hidden="1">#REF!</definedName>
    <definedName name="__123Graph_CSLIDEIII25" localSheetId="2" hidden="1">#REF!</definedName>
    <definedName name="__123Graph_CSLIDEIII25" localSheetId="17" hidden="1">#REF!</definedName>
    <definedName name="__123Graph_CSLIDEIII25" localSheetId="19" hidden="1">#REF!</definedName>
    <definedName name="__123Graph_CSLIDEIII25" hidden="1">#REF!</definedName>
    <definedName name="__123Graph_CSLIDEIII26" localSheetId="15" hidden="1">#REF!</definedName>
    <definedName name="__123Graph_CSLIDEIII26" localSheetId="7" hidden="1">#REF!</definedName>
    <definedName name="__123Graph_CSLIDEIII26" localSheetId="0" hidden="1">#REF!</definedName>
    <definedName name="__123Graph_CSLIDEIII26" localSheetId="12" hidden="1">#REF!</definedName>
    <definedName name="__123Graph_CSLIDEIII26" localSheetId="8" hidden="1">#REF!</definedName>
    <definedName name="__123Graph_CSLIDEIII26" localSheetId="4" hidden="1">#REF!</definedName>
    <definedName name="__123Graph_CSLIDEIII26" localSheetId="5" hidden="1">#REF!</definedName>
    <definedName name="__123Graph_CSLIDEIII26" localSheetId="2" hidden="1">#REF!</definedName>
    <definedName name="__123Graph_CSLIDEIII26" localSheetId="17" hidden="1">#REF!</definedName>
    <definedName name="__123Graph_CSLIDEIII26" localSheetId="19" hidden="1">#REF!</definedName>
    <definedName name="__123Graph_CSLIDEIII26" hidden="1">#REF!</definedName>
    <definedName name="__123Graph_DCHART10" localSheetId="15" hidden="1">#REF!</definedName>
    <definedName name="__123Graph_DCHART10" localSheetId="7" hidden="1">#REF!</definedName>
    <definedName name="__123Graph_DCHART10" localSheetId="0" hidden="1">#REF!</definedName>
    <definedName name="__123Graph_DCHART10" localSheetId="12" hidden="1">#REF!</definedName>
    <definedName name="__123Graph_DCHART10" localSheetId="8" hidden="1">#REF!</definedName>
    <definedName name="__123Graph_DCHART10" localSheetId="4" hidden="1">#REF!</definedName>
    <definedName name="__123Graph_DCHART10" localSheetId="5" hidden="1">#REF!</definedName>
    <definedName name="__123Graph_DCHART10" localSheetId="2" hidden="1">#REF!</definedName>
    <definedName name="__123Graph_DCHART10" localSheetId="17" hidden="1">#REF!</definedName>
    <definedName name="__123Graph_DCHART10" localSheetId="19" hidden="1">#REF!</definedName>
    <definedName name="__123Graph_DCHART10" hidden="1">#REF!</definedName>
    <definedName name="__123Graph_DCHART14" localSheetId="15" hidden="1">#REF!</definedName>
    <definedName name="__123Graph_DCHART14" localSheetId="7" hidden="1">#REF!</definedName>
    <definedName name="__123Graph_DCHART14" localSheetId="0" hidden="1">#REF!</definedName>
    <definedName name="__123Graph_DCHART14" localSheetId="12" hidden="1">#REF!</definedName>
    <definedName name="__123Graph_DCHART14" localSheetId="8" hidden="1">#REF!</definedName>
    <definedName name="__123Graph_DCHART14" localSheetId="4" hidden="1">#REF!</definedName>
    <definedName name="__123Graph_DCHART14" localSheetId="5" hidden="1">#REF!</definedName>
    <definedName name="__123Graph_DCHART14" localSheetId="2" hidden="1">#REF!</definedName>
    <definedName name="__123Graph_DCHART14" localSheetId="17" hidden="1">#REF!</definedName>
    <definedName name="__123Graph_DCHART14" localSheetId="19" hidden="1">#REF!</definedName>
    <definedName name="__123Graph_DCHART14" hidden="1">#REF!</definedName>
    <definedName name="__123Graph_DSLIDEIII25" localSheetId="15" hidden="1">#REF!</definedName>
    <definedName name="__123Graph_DSLIDEIII25" localSheetId="7" hidden="1">#REF!</definedName>
    <definedName name="__123Graph_DSLIDEIII25" localSheetId="0" hidden="1">#REF!</definedName>
    <definedName name="__123Graph_DSLIDEIII25" localSheetId="12" hidden="1">#REF!</definedName>
    <definedName name="__123Graph_DSLIDEIII25" localSheetId="8" hidden="1">#REF!</definedName>
    <definedName name="__123Graph_DSLIDEIII25" localSheetId="4" hidden="1">#REF!</definedName>
    <definedName name="__123Graph_DSLIDEIII25" localSheetId="5" hidden="1">#REF!</definedName>
    <definedName name="__123Graph_DSLIDEIII25" localSheetId="2" hidden="1">#REF!</definedName>
    <definedName name="__123Graph_DSLIDEIII25" localSheetId="17" hidden="1">#REF!</definedName>
    <definedName name="__123Graph_DSLIDEIII25" localSheetId="19" hidden="1">#REF!</definedName>
    <definedName name="__123Graph_DSLIDEIII25" hidden="1">#REF!</definedName>
    <definedName name="__123Graph_LBL_A" localSheetId="15" hidden="1">'[3]Financial Summary'!#REF!</definedName>
    <definedName name="__123Graph_LBL_A" localSheetId="7" hidden="1">'[3]Financial Summary'!#REF!</definedName>
    <definedName name="__123Graph_LBL_A" localSheetId="0" hidden="1">'[3]Financial Summary'!#REF!</definedName>
    <definedName name="__123Graph_LBL_A" localSheetId="12" hidden="1">'[3]Financial Summary'!#REF!</definedName>
    <definedName name="__123Graph_LBL_A" localSheetId="8" hidden="1">'[3]Financial Summary'!#REF!</definedName>
    <definedName name="__123Graph_LBL_A" localSheetId="4" hidden="1">'[3]Financial Summary'!#REF!</definedName>
    <definedName name="__123Graph_LBL_A" localSheetId="5" hidden="1">'[3]Financial Summary'!#REF!</definedName>
    <definedName name="__123Graph_LBL_A" localSheetId="2" hidden="1">'[3]Financial Summary'!#REF!</definedName>
    <definedName name="__123Graph_LBL_A" localSheetId="17" hidden="1">'[3]Financial Summary'!#REF!</definedName>
    <definedName name="__123Graph_LBL_A" localSheetId="19" hidden="1">'[3]Financial Summary'!#REF!</definedName>
    <definedName name="__123Graph_LBL_A" hidden="1">'[3]Financial Summary'!#REF!</definedName>
    <definedName name="__123Graph_LBL_CCHART22" localSheetId="15" hidden="1">#REF!</definedName>
    <definedName name="__123Graph_LBL_CCHART22" localSheetId="7" hidden="1">#REF!</definedName>
    <definedName name="__123Graph_LBL_CCHART22" localSheetId="0" hidden="1">#REF!</definedName>
    <definedName name="__123Graph_LBL_CCHART22" localSheetId="12" hidden="1">#REF!</definedName>
    <definedName name="__123Graph_LBL_CCHART22" localSheetId="8" hidden="1">#REF!</definedName>
    <definedName name="__123Graph_LBL_CCHART22" localSheetId="4" hidden="1">#REF!</definedName>
    <definedName name="__123Graph_LBL_CCHART22" localSheetId="5" hidden="1">#REF!</definedName>
    <definedName name="__123Graph_LBL_CCHART22" localSheetId="2" hidden="1">#REF!</definedName>
    <definedName name="__123Graph_LBL_CCHART22" localSheetId="17" hidden="1">#REF!</definedName>
    <definedName name="__123Graph_LBL_CCHART22" localSheetId="19" hidden="1">#REF!</definedName>
    <definedName name="__123Graph_LBL_CCHART22" hidden="1">#REF!</definedName>
    <definedName name="__123Graph_LBL_F" localSheetId="15" hidden="1">'[3]Financial Summary'!#REF!</definedName>
    <definedName name="__123Graph_LBL_F" localSheetId="7" hidden="1">'[3]Financial Summary'!#REF!</definedName>
    <definedName name="__123Graph_LBL_F" localSheetId="0" hidden="1">'[3]Financial Summary'!#REF!</definedName>
    <definedName name="__123Graph_LBL_F" localSheetId="12" hidden="1">'[3]Financial Summary'!#REF!</definedName>
    <definedName name="__123Graph_LBL_F" localSheetId="8" hidden="1">'[3]Financial Summary'!#REF!</definedName>
    <definedName name="__123Graph_LBL_F" localSheetId="4" hidden="1">'[3]Financial Summary'!#REF!</definedName>
    <definedName name="__123Graph_LBL_F" localSheetId="5" hidden="1">'[3]Financial Summary'!#REF!</definedName>
    <definedName name="__123Graph_LBL_F" localSheetId="2" hidden="1">'[3]Financial Summary'!#REF!</definedName>
    <definedName name="__123Graph_LBL_F" localSheetId="17" hidden="1">'[3]Financial Summary'!#REF!</definedName>
    <definedName name="__123Graph_LBL_F" localSheetId="19" hidden="1">'[3]Financial Summary'!#REF!</definedName>
    <definedName name="__123Graph_LBL_F" hidden="1">'[3]Financial Summary'!#REF!</definedName>
    <definedName name="__123Graph_X" localSheetId="15" hidden="1">'[1]Graph Data'!#REF!</definedName>
    <definedName name="__123Graph_X" localSheetId="7" hidden="1">'[1]Graph Data'!#REF!</definedName>
    <definedName name="__123Graph_X" localSheetId="0" hidden="1">'[1]Graph Data'!#REF!</definedName>
    <definedName name="__123Graph_X" localSheetId="12" hidden="1">'[1]Graph Data'!#REF!</definedName>
    <definedName name="__123Graph_X" localSheetId="8" hidden="1">'[1]Graph Data'!#REF!</definedName>
    <definedName name="__123Graph_X" localSheetId="4" hidden="1">'[1]Graph Data'!#REF!</definedName>
    <definedName name="__123Graph_X" localSheetId="5" hidden="1">'[1]Graph Data'!#REF!</definedName>
    <definedName name="__123Graph_X" localSheetId="2" hidden="1">'[1]Graph Data'!#REF!</definedName>
    <definedName name="__123Graph_X" localSheetId="17" hidden="1">'[1]Graph Data'!#REF!</definedName>
    <definedName name="__123Graph_X" localSheetId="19" hidden="1">'[2]Graph Data'!#REF!</definedName>
    <definedName name="__123Graph_X" hidden="1">'[1]Graph Data'!#REF!</definedName>
    <definedName name="__123Graph_XCHART1" localSheetId="15" hidden="1">#REF!</definedName>
    <definedName name="__123Graph_XCHART1" localSheetId="7" hidden="1">#REF!</definedName>
    <definedName name="__123Graph_XCHART1" localSheetId="0" hidden="1">#REF!</definedName>
    <definedName name="__123Graph_XCHART1" localSheetId="12" hidden="1">#REF!</definedName>
    <definedName name="__123Graph_XCHART1" localSheetId="8" hidden="1">#REF!</definedName>
    <definedName name="__123Graph_XCHART1" localSheetId="4" hidden="1">#REF!</definedName>
    <definedName name="__123Graph_XCHART1" localSheetId="5" hidden="1">#REF!</definedName>
    <definedName name="__123Graph_XCHART1" localSheetId="2" hidden="1">#REF!</definedName>
    <definedName name="__123Graph_XCHART1" localSheetId="17" hidden="1">#REF!</definedName>
    <definedName name="__123Graph_XCHART1" localSheetId="19" hidden="1">#REF!</definedName>
    <definedName name="__123Graph_XCHART1" hidden="1">#REF!</definedName>
    <definedName name="__123Graph_XCHART10" localSheetId="15" hidden="1">#REF!</definedName>
    <definedName name="__123Graph_XCHART10" localSheetId="7" hidden="1">#REF!</definedName>
    <definedName name="__123Graph_XCHART10" localSheetId="0" hidden="1">#REF!</definedName>
    <definedName name="__123Graph_XCHART10" localSheetId="12" hidden="1">#REF!</definedName>
    <definedName name="__123Graph_XCHART10" localSheetId="8" hidden="1">#REF!</definedName>
    <definedName name="__123Graph_XCHART10" localSheetId="4" hidden="1">#REF!</definedName>
    <definedName name="__123Graph_XCHART10" localSheetId="5" hidden="1">#REF!</definedName>
    <definedName name="__123Graph_XCHART10" localSheetId="2" hidden="1">#REF!</definedName>
    <definedName name="__123Graph_XCHART10" localSheetId="17" hidden="1">#REF!</definedName>
    <definedName name="__123Graph_XCHART10" localSheetId="19" hidden="1">#REF!</definedName>
    <definedName name="__123Graph_XCHART10" hidden="1">#REF!</definedName>
    <definedName name="__123Graph_XCHART11" localSheetId="15" hidden="1">#REF!</definedName>
    <definedName name="__123Graph_XCHART11" localSheetId="7" hidden="1">#REF!</definedName>
    <definedName name="__123Graph_XCHART11" localSheetId="0" hidden="1">#REF!</definedName>
    <definedName name="__123Graph_XCHART11" localSheetId="12" hidden="1">#REF!</definedName>
    <definedName name="__123Graph_XCHART11" localSheetId="8" hidden="1">#REF!</definedName>
    <definedName name="__123Graph_XCHART11" localSheetId="4" hidden="1">#REF!</definedName>
    <definedName name="__123Graph_XCHART11" localSheetId="5" hidden="1">#REF!</definedName>
    <definedName name="__123Graph_XCHART11" localSheetId="2" hidden="1">#REF!</definedName>
    <definedName name="__123Graph_XCHART11" localSheetId="17" hidden="1">#REF!</definedName>
    <definedName name="__123Graph_XCHART11" localSheetId="19" hidden="1">#REF!</definedName>
    <definedName name="__123Graph_XCHART11" hidden="1">#REF!</definedName>
    <definedName name="__123Graph_XCHART12" localSheetId="15" hidden="1">#REF!</definedName>
    <definedName name="__123Graph_XCHART12" localSheetId="7" hidden="1">#REF!</definedName>
    <definedName name="__123Graph_XCHART12" localSheetId="0" hidden="1">#REF!</definedName>
    <definedName name="__123Graph_XCHART12" localSheetId="12" hidden="1">#REF!</definedName>
    <definedName name="__123Graph_XCHART12" localSheetId="8" hidden="1">#REF!</definedName>
    <definedName name="__123Graph_XCHART12" localSheetId="4" hidden="1">#REF!</definedName>
    <definedName name="__123Graph_XCHART12" localSheetId="5" hidden="1">#REF!</definedName>
    <definedName name="__123Graph_XCHART12" localSheetId="2" hidden="1">#REF!</definedName>
    <definedName name="__123Graph_XCHART12" localSheetId="17" hidden="1">#REF!</definedName>
    <definedName name="__123Graph_XCHART12" localSheetId="19" hidden="1">#REF!</definedName>
    <definedName name="__123Graph_XCHART12" hidden="1">#REF!</definedName>
    <definedName name="__123Graph_XCHART13" localSheetId="15" hidden="1">#REF!</definedName>
    <definedName name="__123Graph_XCHART13" localSheetId="7" hidden="1">#REF!</definedName>
    <definedName name="__123Graph_XCHART13" localSheetId="0" hidden="1">#REF!</definedName>
    <definedName name="__123Graph_XCHART13" localSheetId="12" hidden="1">#REF!</definedName>
    <definedName name="__123Graph_XCHART13" localSheetId="8" hidden="1">#REF!</definedName>
    <definedName name="__123Graph_XCHART13" localSheetId="4" hidden="1">#REF!</definedName>
    <definedName name="__123Graph_XCHART13" localSheetId="5" hidden="1">#REF!</definedName>
    <definedName name="__123Graph_XCHART13" localSheetId="2" hidden="1">#REF!</definedName>
    <definedName name="__123Graph_XCHART13" localSheetId="17" hidden="1">#REF!</definedName>
    <definedName name="__123Graph_XCHART13" localSheetId="19" hidden="1">#REF!</definedName>
    <definedName name="__123Graph_XCHART13" hidden="1">#REF!</definedName>
    <definedName name="__123Graph_XCHART14" localSheetId="15" hidden="1">#REF!</definedName>
    <definedName name="__123Graph_XCHART14" localSheetId="7" hidden="1">#REF!</definedName>
    <definedName name="__123Graph_XCHART14" localSheetId="0" hidden="1">#REF!</definedName>
    <definedName name="__123Graph_XCHART14" localSheetId="12" hidden="1">#REF!</definedName>
    <definedName name="__123Graph_XCHART14" localSheetId="8" hidden="1">#REF!</definedName>
    <definedName name="__123Graph_XCHART14" localSheetId="4" hidden="1">#REF!</definedName>
    <definedName name="__123Graph_XCHART14" localSheetId="5" hidden="1">#REF!</definedName>
    <definedName name="__123Graph_XCHART14" localSheetId="2" hidden="1">#REF!</definedName>
    <definedName name="__123Graph_XCHART14" localSheetId="17" hidden="1">#REF!</definedName>
    <definedName name="__123Graph_XCHART14" localSheetId="19" hidden="1">#REF!</definedName>
    <definedName name="__123Graph_XCHART14" hidden="1">#REF!</definedName>
    <definedName name="__123Graph_XCHART15" localSheetId="15" hidden="1">#REF!</definedName>
    <definedName name="__123Graph_XCHART15" localSheetId="7" hidden="1">#REF!</definedName>
    <definedName name="__123Graph_XCHART15" localSheetId="0" hidden="1">#REF!</definedName>
    <definedName name="__123Graph_XCHART15" localSheetId="12" hidden="1">#REF!</definedName>
    <definedName name="__123Graph_XCHART15" localSheetId="8" hidden="1">#REF!</definedName>
    <definedName name="__123Graph_XCHART15" localSheetId="4" hidden="1">#REF!</definedName>
    <definedName name="__123Graph_XCHART15" localSheetId="5" hidden="1">#REF!</definedName>
    <definedName name="__123Graph_XCHART15" localSheetId="2" hidden="1">#REF!</definedName>
    <definedName name="__123Graph_XCHART15" localSheetId="17" hidden="1">#REF!</definedName>
    <definedName name="__123Graph_XCHART15" localSheetId="19" hidden="1">#REF!</definedName>
    <definedName name="__123Graph_XCHART15" hidden="1">#REF!</definedName>
    <definedName name="__123Graph_XCHART16" localSheetId="15" hidden="1">#REF!</definedName>
    <definedName name="__123Graph_XCHART16" localSheetId="7" hidden="1">#REF!</definedName>
    <definedName name="__123Graph_XCHART16" localSheetId="0" hidden="1">#REF!</definedName>
    <definedName name="__123Graph_XCHART16" localSheetId="12" hidden="1">#REF!</definedName>
    <definedName name="__123Graph_XCHART16" localSheetId="8" hidden="1">#REF!</definedName>
    <definedName name="__123Graph_XCHART16" localSheetId="4" hidden="1">#REF!</definedName>
    <definedName name="__123Graph_XCHART16" localSheetId="5" hidden="1">#REF!</definedName>
    <definedName name="__123Graph_XCHART16" localSheetId="2" hidden="1">#REF!</definedName>
    <definedName name="__123Graph_XCHART16" localSheetId="17" hidden="1">#REF!</definedName>
    <definedName name="__123Graph_XCHART16" localSheetId="19" hidden="1">#REF!</definedName>
    <definedName name="__123Graph_XCHART16" hidden="1">#REF!</definedName>
    <definedName name="__123Graph_XCHART17" localSheetId="15" hidden="1">#REF!</definedName>
    <definedName name="__123Graph_XCHART17" localSheetId="7" hidden="1">#REF!</definedName>
    <definedName name="__123Graph_XCHART17" localSheetId="0" hidden="1">#REF!</definedName>
    <definedName name="__123Graph_XCHART17" localSheetId="12" hidden="1">#REF!</definedName>
    <definedName name="__123Graph_XCHART17" localSheetId="8" hidden="1">#REF!</definedName>
    <definedName name="__123Graph_XCHART17" localSheetId="4" hidden="1">#REF!</definedName>
    <definedName name="__123Graph_XCHART17" localSheetId="5" hidden="1">#REF!</definedName>
    <definedName name="__123Graph_XCHART17" localSheetId="2" hidden="1">#REF!</definedName>
    <definedName name="__123Graph_XCHART17" localSheetId="17" hidden="1">#REF!</definedName>
    <definedName name="__123Graph_XCHART17" localSheetId="19" hidden="1">#REF!</definedName>
    <definedName name="__123Graph_XCHART17" hidden="1">#REF!</definedName>
    <definedName name="__123Graph_XCHART18" localSheetId="15" hidden="1">#REF!</definedName>
    <definedName name="__123Graph_XCHART18" localSheetId="7" hidden="1">#REF!</definedName>
    <definedName name="__123Graph_XCHART18" localSheetId="0" hidden="1">#REF!</definedName>
    <definedName name="__123Graph_XCHART18" localSheetId="12" hidden="1">#REF!</definedName>
    <definedName name="__123Graph_XCHART18" localSheetId="8" hidden="1">#REF!</definedName>
    <definedName name="__123Graph_XCHART18" localSheetId="4" hidden="1">#REF!</definedName>
    <definedName name="__123Graph_XCHART18" localSheetId="5" hidden="1">#REF!</definedName>
    <definedName name="__123Graph_XCHART18" localSheetId="2" hidden="1">#REF!</definedName>
    <definedName name="__123Graph_XCHART18" localSheetId="17" hidden="1">#REF!</definedName>
    <definedName name="__123Graph_XCHART18" localSheetId="19" hidden="1">#REF!</definedName>
    <definedName name="__123Graph_XCHART18" hidden="1">#REF!</definedName>
    <definedName name="__123Graph_XCHART19" localSheetId="15" hidden="1">#REF!</definedName>
    <definedName name="__123Graph_XCHART19" localSheetId="7" hidden="1">#REF!</definedName>
    <definedName name="__123Graph_XCHART19" localSheetId="0" hidden="1">#REF!</definedName>
    <definedName name="__123Graph_XCHART19" localSheetId="12" hidden="1">#REF!</definedName>
    <definedName name="__123Graph_XCHART19" localSheetId="8" hidden="1">#REF!</definedName>
    <definedName name="__123Graph_XCHART19" localSheetId="4" hidden="1">#REF!</definedName>
    <definedName name="__123Graph_XCHART19" localSheetId="5" hidden="1">#REF!</definedName>
    <definedName name="__123Graph_XCHART19" localSheetId="2" hidden="1">#REF!</definedName>
    <definedName name="__123Graph_XCHART19" localSheetId="17" hidden="1">#REF!</definedName>
    <definedName name="__123Graph_XCHART19" localSheetId="19" hidden="1">#REF!</definedName>
    <definedName name="__123Graph_XCHART19" hidden="1">#REF!</definedName>
    <definedName name="__123Graph_XCHART2" localSheetId="15" hidden="1">#REF!</definedName>
    <definedName name="__123Graph_XCHART2" localSheetId="7" hidden="1">#REF!</definedName>
    <definedName name="__123Graph_XCHART2" localSheetId="0" hidden="1">#REF!</definedName>
    <definedName name="__123Graph_XCHART2" localSheetId="12" hidden="1">#REF!</definedName>
    <definedName name="__123Graph_XCHART2" localSheetId="8" hidden="1">#REF!</definedName>
    <definedName name="__123Graph_XCHART2" localSheetId="4" hidden="1">#REF!</definedName>
    <definedName name="__123Graph_XCHART2" localSheetId="5" hidden="1">#REF!</definedName>
    <definedName name="__123Graph_XCHART2" localSheetId="2" hidden="1">#REF!</definedName>
    <definedName name="__123Graph_XCHART2" localSheetId="17" hidden="1">#REF!</definedName>
    <definedName name="__123Graph_XCHART2" localSheetId="19" hidden="1">#REF!</definedName>
    <definedName name="__123Graph_XCHART2" hidden="1">#REF!</definedName>
    <definedName name="__123Graph_XCHART20" localSheetId="15" hidden="1">#REF!</definedName>
    <definedName name="__123Graph_XCHART20" localSheetId="7" hidden="1">#REF!</definedName>
    <definedName name="__123Graph_XCHART20" localSheetId="0" hidden="1">#REF!</definedName>
    <definedName name="__123Graph_XCHART20" localSheetId="12" hidden="1">#REF!</definedName>
    <definedName name="__123Graph_XCHART20" localSheetId="8" hidden="1">#REF!</definedName>
    <definedName name="__123Graph_XCHART20" localSheetId="4" hidden="1">#REF!</definedName>
    <definedName name="__123Graph_XCHART20" localSheetId="5" hidden="1">#REF!</definedName>
    <definedName name="__123Graph_XCHART20" localSheetId="2" hidden="1">#REF!</definedName>
    <definedName name="__123Graph_XCHART20" localSheetId="17" hidden="1">#REF!</definedName>
    <definedName name="__123Graph_XCHART20" localSheetId="19" hidden="1">#REF!</definedName>
    <definedName name="__123Graph_XCHART20" hidden="1">#REF!</definedName>
    <definedName name="__123Graph_XCHART21" localSheetId="15" hidden="1">#REF!</definedName>
    <definedName name="__123Graph_XCHART21" localSheetId="7" hidden="1">#REF!</definedName>
    <definedName name="__123Graph_XCHART21" localSheetId="0" hidden="1">#REF!</definedName>
    <definedName name="__123Graph_XCHART21" localSheetId="12" hidden="1">#REF!</definedName>
    <definedName name="__123Graph_XCHART21" localSheetId="8" hidden="1">#REF!</definedName>
    <definedName name="__123Graph_XCHART21" localSheetId="4" hidden="1">#REF!</definedName>
    <definedName name="__123Graph_XCHART21" localSheetId="5" hidden="1">#REF!</definedName>
    <definedName name="__123Graph_XCHART21" localSheetId="2" hidden="1">#REF!</definedName>
    <definedName name="__123Graph_XCHART21" localSheetId="17" hidden="1">#REF!</definedName>
    <definedName name="__123Graph_XCHART21" localSheetId="19" hidden="1">#REF!</definedName>
    <definedName name="__123Graph_XCHART21" hidden="1">#REF!</definedName>
    <definedName name="__123Graph_XCHART22" localSheetId="15" hidden="1">#REF!</definedName>
    <definedName name="__123Graph_XCHART22" localSheetId="7" hidden="1">#REF!</definedName>
    <definedName name="__123Graph_XCHART22" localSheetId="0" hidden="1">#REF!</definedName>
    <definedName name="__123Graph_XCHART22" localSheetId="12" hidden="1">#REF!</definedName>
    <definedName name="__123Graph_XCHART22" localSheetId="8" hidden="1">#REF!</definedName>
    <definedName name="__123Graph_XCHART22" localSheetId="4" hidden="1">#REF!</definedName>
    <definedName name="__123Graph_XCHART22" localSheetId="5" hidden="1">#REF!</definedName>
    <definedName name="__123Graph_XCHART22" localSheetId="2" hidden="1">#REF!</definedName>
    <definedName name="__123Graph_XCHART22" localSheetId="17" hidden="1">#REF!</definedName>
    <definedName name="__123Graph_XCHART22" localSheetId="19" hidden="1">#REF!</definedName>
    <definedName name="__123Graph_XCHART22" hidden="1">#REF!</definedName>
    <definedName name="__123Graph_XCHART3" localSheetId="15" hidden="1">#REF!</definedName>
    <definedName name="__123Graph_XCHART3" localSheetId="7" hidden="1">#REF!</definedName>
    <definedName name="__123Graph_XCHART3" localSheetId="0" hidden="1">#REF!</definedName>
    <definedName name="__123Graph_XCHART3" localSheetId="12" hidden="1">#REF!</definedName>
    <definedName name="__123Graph_XCHART3" localSheetId="8" hidden="1">#REF!</definedName>
    <definedName name="__123Graph_XCHART3" localSheetId="4" hidden="1">#REF!</definedName>
    <definedName name="__123Graph_XCHART3" localSheetId="5" hidden="1">#REF!</definedName>
    <definedName name="__123Graph_XCHART3" localSheetId="2" hidden="1">#REF!</definedName>
    <definedName name="__123Graph_XCHART3" localSheetId="17" hidden="1">#REF!</definedName>
    <definedName name="__123Graph_XCHART3" localSheetId="19" hidden="1">#REF!</definedName>
    <definedName name="__123Graph_XCHART3" hidden="1">#REF!</definedName>
    <definedName name="__123Graph_XCHART4" localSheetId="15" hidden="1">#REF!</definedName>
    <definedName name="__123Graph_XCHART4" localSheetId="7" hidden="1">#REF!</definedName>
    <definedName name="__123Graph_XCHART4" localSheetId="0" hidden="1">#REF!</definedName>
    <definedName name="__123Graph_XCHART4" localSheetId="12" hidden="1">#REF!</definedName>
    <definedName name="__123Graph_XCHART4" localSheetId="8" hidden="1">#REF!</definedName>
    <definedName name="__123Graph_XCHART4" localSheetId="4" hidden="1">#REF!</definedName>
    <definedName name="__123Graph_XCHART4" localSheetId="5" hidden="1">#REF!</definedName>
    <definedName name="__123Graph_XCHART4" localSheetId="2" hidden="1">#REF!</definedName>
    <definedName name="__123Graph_XCHART4" localSheetId="17" hidden="1">#REF!</definedName>
    <definedName name="__123Graph_XCHART4" localSheetId="19" hidden="1">#REF!</definedName>
    <definedName name="__123Graph_XCHART4" hidden="1">#REF!</definedName>
    <definedName name="__123Graph_XCHART5" localSheetId="15" hidden="1">#REF!</definedName>
    <definedName name="__123Graph_XCHART5" localSheetId="7" hidden="1">#REF!</definedName>
    <definedName name="__123Graph_XCHART5" localSheetId="0" hidden="1">#REF!</definedName>
    <definedName name="__123Graph_XCHART5" localSheetId="12" hidden="1">#REF!</definedName>
    <definedName name="__123Graph_XCHART5" localSheetId="8" hidden="1">#REF!</definedName>
    <definedName name="__123Graph_XCHART5" localSheetId="4" hidden="1">#REF!</definedName>
    <definedName name="__123Graph_XCHART5" localSheetId="5" hidden="1">#REF!</definedName>
    <definedName name="__123Graph_XCHART5" localSheetId="2" hidden="1">#REF!</definedName>
    <definedName name="__123Graph_XCHART5" localSheetId="17" hidden="1">#REF!</definedName>
    <definedName name="__123Graph_XCHART5" localSheetId="19" hidden="1">#REF!</definedName>
    <definedName name="__123Graph_XCHART5" hidden="1">#REF!</definedName>
    <definedName name="__123Graph_XCHART6" localSheetId="15" hidden="1">#REF!</definedName>
    <definedName name="__123Graph_XCHART6" localSheetId="7" hidden="1">#REF!</definedName>
    <definedName name="__123Graph_XCHART6" localSheetId="0" hidden="1">#REF!</definedName>
    <definedName name="__123Graph_XCHART6" localSheetId="12" hidden="1">#REF!</definedName>
    <definedName name="__123Graph_XCHART6" localSheetId="8" hidden="1">#REF!</definedName>
    <definedName name="__123Graph_XCHART6" localSheetId="4" hidden="1">#REF!</definedName>
    <definedName name="__123Graph_XCHART6" localSheetId="5" hidden="1">#REF!</definedName>
    <definedName name="__123Graph_XCHART6" localSheetId="2" hidden="1">#REF!</definedName>
    <definedName name="__123Graph_XCHART6" localSheetId="17" hidden="1">#REF!</definedName>
    <definedName name="__123Graph_XCHART6" localSheetId="19" hidden="1">#REF!</definedName>
    <definedName name="__123Graph_XCHART6" hidden="1">#REF!</definedName>
    <definedName name="__123Graph_XCHART7" localSheetId="15" hidden="1">#REF!</definedName>
    <definedName name="__123Graph_XCHART7" localSheetId="7" hidden="1">#REF!</definedName>
    <definedName name="__123Graph_XCHART7" localSheetId="0" hidden="1">#REF!</definedName>
    <definedName name="__123Graph_XCHART7" localSheetId="12" hidden="1">#REF!</definedName>
    <definedName name="__123Graph_XCHART7" localSheetId="8" hidden="1">#REF!</definedName>
    <definedName name="__123Graph_XCHART7" localSheetId="4" hidden="1">#REF!</definedName>
    <definedName name="__123Graph_XCHART7" localSheetId="5" hidden="1">#REF!</definedName>
    <definedName name="__123Graph_XCHART7" localSheetId="2" hidden="1">#REF!</definedName>
    <definedName name="__123Graph_XCHART7" localSheetId="17" hidden="1">#REF!</definedName>
    <definedName name="__123Graph_XCHART7" localSheetId="19" hidden="1">#REF!</definedName>
    <definedName name="__123Graph_XCHART7" hidden="1">#REF!</definedName>
    <definedName name="__123Graph_XCHART8" localSheetId="15" hidden="1">#REF!</definedName>
    <definedName name="__123Graph_XCHART8" localSheetId="7" hidden="1">#REF!</definedName>
    <definedName name="__123Graph_XCHART8" localSheetId="0" hidden="1">#REF!</definedName>
    <definedName name="__123Graph_XCHART8" localSheetId="12" hidden="1">#REF!</definedName>
    <definedName name="__123Graph_XCHART8" localSheetId="8" hidden="1">#REF!</definedName>
    <definedName name="__123Graph_XCHART8" localSheetId="4" hidden="1">#REF!</definedName>
    <definedName name="__123Graph_XCHART8" localSheetId="5" hidden="1">#REF!</definedName>
    <definedName name="__123Graph_XCHART8" localSheetId="2" hidden="1">#REF!</definedName>
    <definedName name="__123Graph_XCHART8" localSheetId="17" hidden="1">#REF!</definedName>
    <definedName name="__123Graph_XCHART8" localSheetId="19" hidden="1">#REF!</definedName>
    <definedName name="__123Graph_XCHART8" hidden="1">#REF!</definedName>
    <definedName name="__123Graph_XCHART9" localSheetId="15" hidden="1">#REF!</definedName>
    <definedName name="__123Graph_XCHART9" localSheetId="7" hidden="1">#REF!</definedName>
    <definedName name="__123Graph_XCHART9" localSheetId="0" hidden="1">#REF!</definedName>
    <definedName name="__123Graph_XCHART9" localSheetId="12" hidden="1">#REF!</definedName>
    <definedName name="__123Graph_XCHART9" localSheetId="8" hidden="1">#REF!</definedName>
    <definedName name="__123Graph_XCHART9" localSheetId="4" hidden="1">#REF!</definedName>
    <definedName name="__123Graph_XCHART9" localSheetId="5" hidden="1">#REF!</definedName>
    <definedName name="__123Graph_XCHART9" localSheetId="2" hidden="1">#REF!</definedName>
    <definedName name="__123Graph_XCHART9" localSheetId="17" hidden="1">#REF!</definedName>
    <definedName name="__123Graph_XCHART9" localSheetId="19" hidden="1">#REF!</definedName>
    <definedName name="__123Graph_XCHART9" hidden="1">#REF!</definedName>
    <definedName name="__123Graph_XSLIDE17" localSheetId="15" hidden="1">#REF!</definedName>
    <definedName name="__123Graph_XSLIDE17" localSheetId="7" hidden="1">#REF!</definedName>
    <definedName name="__123Graph_XSLIDE17" localSheetId="0" hidden="1">#REF!</definedName>
    <definedName name="__123Graph_XSLIDE17" localSheetId="12" hidden="1">#REF!</definedName>
    <definedName name="__123Graph_XSLIDE17" localSheetId="8" hidden="1">#REF!</definedName>
    <definedName name="__123Graph_XSLIDE17" localSheetId="4" hidden="1">#REF!</definedName>
    <definedName name="__123Graph_XSLIDE17" localSheetId="5" hidden="1">#REF!</definedName>
    <definedName name="__123Graph_XSLIDE17" localSheetId="2" hidden="1">#REF!</definedName>
    <definedName name="__123Graph_XSLIDE17" localSheetId="17" hidden="1">#REF!</definedName>
    <definedName name="__123Graph_XSLIDE17" localSheetId="19" hidden="1">#REF!</definedName>
    <definedName name="__123Graph_XSLIDE17" hidden="1">#REF!</definedName>
    <definedName name="__123Graph_XSLIDEIII15" localSheetId="15" hidden="1">#REF!</definedName>
    <definedName name="__123Graph_XSLIDEIII15" localSheetId="7" hidden="1">#REF!</definedName>
    <definedName name="__123Graph_XSLIDEIII15" localSheetId="0" hidden="1">#REF!</definedName>
    <definedName name="__123Graph_XSLIDEIII15" localSheetId="12" hidden="1">#REF!</definedName>
    <definedName name="__123Graph_XSLIDEIII15" localSheetId="8" hidden="1">#REF!</definedName>
    <definedName name="__123Graph_XSLIDEIII15" localSheetId="4" hidden="1">#REF!</definedName>
    <definedName name="__123Graph_XSLIDEIII15" localSheetId="5" hidden="1">#REF!</definedName>
    <definedName name="__123Graph_XSLIDEIII15" localSheetId="2" hidden="1">#REF!</definedName>
    <definedName name="__123Graph_XSLIDEIII15" localSheetId="17" hidden="1">#REF!</definedName>
    <definedName name="__123Graph_XSLIDEIII15" localSheetId="19" hidden="1">#REF!</definedName>
    <definedName name="__123Graph_XSLIDEIII15" hidden="1">#REF!</definedName>
    <definedName name="__123Graph_XSLIDEIII25" localSheetId="15" hidden="1">#REF!</definedName>
    <definedName name="__123Graph_XSLIDEIII25" localSheetId="7" hidden="1">#REF!</definedName>
    <definedName name="__123Graph_XSLIDEIII25" localSheetId="0" hidden="1">#REF!</definedName>
    <definedName name="__123Graph_XSLIDEIII25" localSheetId="12" hidden="1">#REF!</definedName>
    <definedName name="__123Graph_XSLIDEIII25" localSheetId="8" hidden="1">#REF!</definedName>
    <definedName name="__123Graph_XSLIDEIII25" localSheetId="4" hidden="1">#REF!</definedName>
    <definedName name="__123Graph_XSLIDEIII25" localSheetId="5" hidden="1">#REF!</definedName>
    <definedName name="__123Graph_XSLIDEIII25" localSheetId="2" hidden="1">#REF!</definedName>
    <definedName name="__123Graph_XSLIDEIII25" localSheetId="17" hidden="1">#REF!</definedName>
    <definedName name="__123Graph_XSLIDEIII25" localSheetId="19" hidden="1">#REF!</definedName>
    <definedName name="__123Graph_XSLIDEIII25" hidden="1">#REF!</definedName>
    <definedName name="__123Graph_XSLIDEIII26" localSheetId="15" hidden="1">#REF!</definedName>
    <definedName name="__123Graph_XSLIDEIII26" localSheetId="7" hidden="1">#REF!</definedName>
    <definedName name="__123Graph_XSLIDEIII26" localSheetId="0" hidden="1">#REF!</definedName>
    <definedName name="__123Graph_XSLIDEIII26" localSheetId="12" hidden="1">#REF!</definedName>
    <definedName name="__123Graph_XSLIDEIII26" localSheetId="8" hidden="1">#REF!</definedName>
    <definedName name="__123Graph_XSLIDEIII26" localSheetId="4" hidden="1">#REF!</definedName>
    <definedName name="__123Graph_XSLIDEIII26" localSheetId="5" hidden="1">#REF!</definedName>
    <definedName name="__123Graph_XSLIDEIII26" localSheetId="2" hidden="1">#REF!</definedName>
    <definedName name="__123Graph_XSLIDEIII26" localSheetId="17" hidden="1">#REF!</definedName>
    <definedName name="__123Graph_XSLIDEIII26" localSheetId="19" hidden="1">#REF!</definedName>
    <definedName name="__123Graph_XSLIDEIII26" hidden="1">#REF!</definedName>
    <definedName name="__z2" localSheetId="12" hidden="1">{"Sch00",#N/A,FALSE,"1";"Contents",#N/A,FALSE,"1"}</definedName>
    <definedName name="__z2" localSheetId="8" hidden="1">{"Sch00",#N/A,FALSE,"1";"Contents",#N/A,FALSE,"1"}</definedName>
    <definedName name="__z2" localSheetId="4" hidden="1">{"Sch00",#N/A,FALSE,"1";"Contents",#N/A,FALSE,"1"}</definedName>
    <definedName name="__z2" localSheetId="2" hidden="1">{"Sch00",#N/A,FALSE,"1";"Contents",#N/A,FALSE,"1"}</definedName>
    <definedName name="__z2" localSheetId="19" hidden="1">{"Sch00",#N/A,FALSE,"1";"Contents",#N/A,FALSE,"1"}</definedName>
    <definedName name="__z2" hidden="1">{"Sch00",#N/A,FALSE,"1";"Contents",#N/A,FALSE,"1"}</definedName>
    <definedName name="__z3" localSheetId="12" hidden="1">{"Sch01",#N/A,FALSE,"2";"Sch02",#N/A,FALSE,"2";"Sch03",#N/A,FALSE,"2";"Sch04",#N/A,FALSE,"2";"Sch05",#N/A,FALSE,"2";"Sch06",#N/A,FALSE,"2";"Sch17",#N/A,FALSE,"2";"Sch19",#N/A,FALSE,"2";"Sch20",#N/A,FALSE,"2";"Sch21",#N/A,FALSE,"2";"Sch26",#N/A,FALSE,"2"}</definedName>
    <definedName name="__z3" localSheetId="8" hidden="1">{"Sch01",#N/A,FALSE,"2";"Sch02",#N/A,FALSE,"2";"Sch03",#N/A,FALSE,"2";"Sch04",#N/A,FALSE,"2";"Sch05",#N/A,FALSE,"2";"Sch06",#N/A,FALSE,"2";"Sch17",#N/A,FALSE,"2";"Sch19",#N/A,FALSE,"2";"Sch20",#N/A,FALSE,"2";"Sch21",#N/A,FALSE,"2";"Sch26",#N/A,FALSE,"2"}</definedName>
    <definedName name="__z3" localSheetId="4" hidden="1">{"Sch01",#N/A,FALSE,"2";"Sch02",#N/A,FALSE,"2";"Sch03",#N/A,FALSE,"2";"Sch04",#N/A,FALSE,"2";"Sch05",#N/A,FALSE,"2";"Sch06",#N/A,FALSE,"2";"Sch17",#N/A,FALSE,"2";"Sch19",#N/A,FALSE,"2";"Sch20",#N/A,FALSE,"2";"Sch21",#N/A,FALSE,"2";"Sch26",#N/A,FALSE,"2"}</definedName>
    <definedName name="__z3" localSheetId="2" hidden="1">{"Sch01",#N/A,FALSE,"2";"Sch02",#N/A,FALSE,"2";"Sch03",#N/A,FALSE,"2";"Sch04",#N/A,FALSE,"2";"Sch05",#N/A,FALSE,"2";"Sch06",#N/A,FALSE,"2";"Sch17",#N/A,FALSE,"2";"Sch19",#N/A,FALSE,"2";"Sch20",#N/A,FALSE,"2";"Sch21",#N/A,FALSE,"2";"Sch26",#N/A,FALSE,"2"}</definedName>
    <definedName name="__z3" localSheetId="19" hidden="1">{"Sch01",#N/A,FALSE,"2";"Sch02",#N/A,FALSE,"2";"Sch03",#N/A,FALSE,"2";"Sch04",#N/A,FALSE,"2";"Sch05",#N/A,FALSE,"2";"Sch06",#N/A,FALSE,"2";"Sch17",#N/A,FALSE,"2";"Sch19",#N/A,FALSE,"2";"Sch20",#N/A,FALSE,"2";"Sch21",#N/A,FALSE,"2";"Sch26",#N/A,FALSE,"2"}</definedName>
    <definedName name="__z3" hidden="1">{"Sch01",#N/A,FALSE,"2";"Sch02",#N/A,FALSE,"2";"Sch03",#N/A,FALSE,"2";"Sch04",#N/A,FALSE,"2";"Sch05",#N/A,FALSE,"2";"Sch06",#N/A,FALSE,"2";"Sch17",#N/A,FALSE,"2";"Sch19",#N/A,FALSE,"2";"Sch20",#N/A,FALSE,"2";"Sch21",#N/A,FALSE,"2";"Sch26",#N/A,FALSE,"2"}</definedName>
    <definedName name="_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10__123Graph_CCHART_3" hidden="1">'[4]SUMMARY CHART'!$B$58:$O$58</definedName>
    <definedName name="_11__123Graph_XCHART_2" hidden="1">'[4]SUMMARY CHART'!$B$51:$O$51</definedName>
    <definedName name="_12__123Graph_XCHART_3" hidden="1">'[4]SUMMARY CHART'!$B$56:$O$56</definedName>
    <definedName name="_3__123Graph_ACHART_1" localSheetId="19" hidden="1">'[4]SUMMARY CHART'!#REF!</definedName>
    <definedName name="_3__123Graph_ACHART_1" hidden="1">'[4]SUMMARY CHART'!#REF!</definedName>
    <definedName name="_31_12_2020">Inputs!$M$115:$M$117</definedName>
    <definedName name="_4__123Graph_ACHART_2" hidden="1">'[4]SUMMARY CHART'!$B$52:$O$52</definedName>
    <definedName name="_5__123Graph_ACHART_3" hidden="1">'[4]SUMMARY CHART'!$B$57:$O$57</definedName>
    <definedName name="_6__123Graph_BCHART_1" hidden="1">'[4]SUMMARY CHART'!$B$48:$O$48</definedName>
    <definedName name="_7__123Graph_BCHART_2" hidden="1">'[4]SUMMARY CHART'!$B$53:$O$53</definedName>
    <definedName name="_8__123Graph_BCHART_3" localSheetId="19" hidden="1">'[4]SUMMARY CHART'!#REF!</definedName>
    <definedName name="_8__123Graph_BCHART_3" hidden="1">'[4]SUMMARY CHART'!#REF!</definedName>
    <definedName name="_9__123Graph_CCHART_1" localSheetId="19" hidden="1">'[4]SUMMARY CHART'!#REF!</definedName>
    <definedName name="_9__123Graph_CCHART_1" hidden="1">'[4]SUMMARY CHART'!#REF!</definedName>
    <definedName name="_a10" localSheetId="12" hidden="1">{#N/A,#N/A,TRUE,"0 Deckbl.";#N/A,#N/A,TRUE,"S 1 Komm";#N/A,#N/A,TRUE,"S 1a Komm";#N/A,#N/A,TRUE,"S 1b Komm";#N/A,#N/A,TRUE,"S  2 DBR";#N/A,#N/A,TRUE,"S  3 Sparten";#N/A,#N/A,TRUE,"S 4  Betr. K.";#N/A,#N/A,TRUE,"6 Bilanz";#N/A,#N/A,TRUE,"6a Bilanz ";#N/A,#N/A,TRUE,"6b Bilanz ";#N/A,#N/A,TRUE,"7 GS I";#N/A,#N/A,TRUE,"S 8 EQ-GuV"}</definedName>
    <definedName name="_a10" localSheetId="8" hidden="1">{#N/A,#N/A,TRUE,"0 Deckbl.";#N/A,#N/A,TRUE,"S 1 Komm";#N/A,#N/A,TRUE,"S 1a Komm";#N/A,#N/A,TRUE,"S 1b Komm";#N/A,#N/A,TRUE,"S  2 DBR";#N/A,#N/A,TRUE,"S  3 Sparten";#N/A,#N/A,TRUE,"S 4  Betr. K.";#N/A,#N/A,TRUE,"6 Bilanz";#N/A,#N/A,TRUE,"6a Bilanz ";#N/A,#N/A,TRUE,"6b Bilanz ";#N/A,#N/A,TRUE,"7 GS I";#N/A,#N/A,TRUE,"S 8 EQ-GuV"}</definedName>
    <definedName name="_a10" localSheetId="4" hidden="1">{#N/A,#N/A,TRUE,"0 Deckbl.";#N/A,#N/A,TRUE,"S 1 Komm";#N/A,#N/A,TRUE,"S 1a Komm";#N/A,#N/A,TRUE,"S 1b Komm";#N/A,#N/A,TRUE,"S  2 DBR";#N/A,#N/A,TRUE,"S  3 Sparten";#N/A,#N/A,TRUE,"S 4  Betr. K.";#N/A,#N/A,TRUE,"6 Bilanz";#N/A,#N/A,TRUE,"6a Bilanz ";#N/A,#N/A,TRUE,"6b Bilanz ";#N/A,#N/A,TRUE,"7 GS I";#N/A,#N/A,TRUE,"S 8 EQ-GuV"}</definedName>
    <definedName name="_a10" localSheetId="2" hidden="1">{#N/A,#N/A,TRUE,"0 Deckbl.";#N/A,#N/A,TRUE,"S 1 Komm";#N/A,#N/A,TRUE,"S 1a Komm";#N/A,#N/A,TRUE,"S 1b Komm";#N/A,#N/A,TRUE,"S  2 DBR";#N/A,#N/A,TRUE,"S  3 Sparten";#N/A,#N/A,TRUE,"S 4  Betr. K.";#N/A,#N/A,TRUE,"6 Bilanz";#N/A,#N/A,TRUE,"6a Bilanz ";#N/A,#N/A,TRUE,"6b Bilanz ";#N/A,#N/A,TRUE,"7 GS I";#N/A,#N/A,TRUE,"S 8 EQ-GuV"}</definedName>
    <definedName name="_a10" localSheetId="19" hidden="1">{#N/A,#N/A,TRUE,"0 Deckbl.";#N/A,#N/A,TRUE,"S 1 Komm";#N/A,#N/A,TRUE,"S 1a Komm";#N/A,#N/A,TRUE,"S 1b Komm";#N/A,#N/A,TRUE,"S  2 DBR";#N/A,#N/A,TRUE,"S  3 Sparten";#N/A,#N/A,TRUE,"S 4  Betr. K.";#N/A,#N/A,TRUE,"6 Bilanz";#N/A,#N/A,TRUE,"6a Bilanz ";#N/A,#N/A,TRUE,"6b Bilanz ";#N/A,#N/A,TRUE,"7 GS I";#N/A,#N/A,TRUE,"S 8 EQ-GuV"}</definedName>
    <definedName name="_a10" hidden="1">{#N/A,#N/A,TRUE,"0 Deckbl.";#N/A,#N/A,TRUE,"S 1 Komm";#N/A,#N/A,TRUE,"S 1a Komm";#N/A,#N/A,TRUE,"S 1b Komm";#N/A,#N/A,TRUE,"S  2 DBR";#N/A,#N/A,TRUE,"S  3 Sparten";#N/A,#N/A,TRUE,"S 4  Betr. K.";#N/A,#N/A,TRUE,"6 Bilanz";#N/A,#N/A,TRUE,"6a Bilanz ";#N/A,#N/A,TRUE,"6b Bilanz ";#N/A,#N/A,TRUE,"7 GS I";#N/A,#N/A,TRUE,"S 8 EQ-GuV"}</definedName>
    <definedName name="_a3" localSheetId="12" hidden="1">{#N/A,#N/A,TRUE,"0 Deckbl.";#N/A,#N/A,TRUE,"S 1 Komm";#N/A,#N/A,TRUE,"S 1a Komm";#N/A,#N/A,TRUE,"S 1b Komm";#N/A,#N/A,TRUE,"S  2 DBR";#N/A,#N/A,TRUE,"S  3 Sparten";#N/A,#N/A,TRUE,"S 4  Betr. K.";#N/A,#N/A,TRUE,"6 Bilanz";#N/A,#N/A,TRUE,"6a Bilanz ";#N/A,#N/A,TRUE,"6b Bilanz ";#N/A,#N/A,TRUE,"7 GS I";#N/A,#N/A,TRUE,"S 8 EQ-GuV"}</definedName>
    <definedName name="_a3" localSheetId="8" hidden="1">{#N/A,#N/A,TRUE,"0 Deckbl.";#N/A,#N/A,TRUE,"S 1 Komm";#N/A,#N/A,TRUE,"S 1a Komm";#N/A,#N/A,TRUE,"S 1b Komm";#N/A,#N/A,TRUE,"S  2 DBR";#N/A,#N/A,TRUE,"S  3 Sparten";#N/A,#N/A,TRUE,"S 4  Betr. K.";#N/A,#N/A,TRUE,"6 Bilanz";#N/A,#N/A,TRUE,"6a Bilanz ";#N/A,#N/A,TRUE,"6b Bilanz ";#N/A,#N/A,TRUE,"7 GS I";#N/A,#N/A,TRUE,"S 8 EQ-GuV"}</definedName>
    <definedName name="_a3" localSheetId="4" hidden="1">{#N/A,#N/A,TRUE,"0 Deckbl.";#N/A,#N/A,TRUE,"S 1 Komm";#N/A,#N/A,TRUE,"S 1a Komm";#N/A,#N/A,TRUE,"S 1b Komm";#N/A,#N/A,TRUE,"S  2 DBR";#N/A,#N/A,TRUE,"S  3 Sparten";#N/A,#N/A,TRUE,"S 4  Betr. K.";#N/A,#N/A,TRUE,"6 Bilanz";#N/A,#N/A,TRUE,"6a Bilanz ";#N/A,#N/A,TRUE,"6b Bilanz ";#N/A,#N/A,TRUE,"7 GS I";#N/A,#N/A,TRUE,"S 8 EQ-GuV"}</definedName>
    <definedName name="_a3" localSheetId="2" hidden="1">{#N/A,#N/A,TRUE,"0 Deckbl.";#N/A,#N/A,TRUE,"S 1 Komm";#N/A,#N/A,TRUE,"S 1a Komm";#N/A,#N/A,TRUE,"S 1b Komm";#N/A,#N/A,TRUE,"S  2 DBR";#N/A,#N/A,TRUE,"S  3 Sparten";#N/A,#N/A,TRUE,"S 4  Betr. K.";#N/A,#N/A,TRUE,"6 Bilanz";#N/A,#N/A,TRUE,"6a Bilanz ";#N/A,#N/A,TRUE,"6b Bilanz ";#N/A,#N/A,TRUE,"7 GS I";#N/A,#N/A,TRUE,"S 8 EQ-GuV"}</definedName>
    <definedName name="_a3" localSheetId="19" hidden="1">{#N/A,#N/A,TRUE,"0 Deckbl.";#N/A,#N/A,TRUE,"S 1 Komm";#N/A,#N/A,TRUE,"S 1a Komm";#N/A,#N/A,TRUE,"S 1b Komm";#N/A,#N/A,TRUE,"S  2 DBR";#N/A,#N/A,TRUE,"S  3 Sparten";#N/A,#N/A,TRUE,"S 4  Betr. K.";#N/A,#N/A,TRUE,"6 Bilanz";#N/A,#N/A,TRUE,"6a Bilanz ";#N/A,#N/A,TRUE,"6b Bilanz ";#N/A,#N/A,TRUE,"7 GS I";#N/A,#N/A,TRUE,"S 8 EQ-GuV"}</definedName>
    <definedName name="_a3" hidden="1">{#N/A,#N/A,TRUE,"0 Deckbl.";#N/A,#N/A,TRUE,"S 1 Komm";#N/A,#N/A,TRUE,"S 1a Komm";#N/A,#N/A,TRUE,"S 1b Komm";#N/A,#N/A,TRUE,"S  2 DBR";#N/A,#N/A,TRUE,"S  3 Sparten";#N/A,#N/A,TRUE,"S 4  Betr. K.";#N/A,#N/A,TRUE,"6 Bilanz";#N/A,#N/A,TRUE,"6a Bilanz ";#N/A,#N/A,TRUE,"6b Bilanz ";#N/A,#N/A,TRUE,"7 GS I";#N/A,#N/A,TRUE,"S 8 EQ-GuV"}</definedName>
    <definedName name="_a50" localSheetId="12" hidden="1">{#N/A,#N/A,TRUE,"0 Deckbl.";#N/A,#N/A,TRUE,"S 1 Komm";#N/A,#N/A,TRUE,"S 1a Komm";#N/A,#N/A,TRUE,"S 1b Komm";#N/A,#N/A,TRUE,"S  2 DBR";#N/A,#N/A,TRUE,"S  3 Sparten";#N/A,#N/A,TRUE,"S 4  Betr. K.";#N/A,#N/A,TRUE,"6 Bilanz";#N/A,#N/A,TRUE,"6a Bilanz ";#N/A,#N/A,TRUE,"6b Bilanz ";#N/A,#N/A,TRUE,"7 GS I";#N/A,#N/A,TRUE,"S 8 EQ-GuV"}</definedName>
    <definedName name="_a50" localSheetId="8" hidden="1">{#N/A,#N/A,TRUE,"0 Deckbl.";#N/A,#N/A,TRUE,"S 1 Komm";#N/A,#N/A,TRUE,"S 1a Komm";#N/A,#N/A,TRUE,"S 1b Komm";#N/A,#N/A,TRUE,"S  2 DBR";#N/A,#N/A,TRUE,"S  3 Sparten";#N/A,#N/A,TRUE,"S 4  Betr. K.";#N/A,#N/A,TRUE,"6 Bilanz";#N/A,#N/A,TRUE,"6a Bilanz ";#N/A,#N/A,TRUE,"6b Bilanz ";#N/A,#N/A,TRUE,"7 GS I";#N/A,#N/A,TRUE,"S 8 EQ-GuV"}</definedName>
    <definedName name="_a50" localSheetId="4" hidden="1">{#N/A,#N/A,TRUE,"0 Deckbl.";#N/A,#N/A,TRUE,"S 1 Komm";#N/A,#N/A,TRUE,"S 1a Komm";#N/A,#N/A,TRUE,"S 1b Komm";#N/A,#N/A,TRUE,"S  2 DBR";#N/A,#N/A,TRUE,"S  3 Sparten";#N/A,#N/A,TRUE,"S 4  Betr. K.";#N/A,#N/A,TRUE,"6 Bilanz";#N/A,#N/A,TRUE,"6a Bilanz ";#N/A,#N/A,TRUE,"6b Bilanz ";#N/A,#N/A,TRUE,"7 GS I";#N/A,#N/A,TRUE,"S 8 EQ-GuV"}</definedName>
    <definedName name="_a50" localSheetId="2" hidden="1">{#N/A,#N/A,TRUE,"0 Deckbl.";#N/A,#N/A,TRUE,"S 1 Komm";#N/A,#N/A,TRUE,"S 1a Komm";#N/A,#N/A,TRUE,"S 1b Komm";#N/A,#N/A,TRUE,"S  2 DBR";#N/A,#N/A,TRUE,"S  3 Sparten";#N/A,#N/A,TRUE,"S 4  Betr. K.";#N/A,#N/A,TRUE,"6 Bilanz";#N/A,#N/A,TRUE,"6a Bilanz ";#N/A,#N/A,TRUE,"6b Bilanz ";#N/A,#N/A,TRUE,"7 GS I";#N/A,#N/A,TRUE,"S 8 EQ-GuV"}</definedName>
    <definedName name="_a50" localSheetId="19" hidden="1">{#N/A,#N/A,TRUE,"0 Deckbl.";#N/A,#N/A,TRUE,"S 1 Komm";#N/A,#N/A,TRUE,"S 1a Komm";#N/A,#N/A,TRUE,"S 1b Komm";#N/A,#N/A,TRUE,"S  2 DBR";#N/A,#N/A,TRUE,"S  3 Sparten";#N/A,#N/A,TRUE,"S 4  Betr. K.";#N/A,#N/A,TRUE,"6 Bilanz";#N/A,#N/A,TRUE,"6a Bilanz ";#N/A,#N/A,TRUE,"6b Bilanz ";#N/A,#N/A,TRUE,"7 GS I";#N/A,#N/A,TRUE,"S 8 EQ-GuV"}</definedName>
    <definedName name="_a50" hidden="1">{#N/A,#N/A,TRUE,"0 Deckbl.";#N/A,#N/A,TRUE,"S 1 Komm";#N/A,#N/A,TRUE,"S 1a Komm";#N/A,#N/A,TRUE,"S 1b Komm";#N/A,#N/A,TRUE,"S  2 DBR";#N/A,#N/A,TRUE,"S  3 Sparten";#N/A,#N/A,TRUE,"S 4  Betr. K.";#N/A,#N/A,TRUE,"6 Bilanz";#N/A,#N/A,TRUE,"6a Bilanz ";#N/A,#N/A,TRUE,"6b Bilanz ";#N/A,#N/A,TRUE,"7 GS I";#N/A,#N/A,TRUE,"S 8 EQ-GuV"}</definedName>
    <definedName name="_bdm.0940a3e8236847779783f0fcbcc5cf4c.edm" localSheetId="19" hidden="1">#REF!</definedName>
    <definedName name="_bdm.0940a3e8236847779783f0fcbcc5cf4c.edm" hidden="1">#REF!</definedName>
    <definedName name="_bdm.18ee6a2e2290484c98ca750f09f9b2b4.edm" localSheetId="19" hidden="1">#REF!</definedName>
    <definedName name="_bdm.18ee6a2e2290484c98ca750f09f9b2b4.edm" hidden="1">#REF!</definedName>
    <definedName name="_bdm.23e521059723491fa0019a9f3c193b7d.edm" localSheetId="19" hidden="1">#REF!</definedName>
    <definedName name="_bdm.23e521059723491fa0019a9f3c193b7d.edm" hidden="1">#REF!</definedName>
    <definedName name="_bdm.2b0a9e37d188454f815b8229849c5d53.edm" localSheetId="19" hidden="1">#REF!</definedName>
    <definedName name="_bdm.2b0a9e37d188454f815b8229849c5d53.edm" hidden="1">#REF!</definedName>
    <definedName name="_bdm.3259f20128204d7fbbae77934d1c0666.edm" localSheetId="19" hidden="1">#REF!</definedName>
    <definedName name="_bdm.3259f20128204d7fbbae77934d1c0666.edm" hidden="1">#REF!</definedName>
    <definedName name="_bdm.3eecbbcbeea0463b8922487be3c8c456.edm" localSheetId="19" hidden="1">#REF!</definedName>
    <definedName name="_bdm.3eecbbcbeea0463b8922487be3c8c456.edm" hidden="1">#REF!</definedName>
    <definedName name="_bdm.4249b3d6eda745b39fed10a74b87707e.edm" localSheetId="19" hidden="1">#REF!</definedName>
    <definedName name="_bdm.4249b3d6eda745b39fed10a74b87707e.edm" hidden="1">#REF!</definedName>
    <definedName name="_bdm.42833dfd73c847a7ab37deaf940db2e8.edm" localSheetId="19" hidden="1">#REF!</definedName>
    <definedName name="_bdm.42833dfd73c847a7ab37deaf940db2e8.edm" hidden="1">#REF!</definedName>
    <definedName name="_bdm.440c4ef7708148b29e5d3e1ec1ff9eb6.edm" localSheetId="19" hidden="1">#REF!</definedName>
    <definedName name="_bdm.440c4ef7708148b29e5d3e1ec1ff9eb6.edm" hidden="1">#REF!</definedName>
    <definedName name="_bdm.498F7B4A41BD499CBC6D2DFDB4111069.edm" localSheetId="15" hidden="1">#REF!</definedName>
    <definedName name="_bdm.498F7B4A41BD499CBC6D2DFDB4111069.edm" localSheetId="7" hidden="1">#REF!</definedName>
    <definedName name="_bdm.498F7B4A41BD499CBC6D2DFDB4111069.edm" localSheetId="0" hidden="1">#REF!</definedName>
    <definedName name="_bdm.498F7B4A41BD499CBC6D2DFDB4111069.edm" localSheetId="12" hidden="1">#REF!</definedName>
    <definedName name="_bdm.498F7B4A41BD499CBC6D2DFDB4111069.edm" localSheetId="8" hidden="1">#REF!</definedName>
    <definedName name="_bdm.498F7B4A41BD499CBC6D2DFDB4111069.edm" localSheetId="5" hidden="1">#REF!</definedName>
    <definedName name="_bdm.498F7B4A41BD499CBC6D2DFDB4111069.edm" localSheetId="2" hidden="1">#REF!</definedName>
    <definedName name="_bdm.498F7B4A41BD499CBC6D2DFDB4111069.edm" localSheetId="17" hidden="1">#REF!</definedName>
    <definedName name="_bdm.498F7B4A41BD499CBC6D2DFDB4111069.edm" localSheetId="19" hidden="1">#REF!</definedName>
    <definedName name="_bdm.498F7B4A41BD499CBC6D2DFDB4111069.edm" hidden="1">#REF!</definedName>
    <definedName name="_bdm.5053726e174948ac8df3e81cec5037e2.edm" localSheetId="19" hidden="1">#REF!</definedName>
    <definedName name="_bdm.5053726e174948ac8df3e81cec5037e2.edm" hidden="1">#REF!</definedName>
    <definedName name="_bdm.52b9cda4e163406abb95dd0024a2274f.edm" localSheetId="19" hidden="1">#REF!</definedName>
    <definedName name="_bdm.52b9cda4e163406abb95dd0024a2274f.edm" hidden="1">#REF!</definedName>
    <definedName name="_bdm.560bcd09a0804a9b81746c96e698b133.edm" localSheetId="19" hidden="1">#REF!</definedName>
    <definedName name="_bdm.560bcd09a0804a9b81746c96e698b133.edm" hidden="1">#REF!</definedName>
    <definedName name="_bdm.5F9E4004D9B5451E87F04E3FB01370EA.edm" localSheetId="15" hidden="1">#REF!</definedName>
    <definedName name="_bdm.5F9E4004D9B5451E87F04E3FB01370EA.edm" localSheetId="7" hidden="1">#REF!</definedName>
    <definedName name="_bdm.5F9E4004D9B5451E87F04E3FB01370EA.edm" localSheetId="0" hidden="1">#REF!</definedName>
    <definedName name="_bdm.5F9E4004D9B5451E87F04E3FB01370EA.edm" localSheetId="12" hidden="1">#REF!</definedName>
    <definedName name="_bdm.5F9E4004D9B5451E87F04E3FB01370EA.edm" localSheetId="8" hidden="1">#REF!</definedName>
    <definedName name="_bdm.5F9E4004D9B5451E87F04E3FB01370EA.edm" localSheetId="5" hidden="1">#REF!</definedName>
    <definedName name="_bdm.5F9E4004D9B5451E87F04E3FB01370EA.edm" localSheetId="2" hidden="1">#REF!</definedName>
    <definedName name="_bdm.5F9E4004D9B5451E87F04E3FB01370EA.edm" localSheetId="17" hidden="1">#REF!</definedName>
    <definedName name="_bdm.5F9E4004D9B5451E87F04E3FB01370EA.edm" localSheetId="19" hidden="1">#REF!</definedName>
    <definedName name="_bdm.5F9E4004D9B5451E87F04E3FB01370EA.edm" hidden="1">#REF!</definedName>
    <definedName name="_bdm.7a3708b60dd840c88fb56501f7d9c8f1.edm" localSheetId="19" hidden="1">#REF!</definedName>
    <definedName name="_bdm.7a3708b60dd840c88fb56501f7d9c8f1.edm" hidden="1">#REF!</definedName>
    <definedName name="_bdm.7fa84742b2354bec9338750e779e148a.edm" localSheetId="19" hidden="1">#REF!</definedName>
    <definedName name="_bdm.7fa84742b2354bec9338750e779e148a.edm" hidden="1">#REF!</definedName>
    <definedName name="_bdm.861c7136755941cd8547907798641c71.edm" localSheetId="19" hidden="1">#REF!</definedName>
    <definedName name="_bdm.861c7136755941cd8547907798641c71.edm" hidden="1">#REF!</definedName>
    <definedName name="_bdm.89AA0A8F07CA465CAD636DC05FF176DF.edm" localSheetId="15" hidden="1">#REF!</definedName>
    <definedName name="_bdm.89AA0A8F07CA465CAD636DC05FF176DF.edm" localSheetId="7" hidden="1">#REF!</definedName>
    <definedName name="_bdm.89AA0A8F07CA465CAD636DC05FF176DF.edm" localSheetId="0" hidden="1">#REF!</definedName>
    <definedName name="_bdm.89AA0A8F07CA465CAD636DC05FF176DF.edm" localSheetId="12" hidden="1">#REF!</definedName>
    <definedName name="_bdm.89AA0A8F07CA465CAD636DC05FF176DF.edm" localSheetId="8" hidden="1">#REF!</definedName>
    <definedName name="_bdm.89AA0A8F07CA465CAD636DC05FF176DF.edm" localSheetId="5" hidden="1">#REF!</definedName>
    <definedName name="_bdm.89AA0A8F07CA465CAD636DC05FF176DF.edm" localSheetId="2" hidden="1">#REF!</definedName>
    <definedName name="_bdm.89AA0A8F07CA465CAD636DC05FF176DF.edm" localSheetId="17" hidden="1">#REF!</definedName>
    <definedName name="_bdm.89AA0A8F07CA465CAD636DC05FF176DF.edm" localSheetId="19" hidden="1">#REF!</definedName>
    <definedName name="_bdm.89AA0A8F07CA465CAD636DC05FF176DF.edm" hidden="1">#REF!</definedName>
    <definedName name="_bdm.8ea8e5ff53e64e388c1bc4451453ecda.edm" localSheetId="19" hidden="1">#REF!</definedName>
    <definedName name="_bdm.8ea8e5ff53e64e388c1bc4451453ecda.edm" hidden="1">#REF!</definedName>
    <definedName name="_bdm.9d7627a59a61412292f88b8b3707dd66.edm" localSheetId="19" hidden="1">#REF!</definedName>
    <definedName name="_bdm.9d7627a59a61412292f88b8b3707dd66.edm" hidden="1">#REF!</definedName>
    <definedName name="_bdm.a8240953f5a34da9b2123c19a65fa364.edm" localSheetId="19" hidden="1">#REF!</definedName>
    <definedName name="_bdm.a8240953f5a34da9b2123c19a65fa364.edm" hidden="1">#REF!</definedName>
    <definedName name="_bdm.ac3597b9714c417dbd91f36ac0431322.edm" localSheetId="19" hidden="1">#REF!</definedName>
    <definedName name="_bdm.ac3597b9714c417dbd91f36ac0431322.edm" hidden="1">#REF!</definedName>
    <definedName name="_bdm.b3f37f35acbc4504ae46c64e01e4d12f.edm" localSheetId="19" hidden="1">#REF!</definedName>
    <definedName name="_bdm.b3f37f35acbc4504ae46c64e01e4d12f.edm" hidden="1">#REF!</definedName>
    <definedName name="_bdm.b558ab1db13e4c30a45b9ae9175ebb97.edm" localSheetId="19" hidden="1">#REF!</definedName>
    <definedName name="_bdm.b558ab1db13e4c30a45b9ae9175ebb97.edm" hidden="1">#REF!</definedName>
    <definedName name="_bdm.b925d5a4a421448ab45ebf43ff0407f9.edm" localSheetId="19" hidden="1">#REF!</definedName>
    <definedName name="_bdm.b925d5a4a421448ab45ebf43ff0407f9.edm" hidden="1">#REF!</definedName>
    <definedName name="_bdm.cbd0c0d90e2a4e698d8ddb9de15144d4.edm" localSheetId="19" hidden="1">#REF!</definedName>
    <definedName name="_bdm.cbd0c0d90e2a4e698d8ddb9de15144d4.edm" hidden="1">#REF!</definedName>
    <definedName name="_bdm.cd810f914c6d4d91b34d0aed4f1dada6.edm" localSheetId="19" hidden="1">#REF!</definedName>
    <definedName name="_bdm.cd810f914c6d4d91b34d0aed4f1dada6.edm" hidden="1">#REF!</definedName>
    <definedName name="_bdm.decf2f7aa29b49689f90f628116c9532.edm" localSheetId="19" hidden="1">#REF!</definedName>
    <definedName name="_bdm.decf2f7aa29b49689f90f628116c9532.edm" hidden="1">#REF!</definedName>
    <definedName name="_bdm.f36dab4b7993482e8a1d8a54f3a8c7d7.edm" localSheetId="19" hidden="1">#REF!</definedName>
    <definedName name="_bdm.f36dab4b7993482e8a1d8a54f3a8c7d7.edm" hidden="1">#REF!</definedName>
    <definedName name="_bdm.f6b7a456288847c99577974e9cfbf76d.edm" localSheetId="19" hidden="1">#REF!</definedName>
    <definedName name="_bdm.f6b7a456288847c99577974e9cfbf76d.edm" hidden="1">#REF!</definedName>
    <definedName name="_bdm.f84ff218c2f24e3db28ec66e6c2f036d.edm" localSheetId="19" hidden="1">#REF!</definedName>
    <definedName name="_bdm.f84ff218c2f24e3db28ec66e6c2f036d.edm" hidden="1">#REF!</definedName>
    <definedName name="_Dist_Values" hidden="1">[5]Assets!$O$10:$O$220</definedName>
    <definedName name="_eva2" localSheetId="12" hidden="1">{"DCF",#N/A,FALSE,"CF"}</definedName>
    <definedName name="_eva2" localSheetId="8" hidden="1">{"DCF",#N/A,FALSE,"CF"}</definedName>
    <definedName name="_eva2" localSheetId="4" hidden="1">{"DCF",#N/A,FALSE,"CF"}</definedName>
    <definedName name="_eva2" localSheetId="2" hidden="1">{"DCF",#N/A,FALSE,"CF"}</definedName>
    <definedName name="_eva2" localSheetId="19" hidden="1">{"DCF",#N/A,FALSE,"CF"}</definedName>
    <definedName name="_eva2" hidden="1">{"DCF",#N/A,FALSE,"CF"}</definedName>
    <definedName name="_Fill" localSheetId="15" hidden="1">#REF!</definedName>
    <definedName name="_Fill" localSheetId="7" hidden="1">#REF!</definedName>
    <definedName name="_Fill" localSheetId="0" hidden="1">#REF!</definedName>
    <definedName name="_Fill" localSheetId="12" hidden="1">#REF!</definedName>
    <definedName name="_Fill" localSheetId="8" hidden="1">#REF!</definedName>
    <definedName name="_Fill" localSheetId="4" hidden="1">#REF!</definedName>
    <definedName name="_Fill" localSheetId="5" hidden="1">#REF!</definedName>
    <definedName name="_Fill" localSheetId="2" hidden="1">#REF!</definedName>
    <definedName name="_Fill" localSheetId="17" hidden="1">#REF!</definedName>
    <definedName name="_Fill" localSheetId="19" hidden="1">#REF!</definedName>
    <definedName name="_Fill" hidden="1">#REF!</definedName>
    <definedName name="_xlnm._FilterDatabase" localSheetId="15" hidden="1">#REF!</definedName>
    <definedName name="_xlnm._FilterDatabase" localSheetId="7" hidden="1">#REF!</definedName>
    <definedName name="_xlnm._FilterDatabase" localSheetId="0" hidden="1">#REF!</definedName>
    <definedName name="_xlnm._FilterDatabase" localSheetId="12" hidden="1">#REF!</definedName>
    <definedName name="_xlnm._FilterDatabase" localSheetId="8" hidden="1">#REF!</definedName>
    <definedName name="_xlnm._FilterDatabase" localSheetId="5" hidden="1">#REF!</definedName>
    <definedName name="_xlnm._FilterDatabase" localSheetId="21" hidden="1">Output!$A$5:$P$5</definedName>
    <definedName name="_xlnm._FilterDatabase" localSheetId="2" hidden="1">#REF!</definedName>
    <definedName name="_xlnm._FilterDatabase" localSheetId="22" hidden="1">'Screening Enhanced'!$B$8:$Y$8</definedName>
    <definedName name="_xlnm._FilterDatabase" localSheetId="17" hidden="1">#REF!</definedName>
    <definedName name="_xlnm._FilterDatabase" localSheetId="19" hidden="1">#REF!</definedName>
    <definedName name="_xlnm._FilterDatabase" hidden="1">#REF!</definedName>
    <definedName name="_Key1" localSheetId="15" hidden="1">'[6]OTHFA-1'!#REF!</definedName>
    <definedName name="_Key1" localSheetId="7" hidden="1">'[6]OTHFA-1'!#REF!</definedName>
    <definedName name="_Key1" localSheetId="0" hidden="1">'[6]OTHFA-1'!#REF!</definedName>
    <definedName name="_Key1" localSheetId="12" hidden="1">'[6]OTHFA-1'!#REF!</definedName>
    <definedName name="_Key1" localSheetId="8" hidden="1">'[6]OTHFA-1'!#REF!</definedName>
    <definedName name="_Key1" localSheetId="4" hidden="1">'[6]OTHFA-1'!#REF!</definedName>
    <definedName name="_Key1" localSheetId="5" hidden="1">'[6]OTHFA-1'!#REF!</definedName>
    <definedName name="_Key1" localSheetId="2" hidden="1">'[6]OTHFA-1'!#REF!</definedName>
    <definedName name="_Key1" localSheetId="17" hidden="1">'[6]OTHFA-1'!#REF!</definedName>
    <definedName name="_Key1" localSheetId="19" hidden="1">#REF!</definedName>
    <definedName name="_Key1" hidden="1">'[6]OTHFA-1'!#REF!</definedName>
    <definedName name="_Key2" localSheetId="15" hidden="1">'[6]OTHFA-1'!#REF!</definedName>
    <definedName name="_Key2" localSheetId="7" hidden="1">'[6]OTHFA-1'!#REF!</definedName>
    <definedName name="_Key2" localSheetId="0" hidden="1">'[6]OTHFA-1'!#REF!</definedName>
    <definedName name="_Key2" localSheetId="12" hidden="1">'[6]OTHFA-1'!#REF!</definedName>
    <definedName name="_Key2" localSheetId="8" hidden="1">'[6]OTHFA-1'!#REF!</definedName>
    <definedName name="_Key2" localSheetId="4" hidden="1">'[6]OTHFA-1'!#REF!</definedName>
    <definedName name="_Key2" localSheetId="5" hidden="1">'[6]OTHFA-1'!#REF!</definedName>
    <definedName name="_Key2" localSheetId="2" hidden="1">'[6]OTHFA-1'!#REF!</definedName>
    <definedName name="_Key2" localSheetId="17" hidden="1">'[6]OTHFA-1'!#REF!</definedName>
    <definedName name="_Key2" localSheetId="19" hidden="1">#REF!</definedName>
    <definedName name="_Key2" hidden="1">'[6]OTHFA-1'!#REF!</definedName>
    <definedName name="_Key99" localSheetId="15" hidden="1">#REF!</definedName>
    <definedName name="_Key99" localSheetId="7" hidden="1">#REF!</definedName>
    <definedName name="_Key99" localSheetId="0" hidden="1">#REF!</definedName>
    <definedName name="_Key99" localSheetId="12" hidden="1">#REF!</definedName>
    <definedName name="_Key99" localSheetId="8" hidden="1">#REF!</definedName>
    <definedName name="_Key99" localSheetId="4" hidden="1">#REF!</definedName>
    <definedName name="_Key99" localSheetId="5" hidden="1">#REF!</definedName>
    <definedName name="_Key99" localSheetId="2" hidden="1">#REF!</definedName>
    <definedName name="_Key99" localSheetId="17" hidden="1">#REF!</definedName>
    <definedName name="_Key99" localSheetId="19" hidden="1">#REF!</definedName>
    <definedName name="_Key99" hidden="1">#REF!</definedName>
    <definedName name="_Order1" localSheetId="19" hidden="1">255</definedName>
    <definedName name="_Order1" hidden="1">0</definedName>
    <definedName name="_Order2" localSheetId="19" hidden="1">255</definedName>
    <definedName name="_Order2" hidden="1">0</definedName>
    <definedName name="_SA1" localSheetId="12" hidden="1">{#N/A,#N/A,TRUE,"0 Deckbl.";#N/A,#N/A,TRUE,"S 1 Komm";#N/A,#N/A,TRUE,"S 1a Komm";#N/A,#N/A,TRUE,"S 1b Komm";#N/A,#N/A,TRUE,"S  2 DBR";#N/A,#N/A,TRUE,"S  3 Sparten";#N/A,#N/A,TRUE,"S 4  Betr. K.";#N/A,#N/A,TRUE,"6 Bilanz";#N/A,#N/A,TRUE,"6a Bilanz ";#N/A,#N/A,TRUE,"6b Bilanz ";#N/A,#N/A,TRUE,"7 GS I";#N/A,#N/A,TRUE,"S 8 EQ-GuV"}</definedName>
    <definedName name="_SA1" localSheetId="8" hidden="1">{#N/A,#N/A,TRUE,"0 Deckbl.";#N/A,#N/A,TRUE,"S 1 Komm";#N/A,#N/A,TRUE,"S 1a Komm";#N/A,#N/A,TRUE,"S 1b Komm";#N/A,#N/A,TRUE,"S  2 DBR";#N/A,#N/A,TRUE,"S  3 Sparten";#N/A,#N/A,TRUE,"S 4  Betr. K.";#N/A,#N/A,TRUE,"6 Bilanz";#N/A,#N/A,TRUE,"6a Bilanz ";#N/A,#N/A,TRUE,"6b Bilanz ";#N/A,#N/A,TRUE,"7 GS I";#N/A,#N/A,TRUE,"S 8 EQ-GuV"}</definedName>
    <definedName name="_SA1" localSheetId="4" hidden="1">{#N/A,#N/A,TRUE,"0 Deckbl.";#N/A,#N/A,TRUE,"S 1 Komm";#N/A,#N/A,TRUE,"S 1a Komm";#N/A,#N/A,TRUE,"S 1b Komm";#N/A,#N/A,TRUE,"S  2 DBR";#N/A,#N/A,TRUE,"S  3 Sparten";#N/A,#N/A,TRUE,"S 4  Betr. K.";#N/A,#N/A,TRUE,"6 Bilanz";#N/A,#N/A,TRUE,"6a Bilanz ";#N/A,#N/A,TRUE,"6b Bilanz ";#N/A,#N/A,TRUE,"7 GS I";#N/A,#N/A,TRUE,"S 8 EQ-GuV"}</definedName>
    <definedName name="_SA1" localSheetId="2" hidden="1">{#N/A,#N/A,TRUE,"0 Deckbl.";#N/A,#N/A,TRUE,"S 1 Komm";#N/A,#N/A,TRUE,"S 1a Komm";#N/A,#N/A,TRUE,"S 1b Komm";#N/A,#N/A,TRUE,"S  2 DBR";#N/A,#N/A,TRUE,"S  3 Sparten";#N/A,#N/A,TRUE,"S 4  Betr. K.";#N/A,#N/A,TRUE,"6 Bilanz";#N/A,#N/A,TRUE,"6a Bilanz ";#N/A,#N/A,TRUE,"6b Bilanz ";#N/A,#N/A,TRUE,"7 GS I";#N/A,#N/A,TRUE,"S 8 EQ-GuV"}</definedName>
    <definedName name="_SA1" localSheetId="19" hidden="1">{#N/A,#N/A,TRUE,"0 Deckbl.";#N/A,#N/A,TRUE,"S 1 Komm";#N/A,#N/A,TRUE,"S 1a Komm";#N/A,#N/A,TRUE,"S 1b Komm";#N/A,#N/A,TRUE,"S  2 DBR";#N/A,#N/A,TRUE,"S  3 Sparten";#N/A,#N/A,TRUE,"S 4  Betr. K.";#N/A,#N/A,TRUE,"6 Bilanz";#N/A,#N/A,TRUE,"6a Bilanz ";#N/A,#N/A,TRUE,"6b Bilanz ";#N/A,#N/A,TRUE,"7 GS I";#N/A,#N/A,TRUE,"S 8 EQ-GuV"}</definedName>
    <definedName name="_SA1" hidden="1">{#N/A,#N/A,TRUE,"0 Deckbl.";#N/A,#N/A,TRUE,"S 1 Komm";#N/A,#N/A,TRUE,"S 1a Komm";#N/A,#N/A,TRUE,"S 1b Komm";#N/A,#N/A,TRUE,"S  2 DBR";#N/A,#N/A,TRUE,"S  3 Sparten";#N/A,#N/A,TRUE,"S 4  Betr. K.";#N/A,#N/A,TRUE,"6 Bilanz";#N/A,#N/A,TRUE,"6a Bilanz ";#N/A,#N/A,TRUE,"6b Bilanz ";#N/A,#N/A,TRUE,"7 GS I";#N/A,#N/A,TRUE,"S 8 EQ-GuV"}</definedName>
    <definedName name="_Sort" localSheetId="15" hidden="1">'[6]OTHFA-1'!#REF!</definedName>
    <definedName name="_Sort" localSheetId="7" hidden="1">'[6]OTHFA-1'!#REF!</definedName>
    <definedName name="_Sort" localSheetId="0" hidden="1">'[6]OTHFA-1'!#REF!</definedName>
    <definedName name="_Sort" localSheetId="12" hidden="1">'[6]OTHFA-1'!#REF!</definedName>
    <definedName name="_Sort" localSheetId="8" hidden="1">'[6]OTHFA-1'!#REF!</definedName>
    <definedName name="_Sort" localSheetId="4" hidden="1">'[6]OTHFA-1'!#REF!</definedName>
    <definedName name="_Sort" localSheetId="5" hidden="1">'[6]OTHFA-1'!#REF!</definedName>
    <definedName name="_Sort" localSheetId="2" hidden="1">'[6]OTHFA-1'!#REF!</definedName>
    <definedName name="_Sort" localSheetId="17" hidden="1">'[6]OTHFA-1'!#REF!</definedName>
    <definedName name="_Sort" localSheetId="19" hidden="1">#REF!</definedName>
    <definedName name="_Sort" hidden="1">'[6]OTHFA-1'!#REF!</definedName>
    <definedName name="_Table2_Out" localSheetId="15" hidden="1">#REF!</definedName>
    <definedName name="_Table2_Out" localSheetId="7" hidden="1">#REF!</definedName>
    <definedName name="_Table2_Out" localSheetId="0" hidden="1">#REF!</definedName>
    <definedName name="_Table2_Out" localSheetId="12" hidden="1">#REF!</definedName>
    <definedName name="_Table2_Out" localSheetId="8" hidden="1">#REF!</definedName>
    <definedName name="_Table2_Out" localSheetId="4" hidden="1">#REF!</definedName>
    <definedName name="_Table2_Out" localSheetId="5" hidden="1">#REF!</definedName>
    <definedName name="_Table2_Out" localSheetId="2" hidden="1">#REF!</definedName>
    <definedName name="_Table2_Out" localSheetId="17" hidden="1">#REF!</definedName>
    <definedName name="_Table2_Out" localSheetId="19" hidden="1">#REF!</definedName>
    <definedName name="_Table2_Out" hidden="1">#REF!</definedName>
    <definedName name="_YIOYUIOYUIO" localSheetId="19" hidden="1">#REF!</definedName>
    <definedName name="_YIOYUIOYUIO" hidden="1">#REF!</definedName>
    <definedName name="_z2" localSheetId="12" hidden="1">{"Sch00",#N/A,FALSE,"1";"Contents",#N/A,FALSE,"1"}</definedName>
    <definedName name="_z2" localSheetId="8" hidden="1">{"Sch00",#N/A,FALSE,"1";"Contents",#N/A,FALSE,"1"}</definedName>
    <definedName name="_z2" localSheetId="4" hidden="1">{"Sch00",#N/A,FALSE,"1";"Contents",#N/A,FALSE,"1"}</definedName>
    <definedName name="_z2" localSheetId="2" hidden="1">{"Sch00",#N/A,FALSE,"1";"Contents",#N/A,FALSE,"1"}</definedName>
    <definedName name="_z2" localSheetId="19" hidden="1">{"Sch00",#N/A,FALSE,"1";"Contents",#N/A,FALSE,"1"}</definedName>
    <definedName name="_z2" hidden="1">{"Sch00",#N/A,FALSE,"1";"Contents",#N/A,FALSE,"1"}</definedName>
    <definedName name="_z3" localSheetId="12" hidden="1">{"Sch01",#N/A,FALSE,"2";"Sch02",#N/A,FALSE,"2";"Sch03",#N/A,FALSE,"2";"Sch04",#N/A,FALSE,"2";"Sch05",#N/A,FALSE,"2";"Sch06",#N/A,FALSE,"2";"Sch17",#N/A,FALSE,"2";"Sch19",#N/A,FALSE,"2";"Sch20",#N/A,FALSE,"2";"Sch21",#N/A,FALSE,"2";"Sch26",#N/A,FALSE,"2"}</definedName>
    <definedName name="_z3" localSheetId="8" hidden="1">{"Sch01",#N/A,FALSE,"2";"Sch02",#N/A,FALSE,"2";"Sch03",#N/A,FALSE,"2";"Sch04",#N/A,FALSE,"2";"Sch05",#N/A,FALSE,"2";"Sch06",#N/A,FALSE,"2";"Sch17",#N/A,FALSE,"2";"Sch19",#N/A,FALSE,"2";"Sch20",#N/A,FALSE,"2";"Sch21",#N/A,FALSE,"2";"Sch26",#N/A,FALSE,"2"}</definedName>
    <definedName name="_z3" localSheetId="4" hidden="1">{"Sch01",#N/A,FALSE,"2";"Sch02",#N/A,FALSE,"2";"Sch03",#N/A,FALSE,"2";"Sch04",#N/A,FALSE,"2";"Sch05",#N/A,FALSE,"2";"Sch06",#N/A,FALSE,"2";"Sch17",#N/A,FALSE,"2";"Sch19",#N/A,FALSE,"2";"Sch20",#N/A,FALSE,"2";"Sch21",#N/A,FALSE,"2";"Sch26",#N/A,FALSE,"2"}</definedName>
    <definedName name="_z3" localSheetId="2" hidden="1">{"Sch01",#N/A,FALSE,"2";"Sch02",#N/A,FALSE,"2";"Sch03",#N/A,FALSE,"2";"Sch04",#N/A,FALSE,"2";"Sch05",#N/A,FALSE,"2";"Sch06",#N/A,FALSE,"2";"Sch17",#N/A,FALSE,"2";"Sch19",#N/A,FALSE,"2";"Sch20",#N/A,FALSE,"2";"Sch21",#N/A,FALSE,"2";"Sch26",#N/A,FALSE,"2"}</definedName>
    <definedName name="_z3" localSheetId="19" hidden="1">{"Sch01",#N/A,FALSE,"2";"Sch02",#N/A,FALSE,"2";"Sch03",#N/A,FALSE,"2";"Sch04",#N/A,FALSE,"2";"Sch05",#N/A,FALSE,"2";"Sch06",#N/A,FALSE,"2";"Sch17",#N/A,FALSE,"2";"Sch19",#N/A,FALSE,"2";"Sch20",#N/A,FALSE,"2";"Sch21",#N/A,FALSE,"2";"Sch26",#N/A,FALSE,"2"}</definedName>
    <definedName name="_z3" hidden="1">{"Sch01",#N/A,FALSE,"2";"Sch02",#N/A,FALSE,"2";"Sch03",#N/A,FALSE,"2";"Sch04",#N/A,FALSE,"2";"Sch05",#N/A,FALSE,"2";"Sch06",#N/A,FALSE,"2";"Sch17",#N/A,FALSE,"2";"Sch19",#N/A,FALSE,"2";"Sch20",#N/A,FALSE,"2";"Sch21",#N/A,FALSE,"2";"Sch26",#N/A,FALSE,"2"}</definedName>
    <definedName name="_ZZ2" localSheetId="12" hidden="1">{#N/A,#N/A,TRUE,"0 Deckbl.";#N/A,#N/A,TRUE,"S 1 Komm";#N/A,#N/A,TRUE,"S 1a Komm";#N/A,#N/A,TRUE,"S 1b Komm";#N/A,#N/A,TRUE,"S  2 DBR";#N/A,#N/A,TRUE,"S  3 Sparten";#N/A,#N/A,TRUE,"S 4  Betr. K.";#N/A,#N/A,TRUE,"6 Bilanz";#N/A,#N/A,TRUE,"6a Bilanz ";#N/A,#N/A,TRUE,"6b Bilanz ";#N/A,#N/A,TRUE,"7 GS I";#N/A,#N/A,TRUE,"S 8 EQ-GuV"}</definedName>
    <definedName name="_ZZ2" localSheetId="8" hidden="1">{#N/A,#N/A,TRUE,"0 Deckbl.";#N/A,#N/A,TRUE,"S 1 Komm";#N/A,#N/A,TRUE,"S 1a Komm";#N/A,#N/A,TRUE,"S 1b Komm";#N/A,#N/A,TRUE,"S  2 DBR";#N/A,#N/A,TRUE,"S  3 Sparten";#N/A,#N/A,TRUE,"S 4  Betr. K.";#N/A,#N/A,TRUE,"6 Bilanz";#N/A,#N/A,TRUE,"6a Bilanz ";#N/A,#N/A,TRUE,"6b Bilanz ";#N/A,#N/A,TRUE,"7 GS I";#N/A,#N/A,TRUE,"S 8 EQ-GuV"}</definedName>
    <definedName name="_ZZ2" localSheetId="4" hidden="1">{#N/A,#N/A,TRUE,"0 Deckbl.";#N/A,#N/A,TRUE,"S 1 Komm";#N/A,#N/A,TRUE,"S 1a Komm";#N/A,#N/A,TRUE,"S 1b Komm";#N/A,#N/A,TRUE,"S  2 DBR";#N/A,#N/A,TRUE,"S  3 Sparten";#N/A,#N/A,TRUE,"S 4  Betr. K.";#N/A,#N/A,TRUE,"6 Bilanz";#N/A,#N/A,TRUE,"6a Bilanz ";#N/A,#N/A,TRUE,"6b Bilanz ";#N/A,#N/A,TRUE,"7 GS I";#N/A,#N/A,TRUE,"S 8 EQ-GuV"}</definedName>
    <definedName name="_ZZ2" localSheetId="2" hidden="1">{#N/A,#N/A,TRUE,"0 Deckbl.";#N/A,#N/A,TRUE,"S 1 Komm";#N/A,#N/A,TRUE,"S 1a Komm";#N/A,#N/A,TRUE,"S 1b Komm";#N/A,#N/A,TRUE,"S  2 DBR";#N/A,#N/A,TRUE,"S  3 Sparten";#N/A,#N/A,TRUE,"S 4  Betr. K.";#N/A,#N/A,TRUE,"6 Bilanz";#N/A,#N/A,TRUE,"6a Bilanz ";#N/A,#N/A,TRUE,"6b Bilanz ";#N/A,#N/A,TRUE,"7 GS I";#N/A,#N/A,TRUE,"S 8 EQ-GuV"}</definedName>
    <definedName name="_ZZ2" localSheetId="19" hidden="1">{#N/A,#N/A,TRUE,"0 Deckbl.";#N/A,#N/A,TRUE,"S 1 Komm";#N/A,#N/A,TRUE,"S 1a Komm";#N/A,#N/A,TRUE,"S 1b Komm";#N/A,#N/A,TRUE,"S  2 DBR";#N/A,#N/A,TRUE,"S  3 Sparten";#N/A,#N/A,TRUE,"S 4  Betr. K.";#N/A,#N/A,TRUE,"6 Bilanz";#N/A,#N/A,TRUE,"6a Bilanz ";#N/A,#N/A,TRUE,"6b Bilanz ";#N/A,#N/A,TRUE,"7 GS I";#N/A,#N/A,TRUE,"S 8 EQ-GuV"}</definedName>
    <definedName name="_ZZ2" hidden="1">{#N/A,#N/A,TRUE,"0 Deckbl.";#N/A,#N/A,TRUE,"S 1 Komm";#N/A,#N/A,TRUE,"S 1a Komm";#N/A,#N/A,TRUE,"S 1b Komm";#N/A,#N/A,TRUE,"S  2 DBR";#N/A,#N/A,TRUE,"S  3 Sparten";#N/A,#N/A,TRUE,"S 4  Betr. K.";#N/A,#N/A,TRUE,"6 Bilanz";#N/A,#N/A,TRUE,"6a Bilanz ";#N/A,#N/A,TRUE,"6b Bilanz ";#N/A,#N/A,TRUE,"7 GS I";#N/A,#N/A,TRUE,"S 8 EQ-GuV"}</definedName>
    <definedName name="_zz3"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a" hidden="1">'[7]97Budget'!#REF!</definedName>
    <definedName name="aa" localSheetId="12" hidden="1">{#N/A,#N/A,FALSE,"Primary";#N/A,#N/A,FALSE,"Secondary";#N/A,#N/A,FALSE,"Latent";#N/A,#N/A,FALSE,"Demand Inputs";#N/A,#N/A,FALSE,"Supply Addn";#N/A,#N/A,FALSE,"Mkt Pen"}</definedName>
    <definedName name="aa" localSheetId="8" hidden="1">{#N/A,#N/A,FALSE,"Primary";#N/A,#N/A,FALSE,"Secondary";#N/A,#N/A,FALSE,"Latent";#N/A,#N/A,FALSE,"Demand Inputs";#N/A,#N/A,FALSE,"Supply Addn";#N/A,#N/A,FALSE,"Mkt Pen"}</definedName>
    <definedName name="aa" localSheetId="4" hidden="1">{#N/A,#N/A,FALSE,"Primary";#N/A,#N/A,FALSE,"Secondary";#N/A,#N/A,FALSE,"Latent";#N/A,#N/A,FALSE,"Demand Inputs";#N/A,#N/A,FALSE,"Supply Addn";#N/A,#N/A,FALSE,"Mkt Pen"}</definedName>
    <definedName name="aa" localSheetId="2" hidden="1">{#N/A,#N/A,FALSE,"Primary";#N/A,#N/A,FALSE,"Secondary";#N/A,#N/A,FALSE,"Latent";#N/A,#N/A,FALSE,"Demand Inputs";#N/A,#N/A,FALSE,"Supply Addn";#N/A,#N/A,FALSE,"Mkt Pen"}</definedName>
    <definedName name="aa" localSheetId="19" hidden="1">{"QTR",#N/A,FALSE,"Qtr_new_format";"A3",#N/A,FALSE,"Qtr_new_format"}</definedName>
    <definedName name="aa" hidden="1">{#N/A,#N/A,FALSE,"Primary";#N/A,#N/A,FALSE,"Secondary";#N/A,#N/A,FALSE,"Latent";#N/A,#N/A,FALSE,"Demand Inputs";#N/A,#N/A,FALSE,"Supply Addn";#N/A,#N/A,FALSE,"Mkt Pen"}</definedName>
    <definedName name="aaa" localSheetId="19" hidden="1">{"'INVOICE'!$A$2793:$D$2815"}</definedName>
    <definedName name="aaa" hidden="1">{#N/A,#N/A,FALSE,"Cover";#N/A,#N/A,FALSE,"Sensit";#N/A,#N/A,FALSE,"HEW";#N/A,#N/A,FALSE,"Bilanz";#N/A,#N/A,FALSE,"Aufbringung";#N/A,#N/A,FALSE,"Absatz";#N/A,#N/A,FALSE,"Durchleitung";#N/A,#N/A,FALSE,"Konzession";#N/A,#N/A,FALSE,"Personal";#N/A,#N/A,FALSE,"WC ";#N/A,#N/A,FALSE,"Capex Deprec ";#N/A,#N/A,FALSE,"Steuern";#N/A,#N/A,FALSE," Rente";#N/A,#N/A,FALSE," EBITDA"}</definedName>
    <definedName name="AAA_DOCTOPS" hidden="1">"AAA_SET"</definedName>
    <definedName name="AAA_duser" hidden="1">"OFF"</definedName>
    <definedName name="AAAAAA" localSheetId="12" hidden="1">{#N/A,#N/A,TRUE,"0 Deckbl.";#N/A,#N/A,TRUE,"S 1 Komm";#N/A,#N/A,TRUE,"S 1a Komm";#N/A,#N/A,TRUE,"S 1b Komm";#N/A,#N/A,TRUE,"S  2 DBR";#N/A,#N/A,TRUE,"S  3 Sparten";#N/A,#N/A,TRUE,"S 4  Betr. K.";#N/A,#N/A,TRUE,"6 Bilanz";#N/A,#N/A,TRUE,"6a Bilanz ";#N/A,#N/A,TRUE,"6b Bilanz ";#N/A,#N/A,TRUE,"7 GS I";#N/A,#N/A,TRUE,"S 8 EQ-GuV"}</definedName>
    <definedName name="AAAAAA" localSheetId="8" hidden="1">{#N/A,#N/A,TRUE,"0 Deckbl.";#N/A,#N/A,TRUE,"S 1 Komm";#N/A,#N/A,TRUE,"S 1a Komm";#N/A,#N/A,TRUE,"S 1b Komm";#N/A,#N/A,TRUE,"S  2 DBR";#N/A,#N/A,TRUE,"S  3 Sparten";#N/A,#N/A,TRUE,"S 4  Betr. K.";#N/A,#N/A,TRUE,"6 Bilanz";#N/A,#N/A,TRUE,"6a Bilanz ";#N/A,#N/A,TRUE,"6b Bilanz ";#N/A,#N/A,TRUE,"7 GS I";#N/A,#N/A,TRUE,"S 8 EQ-GuV"}</definedName>
    <definedName name="AAAAAA" localSheetId="4" hidden="1">{#N/A,#N/A,TRUE,"0 Deckbl.";#N/A,#N/A,TRUE,"S 1 Komm";#N/A,#N/A,TRUE,"S 1a Komm";#N/A,#N/A,TRUE,"S 1b Komm";#N/A,#N/A,TRUE,"S  2 DBR";#N/A,#N/A,TRUE,"S  3 Sparten";#N/A,#N/A,TRUE,"S 4  Betr. K.";#N/A,#N/A,TRUE,"6 Bilanz";#N/A,#N/A,TRUE,"6a Bilanz ";#N/A,#N/A,TRUE,"6b Bilanz ";#N/A,#N/A,TRUE,"7 GS I";#N/A,#N/A,TRUE,"S 8 EQ-GuV"}</definedName>
    <definedName name="AAAAAA" localSheetId="2" hidden="1">{#N/A,#N/A,TRUE,"0 Deckbl.";#N/A,#N/A,TRUE,"S 1 Komm";#N/A,#N/A,TRUE,"S 1a Komm";#N/A,#N/A,TRUE,"S 1b Komm";#N/A,#N/A,TRUE,"S  2 DBR";#N/A,#N/A,TRUE,"S  3 Sparten";#N/A,#N/A,TRUE,"S 4  Betr. K.";#N/A,#N/A,TRUE,"6 Bilanz";#N/A,#N/A,TRUE,"6a Bilanz ";#N/A,#N/A,TRUE,"6b Bilanz ";#N/A,#N/A,TRUE,"7 GS I";#N/A,#N/A,TRUE,"S 8 EQ-GuV"}</definedName>
    <definedName name="AAAAAA" localSheetId="19" hidden="1">{#N/A,#N/A,TRUE,"0 Deckbl.";#N/A,#N/A,TRUE,"S 1 Komm";#N/A,#N/A,TRUE,"S 1a Komm";#N/A,#N/A,TRUE,"S 1b Komm";#N/A,#N/A,TRUE,"S  2 DBR";#N/A,#N/A,TRUE,"S  3 Sparten";#N/A,#N/A,TRUE,"S 4  Betr. K.";#N/A,#N/A,TRUE,"6 Bilanz";#N/A,#N/A,TRUE,"6a Bilanz ";#N/A,#N/A,TRUE,"6b Bilanz ";#N/A,#N/A,TRUE,"7 GS I";#N/A,#N/A,TRUE,"S 8 EQ-GuV"}</definedName>
    <definedName name="AAAAAA" hidden="1">{#N/A,#N/A,TRUE,"0 Deckbl.";#N/A,#N/A,TRUE,"S 1 Komm";#N/A,#N/A,TRUE,"S 1a Komm";#N/A,#N/A,TRUE,"S 1b Komm";#N/A,#N/A,TRUE,"S  2 DBR";#N/A,#N/A,TRUE,"S  3 Sparten";#N/A,#N/A,TRUE,"S 4  Betr. K.";#N/A,#N/A,TRUE,"6 Bilanz";#N/A,#N/A,TRUE,"6a Bilanz ";#N/A,#N/A,TRUE,"6b Bilanz ";#N/A,#N/A,TRUE,"7 GS I";#N/A,#N/A,TRUE,"S 8 EQ-GuV"}</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SFAS" localSheetId="19" hidden="1">'[7]97Budget'!#REF!</definedName>
    <definedName name="AASFAS" hidden="1">'[7]97Budget'!#REF!</definedName>
    <definedName name="ab" localSheetId="12" hidden="1">{"MatBal",#N/A,FALSE,"Houston Matrl Balance"}</definedName>
    <definedName name="ab" localSheetId="8" hidden="1">{"MatBal",#N/A,FALSE,"Houston Matrl Balance"}</definedName>
    <definedName name="ab" localSheetId="4" hidden="1">{"MatBal",#N/A,FALSE,"Houston Matrl Balance"}</definedName>
    <definedName name="ab" localSheetId="2" hidden="1">{"MatBal",#N/A,FALSE,"Houston Matrl Balance"}</definedName>
    <definedName name="ab" localSheetId="19" hidden="1">{"MatBal",#N/A,FALSE,"Houston Matrl Balance"}</definedName>
    <definedName name="ab" hidden="1">{"MatBal",#N/A,FALSE,"Houston Matrl Balance"}</definedName>
    <definedName name="ABC" localSheetId="12" hidden="1">{"'INVOICE'!$A$2793:$D$2815"}</definedName>
    <definedName name="ABC" localSheetId="8" hidden="1">{"'INVOICE'!$A$2793:$D$2815"}</definedName>
    <definedName name="ABC" localSheetId="4" hidden="1">{"'INVOICE'!$A$2793:$D$2815"}</definedName>
    <definedName name="ABC" localSheetId="2" hidden="1">{"'INVOICE'!$A$2793:$D$2815"}</definedName>
    <definedName name="ABC" localSheetId="19" hidden="1">{"'INVOICE'!$A$2793:$D$2815"}</definedName>
    <definedName name="ABC" hidden="1">{"'INVOICE'!$A$2793:$D$2815"}</definedName>
    <definedName name="abd" localSheetId="12" hidden="1">{"'INVOICE'!$A$2793:$D$2815"}</definedName>
    <definedName name="abd" localSheetId="8" hidden="1">{"'INVOICE'!$A$2793:$D$2815"}</definedName>
    <definedName name="abd" localSheetId="4" hidden="1">{"'INVOICE'!$A$2793:$D$2815"}</definedName>
    <definedName name="abd" localSheetId="2" hidden="1">{"'INVOICE'!$A$2793:$D$2815"}</definedName>
    <definedName name="abd" localSheetId="19" hidden="1">{"'INVOICE'!$A$2793:$D$2815"}</definedName>
    <definedName name="abd" hidden="1">{"'INVOICE'!$A$2793:$D$2815"}</definedName>
    <definedName name="ac" localSheetId="12"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8"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4"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2"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localSheetId="19"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 hidden="1">{"Crudes",#N/A,FALSE,"HOUSTON";"Gas Oils",#N/A,FALSE,"HOUSTON";"Gasoline",#N/A,FALSE,"HOUSTON";"GasolineBPD",#N/A,FALSE,"BPD";"Diesel",#N/A,FALSE,"HOUSTON";"DieselBPD",#N/A,FALSE,"BPD";"Fuel Oil",#N/A,FALSE,"HOUSTON";"Fuel Oil BPD",#N/A,FALSE,"BPD";"LPG",#N/A,FALSE,"HOUSTON";"LPGBPD",#N/A,FALSE,"BPD";"MatBal",#N/A,FALSE,"Houston Matrl Balance";"Capacities",#N/A,FALSE,"HOUSTON";"Prices",#N/A,FALSE,"Prices";"StreamProps",#N/A,FALSE,"Stream Props"}</definedName>
    <definedName name="AccessDatabase" hidden="1">"C:\DATA\Kevin\Kevin's Model.mdb"</definedName>
    <definedName name="Act_BS_Acc_Amort">'Act BS'!$M$78:$R$78</definedName>
    <definedName name="Act_BS_Additional_Capital">'Act BS'!$M$62:$AD$62</definedName>
    <definedName name="Act_BS_Cash">'Act BS'!$M$14:$AD$14</definedName>
    <definedName name="Act_BS_Contract_Assets">'Act BS'!$M$20:$AD$20</definedName>
    <definedName name="Act_BS_Contract_Liabilities_Current">'Act BS'!$M$43:$AD$43</definedName>
    <definedName name="Act_BS_Contract_Liabilities_Non_Current">'Act BS'!$M$55:$AD$55</definedName>
    <definedName name="Act_BS_Cur_Investments">'Act BS'!$M$15:$AD$15</definedName>
    <definedName name="Act_BS_Debt_Current">'Act BS'!$M$39:$AD$39</definedName>
    <definedName name="Act_BS_Debt_LT1">'Act BS'!$M$81:$R$81</definedName>
    <definedName name="Act_BS_Debt_LT2">'Act BS'!$M$82:$R$82</definedName>
    <definedName name="Act_BS_Debt_LT3">'Act BS'!$M$83:$R$83</definedName>
    <definedName name="Act_BS_Debt_LT4">'Act BS'!$M$84:$R$84</definedName>
    <definedName name="Act_BS_Debt_Non_Current">'Act BS'!$M$51:$AD$51</definedName>
    <definedName name="Act_BS_Deferred_Income_Current">'Act BS'!$M$44:$AD$44</definedName>
    <definedName name="Act_BS_Deferred_Income_Non_Current">'Act BS'!$M$56:$AD$56</definedName>
    <definedName name="Act_BS_Deferred_Tax">'Act BS'!$M$30:$AD$30</definedName>
    <definedName name="Act_BS_Goodwill">'Act BS'!$M$29:$AD$29</definedName>
    <definedName name="Act_BS_Intangible">'Act BS'!$M$28:$AD$28</definedName>
    <definedName name="Act_BS_Intangible_Cost">'Act BS'!$M$76:$R$76</definedName>
    <definedName name="Act_BS_Inventories">'Act BS'!$M$18:$AD$18</definedName>
    <definedName name="Act_BS_Lease_Current">'Act BS'!$M$40:$AD$40</definedName>
    <definedName name="Act_BS_Lease_Non_Current">'Act BS'!$M$52:$AD$52</definedName>
    <definedName name="Act_BS_LT_Investments">'Act BS'!$M$26:$AD$26</definedName>
    <definedName name="Act_BS_Non_Cur_Tax_Rec">'Act BS'!$M$31:$AD$31</definedName>
    <definedName name="Act_BS_Other_Curr_FA">'Act BS'!$M$21:$AD$21</definedName>
    <definedName name="Act_BS_Other_FA_Current">'Act BS'!$M$46:$AD$46</definedName>
    <definedName name="Act_BS_Other_FA_Non_Current">'Act BS'!$M$57:$AD$57</definedName>
    <definedName name="Act_BS_Other_FA_NonCur">'Act BS'!$M$32:$AD$32</definedName>
    <definedName name="Act_BS_Other_NonCur_Assets">'Act BS'!$M$33:$AD$33</definedName>
    <definedName name="Act_BS_Other_NonCurrent_Assets">'Act BS'!$M$47:$AD$47</definedName>
    <definedName name="Act_BS_Other_Receivables">'Act BS'!$M$17:$AD$17</definedName>
    <definedName name="Act_BS_Payables">'Act BS'!$M$41:$AD$41</definedName>
    <definedName name="Act_BS_PPE">'Act BS'!$M$27:$AD$27</definedName>
    <definedName name="Act_BS_PPE_Acc_Dep">'Act BS'!$M$72:$R$72</definedName>
    <definedName name="Act_BS_PPE_Cost">'Act BS'!$M$70:$R$70</definedName>
    <definedName name="Act_BS_Prepaid_Expenses">'Act BS'!$M$22:$AD$22</definedName>
    <definedName name="Act_BS_Provisions_Current">'Act BS'!$M$42:$AD$42</definedName>
    <definedName name="Act_BS_Provisions_Non_Current">'Act BS'!$M$54:$AD$54</definedName>
    <definedName name="Act_BS_Retained_Reserves">'Act BS'!$M$63:$AD$63</definedName>
    <definedName name="Act_BS_Share_Capital">'Act BS'!$M$61:$AD$61</definedName>
    <definedName name="Act_BS_Tax_Deferred">'Act BS'!$M$53:$AD$53</definedName>
    <definedName name="Act_BS_Tax_Payable">'Act BS'!$M$45:$AD$45</definedName>
    <definedName name="Act_BS_Tax_Receivables">'Act BS'!$M$19:$AD$19</definedName>
    <definedName name="Act_BS_Trade_Receivables">'Act BS'!$M$16:$AD$16</definedName>
    <definedName name="Act_CF_Beginning_Cash">'Act CF'!$M$38:$AF$38</definedName>
    <definedName name="Act_CF_Capital">'Act CF'!$M$29:$AF$29</definedName>
    <definedName name="Act_CF_Capital_Expenditure">'Act CF'!$M$25:$AF$25</definedName>
    <definedName name="Act_CF_Capital_Expenditure_Intangibles">'Act CF'!$M$26:$AF$26</definedName>
    <definedName name="Act_CF_Change_Cash">'Act CF'!$M$36:$AF$36</definedName>
    <definedName name="Act_CF_Contract_Assets">'Act CF'!$M$17:$AF$17</definedName>
    <definedName name="Act_CF_Contract_Liabilities_Current">'Act CF'!$M$21:$AF$21</definedName>
    <definedName name="Act_CF_Debt_Proceeds">'Act CF'!$M$30:$AF$30</definedName>
    <definedName name="Act_CF_Debt_Repayment">'Act CF'!$M$32:$AF$32</definedName>
    <definedName name="Act_CF_Dividends">'Act CF'!$M$35:$AF$35</definedName>
    <definedName name="Act_CF_EBITDA">'Act CF'!$M$13:$AF$13</definedName>
    <definedName name="Act_CF_Ending_Cash">'Act CF'!$M$39:$AF$39</definedName>
    <definedName name="Act_CF_FCFE">'Act CF'!$M$34:$AF$34</definedName>
    <definedName name="Act_CF_FCFF">'Act CF'!$M$28:$AF$28</definedName>
    <definedName name="Act_CF_Finance_Lease">'Act CF'!$M$31:$AF$31</definedName>
    <definedName name="Act_CF_Interest_Paid">'Act CF'!$M$33:$AF$33</definedName>
    <definedName name="Act_CF_Inventories">'Act CF'!$M$16:$AF$16</definedName>
    <definedName name="Act_CF_Investments">'Act CF'!$M$27:$AF$27</definedName>
    <definedName name="Act_CF_Operating_CF">'Act CF'!$M$24:$AF$24</definedName>
    <definedName name="Act_CF_Other_NonCurrent_Assets">'Act CF'!$M$22:$AF$22</definedName>
    <definedName name="Act_CF_Payables">'Act CF'!$M$19:$AF$19</definedName>
    <definedName name="Act_CF_Prepaid_Expenses">'Act CF'!$M$18:$AF$18</definedName>
    <definedName name="Act_CF_Provisions_Current">'Act CF'!$M$20:$AF$20</definedName>
    <definedName name="Act_CF_Receivables">'Act CF'!$M$15:$AF$15</definedName>
    <definedName name="Act_CF_Tax_Paid">'Act CF'!$M$23:$AF$23</definedName>
    <definedName name="Act_CF_Working_Capital_Changes">'Act CF'!$M$14:$AF$14</definedName>
    <definedName name="Act_IS_Amort">'Act IS'!$M$27:$AD$27</definedName>
    <definedName name="Act_IS_Dep">'Act IS'!$M$26:$AD$26</definedName>
    <definedName name="Act_IS_Direct_Costs">'Act IS'!$M$14:$AD$14</definedName>
    <definedName name="Act_IS_EBITDA">'Act IS'!$M$24:$AD$24</definedName>
    <definedName name="Act_IS_F_Assets">'Act IS'!$M$34:$AD$34</definedName>
    <definedName name="Act_IS_F_Currency">'Act IS'!$M$35:$AD$35</definedName>
    <definedName name="Act_IS_GP">'Act IS'!$M$15:$AD$15</definedName>
    <definedName name="Act_IS_Impairement">'Act IS'!$M$29:$AD$29</definedName>
    <definedName name="Act_IS_Income_PreTax">'Act IS'!$M$39:$AD$39</definedName>
    <definedName name="Act_IS_Interest_Expense">'Act IS'!$M$31:$AD$31</definedName>
    <definedName name="Act_IS_Investment_Income">'Act IS'!$M$30:$AD$30</definedName>
    <definedName name="Act_IS_Net_Income">'Act IS'!$M$43:$AD$43</definedName>
    <definedName name="Act_IS_Other_Expenses">'Act IS'!$M$22:$AD$22</definedName>
    <definedName name="Act_IS_Other_Income">'Act IS'!$M$21:$AD$21</definedName>
    <definedName name="Act_IS_Other_Income_Bargain">'Act IS'!$M$37:$AD$37</definedName>
    <definedName name="Act_IS_Other_LT_Investments">'Act IS'!$M$32:$AD$32</definedName>
    <definedName name="Act_IS_Other_OP_Results">'Act IS'!$M$36:$AD$36</definedName>
    <definedName name="Act_IS_Other_SOR">'Act IS'!$M$33:$AD$33</definedName>
    <definedName name="Act_IS_RD">'Act IS'!$M$18:$AD$18</definedName>
    <definedName name="Act_IS_Revenue">'Act IS'!$M$13:$AD$13</definedName>
    <definedName name="Act_IS_SGA">'Act IS'!$M$19:$AD$19</definedName>
    <definedName name="Act_IS_Tax">'Act IS'!$M$41:$AD$41</definedName>
    <definedName name="ACwvu.New._.Format." localSheetId="15" hidden="1">#REF!</definedName>
    <definedName name="ACwvu.New._.Format." localSheetId="7" hidden="1">#REF!</definedName>
    <definedName name="ACwvu.New._.Format." localSheetId="0" hidden="1">#REF!</definedName>
    <definedName name="ACwvu.New._.Format." localSheetId="12" hidden="1">#REF!</definedName>
    <definedName name="ACwvu.New._.Format." localSheetId="8" hidden="1">#REF!</definedName>
    <definedName name="ACwvu.New._.Format." localSheetId="4" hidden="1">#REF!</definedName>
    <definedName name="ACwvu.New._.Format." localSheetId="5" hidden="1">#REF!</definedName>
    <definedName name="ACwvu.New._.Format." localSheetId="2" hidden="1">#REF!</definedName>
    <definedName name="ACwvu.New._.Format." localSheetId="17" hidden="1">#REF!</definedName>
    <definedName name="ACwvu.New._.Format." localSheetId="19" hidden="1">#REF!</definedName>
    <definedName name="ACwvu.New._.Format." hidden="1">#REF!</definedName>
    <definedName name="ADSF" localSheetId="19" hidden="1">#REF!</definedName>
    <definedName name="ADSF" hidden="1">#REF!</definedName>
    <definedName name="aewr" localSheetId="12" hidden="1">{"mgmt forecast",#N/A,FALSE,"Mgmt Forecast";"dcf table",#N/A,FALSE,"Mgmt Forecast";"sensitivity",#N/A,FALSE,"Mgmt Forecast";"table inputs",#N/A,FALSE,"Mgmt Forecast";"calculations",#N/A,FALSE,"Mgmt Forecast"}</definedName>
    <definedName name="aewr" localSheetId="8" hidden="1">{"mgmt forecast",#N/A,FALSE,"Mgmt Forecast";"dcf table",#N/A,FALSE,"Mgmt Forecast";"sensitivity",#N/A,FALSE,"Mgmt Forecast";"table inputs",#N/A,FALSE,"Mgmt Forecast";"calculations",#N/A,FALSE,"Mgmt Forecast"}</definedName>
    <definedName name="aewr" localSheetId="4" hidden="1">{"mgmt forecast",#N/A,FALSE,"Mgmt Forecast";"dcf table",#N/A,FALSE,"Mgmt Forecast";"sensitivity",#N/A,FALSE,"Mgmt Forecast";"table inputs",#N/A,FALSE,"Mgmt Forecast";"calculations",#N/A,FALSE,"Mgmt Forecast"}</definedName>
    <definedName name="aewr" localSheetId="2" hidden="1">{"mgmt forecast",#N/A,FALSE,"Mgmt Forecast";"dcf table",#N/A,FALSE,"Mgmt Forecast";"sensitivity",#N/A,FALSE,"Mgmt Forecast";"table inputs",#N/A,FALSE,"Mgmt Forecast";"calculations",#N/A,FALSE,"Mgmt Forecast"}</definedName>
    <definedName name="aewr" localSheetId="19"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FSADF" hidden="1">'[7]97Budget'!#REF!</definedName>
    <definedName name="anscount" hidden="1">1</definedName>
    <definedName name="AQAQ" hidden="1">'[7]97Budget'!#REF!</definedName>
    <definedName name="AS2DocOpenMode" hidden="1">"AS2DocumentEdit"</definedName>
    <definedName name="AS2HasNoAutoHeaderFooter" hidden="1">" "</definedName>
    <definedName name="AS2ReportLS" hidden="1">1</definedName>
    <definedName name="AS2SyncStepLS" hidden="1">0</definedName>
    <definedName name="AS2TickmarkLS" localSheetId="15" hidden="1">#REF!</definedName>
    <definedName name="AS2TickmarkLS" localSheetId="7" hidden="1">#REF!</definedName>
    <definedName name="AS2TickmarkLS" localSheetId="0" hidden="1">#REF!</definedName>
    <definedName name="AS2TickmarkLS" localSheetId="12" hidden="1">#REF!</definedName>
    <definedName name="AS2TickmarkLS" localSheetId="8" hidden="1">#REF!</definedName>
    <definedName name="AS2TickmarkLS" localSheetId="4" hidden="1">#REF!</definedName>
    <definedName name="AS2TickmarkLS" localSheetId="5" hidden="1">#REF!</definedName>
    <definedName name="AS2TickmarkLS" localSheetId="2" hidden="1">#REF!</definedName>
    <definedName name="AS2TickmarkLS" localSheetId="17" hidden="1">#REF!</definedName>
    <definedName name="AS2TickmarkLS" localSheetId="19" hidden="1">#REF!</definedName>
    <definedName name="AS2TickmarkLS" hidden="1">#REF!</definedName>
    <definedName name="AS2VersionLS" hidden="1">300</definedName>
    <definedName name="asd" localSheetId="19" hidden="1">'[7]97Budget'!#REF!</definedName>
    <definedName name="asd" hidden="1">'[7]97Budget'!#REF!</definedName>
    <definedName name="asda" localSheetId="12" hidden="1">{"Page1",#N/A,FALSE,"DILUT1";"Page2",#N/A,FALSE,"DILUT1";"Page3",#N/A,FALSE,"DILUT1"}</definedName>
    <definedName name="asda" localSheetId="8" hidden="1">{"Page1",#N/A,FALSE,"DILUT1";"Page2",#N/A,FALSE,"DILUT1";"Page3",#N/A,FALSE,"DILUT1"}</definedName>
    <definedName name="asda" localSheetId="4" hidden="1">{"Page1",#N/A,FALSE,"DILUT1";"Page2",#N/A,FALSE,"DILUT1";"Page3",#N/A,FALSE,"DILUT1"}</definedName>
    <definedName name="asda" localSheetId="2" hidden="1">{"Page1",#N/A,FALSE,"DILUT1";"Page2",#N/A,FALSE,"DILUT1";"Page3",#N/A,FALSE,"DILUT1"}</definedName>
    <definedName name="asda" localSheetId="19" hidden="1">{"Page1",#N/A,FALSE,"DILUT1";"Page2",#N/A,FALSE,"DILUT1";"Page3",#N/A,FALSE,"DILUT1"}</definedName>
    <definedName name="asda" hidden="1">{"Page1",#N/A,FALSE,"DILUT1";"Page2",#N/A,FALSE,"DILUT1";"Page3",#N/A,FALSE,"DILUT1"}</definedName>
    <definedName name="asdasdasdsad" localSheetId="19" hidden="1">#REF!</definedName>
    <definedName name="asdasdasdsad" hidden="1">#REF!</definedName>
    <definedName name="asdf" localSheetId="12" hidden="1">{#N/A,#N/A,FALSE,"ORIX CSC"}</definedName>
    <definedName name="asdf" localSheetId="8" hidden="1">{#N/A,#N/A,FALSE,"ORIX CSC"}</definedName>
    <definedName name="asdf" localSheetId="4" hidden="1">{#N/A,#N/A,FALSE,"ORIX CSC"}</definedName>
    <definedName name="asdf" localSheetId="2" hidden="1">{#N/A,#N/A,FALSE,"ORIX CSC"}</definedName>
    <definedName name="asdf" localSheetId="19" hidden="1">{#N/A,#N/A,FALSE,"ORIX CSC"}</definedName>
    <definedName name="asdf" hidden="1">{#N/A,#N/A,FALSE,"ORIX CSC"}</definedName>
    <definedName name="asdfdd" localSheetId="12" hidden="1">{"mgmt forecast",#N/A,FALSE,"Mgmt Forecast";"dcf table",#N/A,FALSE,"Mgmt Forecast";"sensitivity",#N/A,FALSE,"Mgmt Forecast";"table inputs",#N/A,FALSE,"Mgmt Forecast";"calculations",#N/A,FALSE,"Mgmt Forecast"}</definedName>
    <definedName name="asdfdd" localSheetId="8" hidden="1">{"mgmt forecast",#N/A,FALSE,"Mgmt Forecast";"dcf table",#N/A,FALSE,"Mgmt Forecast";"sensitivity",#N/A,FALSE,"Mgmt Forecast";"table inputs",#N/A,FALSE,"Mgmt Forecast";"calculations",#N/A,FALSE,"Mgmt Forecast"}</definedName>
    <definedName name="asdfdd" localSheetId="4" hidden="1">{"mgmt forecast",#N/A,FALSE,"Mgmt Forecast";"dcf table",#N/A,FALSE,"Mgmt Forecast";"sensitivity",#N/A,FALSE,"Mgmt Forecast";"table inputs",#N/A,FALSE,"Mgmt Forecast";"calculations",#N/A,FALSE,"Mgmt Forecast"}</definedName>
    <definedName name="asdfdd" localSheetId="2" hidden="1">{"mgmt forecast",#N/A,FALSE,"Mgmt Forecast";"dcf table",#N/A,FALSE,"Mgmt Forecast";"sensitivity",#N/A,FALSE,"Mgmt Forecast";"table inputs",#N/A,FALSE,"Mgmt Forecast";"calculations",#N/A,FALSE,"Mgmt Forecast"}</definedName>
    <definedName name="asdfdd" localSheetId="19"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dfsadf" hidden="1">'[7]97Budget'!#REF!</definedName>
    <definedName name="asdfsadfsadfsadfrtqrt45345345" localSheetId="19" hidden="1">#REF!</definedName>
    <definedName name="asdfsadfsadfsadfrtqrt45345345" hidden="1">#REF!</definedName>
    <definedName name="Asset_Liability_Change_In_Contract_Current">'Assets Liability'!$M$109:$AD$109</definedName>
    <definedName name="Asset_Liability_Change_In_Contract_NonCurrent">'Assets Liability'!$M$116:$AD$116</definedName>
    <definedName name="Asset_Liability_Change_In_Contracts">'Assets Liability'!$M$90:$AD$90</definedName>
    <definedName name="Asset_Liability_Change_In_Inventory">'Assets Liability'!$M$82:$AD$82</definedName>
    <definedName name="Asset_Liability_Change_In_Payables">'Assets Liability'!$M$124:$AD$124</definedName>
    <definedName name="Asset_Liability_Change_In_Prepayments">'Assets Liability'!$M$99:$AD$99</definedName>
    <definedName name="Asset_Liability_Change_In_Receivables">'Assets Liability'!$M$74:$AD$74</definedName>
    <definedName name="Asset_Liability_Change_OCL">'Assets Liability'!$M$132:$AD$132</definedName>
    <definedName name="Asset_Liability_Contract_Current">'Assets Liability'!$M$108:$AD$108</definedName>
    <definedName name="Asset_Liability_Contract_NonCurrent">'Assets Liability'!$M$115:$AD$115</definedName>
    <definedName name="Asset_Liability_Contracts">'Assets Liability'!$M$89:$AD$89</definedName>
    <definedName name="Asset_Liability_IA_Amortization_Charge">'Assets Liability'!$M$50:$AD$50</definedName>
    <definedName name="Asset_Liability_IA_Capex">'Assets Liability'!$M$40:$AD$40</definedName>
    <definedName name="Asset_Liability_IA_Closing_Bal">'Assets Liability'!$M$54:$AD$54</definedName>
    <definedName name="Asset_Liability_Inventory">'Assets Liability'!$M$81:$AD$81</definedName>
    <definedName name="Asset_Liability_OCL">'Assets Liability'!$M$131:$AD$131</definedName>
    <definedName name="Asset_Liability_Payables">'Assets Liability'!$M$123:$AD$123</definedName>
    <definedName name="Asset_Liability_PPE_Capex">'Assets Liability'!$M$18:$AD$18</definedName>
    <definedName name="Asset_Liability_PPE_Closing_Bal">'Assets Liability'!$M$33:$AD$33</definedName>
    <definedName name="Asset_Liability_PPE_Depreciation_Charge">'Assets Liability'!$M$29:$AD$29</definedName>
    <definedName name="Asset_Liability_Pre_Payments">'Assets Liability'!$M$98:$AD$98</definedName>
    <definedName name="Asset_Liability_Receivables">'Assets Liability'!$M$73:$AD$73</definedName>
    <definedName name="awert" localSheetId="12" hidden="1">{#N/A,#N/A,FALSE,"ORIX CSC"}</definedName>
    <definedName name="awert" localSheetId="8" hidden="1">{#N/A,#N/A,FALSE,"ORIX CSC"}</definedName>
    <definedName name="awert" localSheetId="4" hidden="1">{#N/A,#N/A,FALSE,"ORIX CSC"}</definedName>
    <definedName name="awert" localSheetId="2" hidden="1">{#N/A,#N/A,FALSE,"ORIX CSC"}</definedName>
    <definedName name="awert" localSheetId="19" hidden="1">{#N/A,#N/A,FALSE,"ORIX CSC"}</definedName>
    <definedName name="awert" hidden="1">{#N/A,#N/A,FALSE,"ORIX CSC"}</definedName>
    <definedName name="bb"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bb" hidden="1">{#N/A,#N/A,FALSE,"Cover";#N/A,#N/A,FALSE,"Sensit";#N/A,#N/A,FALSE,"HEW";#N/A,#N/A,FALSE,"Bilanz";#N/A,#N/A,FALSE,"Aufbringung";#N/A,#N/A,FALSE,"Absatz";#N/A,#N/A,FALSE,"Durchleitung";#N/A,#N/A,FALSE,"Konzession";#N/A,#N/A,FALSE,"Personal";#N/A,#N/A,FALSE,"WC ";#N/A,#N/A,FALSE,"Capex Deprec ";#N/A,#N/A,FALSE,"Steuern";#N/A,#N/A,FALSE," Rente";#N/A,#N/A,FALSE," EBITDA"}</definedName>
    <definedName name="BG_Del" hidden="1">15</definedName>
    <definedName name="BG_Ins" hidden="1">4</definedName>
    <definedName name="BG_Mod" hidden="1">6</definedName>
    <definedName name="BLPB12" localSheetId="15" hidden="1">#REF!</definedName>
    <definedName name="BLPB12" localSheetId="7" hidden="1">#REF!</definedName>
    <definedName name="BLPB12" localSheetId="0" hidden="1">#REF!</definedName>
    <definedName name="BLPB12" localSheetId="12" hidden="1">#REF!</definedName>
    <definedName name="BLPB12" localSheetId="8" hidden="1">#REF!</definedName>
    <definedName name="BLPB12" localSheetId="5" hidden="1">#REF!</definedName>
    <definedName name="BLPB12" localSheetId="2" hidden="1">#REF!</definedName>
    <definedName name="BLPB12" localSheetId="17" hidden="1">#REF!</definedName>
    <definedName name="BLPB12" localSheetId="19" hidden="1">#REF!</definedName>
    <definedName name="BLPB12" hidden="1">#REF!</definedName>
    <definedName name="BLPB13" localSheetId="15" hidden="1">#REF!</definedName>
    <definedName name="BLPB13" localSheetId="7" hidden="1">#REF!</definedName>
    <definedName name="BLPB13" localSheetId="0" hidden="1">#REF!</definedName>
    <definedName name="BLPB13" localSheetId="12" hidden="1">#REF!</definedName>
    <definedName name="BLPB13" localSheetId="8" hidden="1">#REF!</definedName>
    <definedName name="BLPB13" localSheetId="5" hidden="1">#REF!</definedName>
    <definedName name="BLPB13" localSheetId="2" hidden="1">#REF!</definedName>
    <definedName name="BLPB13" localSheetId="17" hidden="1">#REF!</definedName>
    <definedName name="BLPB13" localSheetId="19" hidden="1">#REF!</definedName>
    <definedName name="BLPB13" hidden="1">#REF!</definedName>
    <definedName name="BLPB14" localSheetId="15" hidden="1">#REF!</definedName>
    <definedName name="BLPB14" localSheetId="7" hidden="1">#REF!</definedName>
    <definedName name="BLPB14" localSheetId="0" hidden="1">#REF!</definedName>
    <definedName name="BLPB14" localSheetId="12" hidden="1">#REF!</definedName>
    <definedName name="BLPB14" localSheetId="8" hidden="1">#REF!</definedName>
    <definedName name="BLPB14" localSheetId="5" hidden="1">#REF!</definedName>
    <definedName name="BLPB14" localSheetId="2" hidden="1">#REF!</definedName>
    <definedName name="BLPB14" localSheetId="17" hidden="1">#REF!</definedName>
    <definedName name="BLPB14" localSheetId="19" hidden="1">#REF!</definedName>
    <definedName name="BLPB14" hidden="1">#REF!</definedName>
    <definedName name="BLPB15" localSheetId="15" hidden="1">#REF!</definedName>
    <definedName name="BLPB15" localSheetId="7" hidden="1">#REF!</definedName>
    <definedName name="BLPB15" localSheetId="0" hidden="1">#REF!</definedName>
    <definedName name="BLPB15" localSheetId="12" hidden="1">#REF!</definedName>
    <definedName name="BLPB15" localSheetId="8" hidden="1">#REF!</definedName>
    <definedName name="BLPB15" localSheetId="5" hidden="1">#REF!</definedName>
    <definedName name="BLPB15" localSheetId="2" hidden="1">#REF!</definedName>
    <definedName name="BLPB15" localSheetId="17" hidden="1">#REF!</definedName>
    <definedName name="BLPB15" localSheetId="19" hidden="1">#REF!</definedName>
    <definedName name="BLPB15" hidden="1">#REF!</definedName>
    <definedName name="BLPB16" localSheetId="15" hidden="1">#REF!</definedName>
    <definedName name="BLPB16" localSheetId="7" hidden="1">#REF!</definedName>
    <definedName name="BLPB16" localSheetId="0" hidden="1">#REF!</definedName>
    <definedName name="BLPB16" localSheetId="12" hidden="1">#REF!</definedName>
    <definedName name="BLPB16" localSheetId="8" hidden="1">#REF!</definedName>
    <definedName name="BLPB16" localSheetId="5" hidden="1">#REF!</definedName>
    <definedName name="BLPB16" localSheetId="2" hidden="1">#REF!</definedName>
    <definedName name="BLPB16" localSheetId="17" hidden="1">#REF!</definedName>
    <definedName name="BLPB16" localSheetId="19" hidden="1">#REF!</definedName>
    <definedName name="BLPB16" hidden="1">#REF!</definedName>
    <definedName name="BLPB17" localSheetId="15" hidden="1">#REF!</definedName>
    <definedName name="BLPB17" localSheetId="7" hidden="1">#REF!</definedName>
    <definedName name="BLPB17" localSheetId="0" hidden="1">#REF!</definedName>
    <definedName name="BLPB17" localSheetId="12" hidden="1">#REF!</definedName>
    <definedName name="BLPB17" localSheetId="8" hidden="1">#REF!</definedName>
    <definedName name="BLPB17" localSheetId="5" hidden="1">#REF!</definedName>
    <definedName name="BLPB17" localSheetId="2" hidden="1">#REF!</definedName>
    <definedName name="BLPB17" localSheetId="17" hidden="1">#REF!</definedName>
    <definedName name="BLPB17" localSheetId="19" hidden="1">#REF!</definedName>
    <definedName name="BLPB17" hidden="1">#REF!</definedName>
    <definedName name="BLPB18" localSheetId="15" hidden="1">#REF!</definedName>
    <definedName name="BLPB18" localSheetId="7" hidden="1">#REF!</definedName>
    <definedName name="BLPB18" localSheetId="0" hidden="1">#REF!</definedName>
    <definedName name="BLPB18" localSheetId="12" hidden="1">#REF!</definedName>
    <definedName name="BLPB18" localSheetId="8" hidden="1">#REF!</definedName>
    <definedName name="BLPB18" localSheetId="5" hidden="1">#REF!</definedName>
    <definedName name="BLPB18" localSheetId="2" hidden="1">#REF!</definedName>
    <definedName name="BLPB18" localSheetId="17" hidden="1">#REF!</definedName>
    <definedName name="BLPB18" localSheetId="19" hidden="1">#REF!</definedName>
    <definedName name="BLPB18" hidden="1">#REF!</definedName>
    <definedName name="BLPB19" localSheetId="15" hidden="1">#REF!</definedName>
    <definedName name="BLPB19" localSheetId="7" hidden="1">#REF!</definedName>
    <definedName name="BLPB19" localSheetId="0" hidden="1">#REF!</definedName>
    <definedName name="BLPB19" localSheetId="12" hidden="1">#REF!</definedName>
    <definedName name="BLPB19" localSheetId="8" hidden="1">#REF!</definedName>
    <definedName name="BLPB19" localSheetId="5" hidden="1">#REF!</definedName>
    <definedName name="BLPB19" localSheetId="2" hidden="1">#REF!</definedName>
    <definedName name="BLPB19" localSheetId="17" hidden="1">#REF!</definedName>
    <definedName name="BLPB19" localSheetId="19" hidden="1">#REF!</definedName>
    <definedName name="BLPB19" hidden="1">#REF!</definedName>
    <definedName name="BLPB2" localSheetId="15" hidden="1">#REF!</definedName>
    <definedName name="BLPB2" localSheetId="7" hidden="1">#REF!</definedName>
    <definedName name="BLPB2" localSheetId="0" hidden="1">#REF!</definedName>
    <definedName name="BLPB2" localSheetId="12" hidden="1">#REF!</definedName>
    <definedName name="BLPB2" localSheetId="8" hidden="1">#REF!</definedName>
    <definedName name="BLPB2" localSheetId="5" hidden="1">#REF!</definedName>
    <definedName name="BLPB2" localSheetId="2" hidden="1">#REF!</definedName>
    <definedName name="BLPB2" localSheetId="17" hidden="1">#REF!</definedName>
    <definedName name="BLPB2" localSheetId="19" hidden="1">#REF!</definedName>
    <definedName name="BLPB2" hidden="1">#REF!</definedName>
    <definedName name="BLPB20" localSheetId="15" hidden="1">#REF!</definedName>
    <definedName name="BLPB20" localSheetId="7" hidden="1">#REF!</definedName>
    <definedName name="BLPB20" localSheetId="0" hidden="1">#REF!</definedName>
    <definedName name="BLPB20" localSheetId="12" hidden="1">#REF!</definedName>
    <definedName name="BLPB20" localSheetId="8" hidden="1">#REF!</definedName>
    <definedName name="BLPB20" localSheetId="5" hidden="1">#REF!</definedName>
    <definedName name="BLPB20" localSheetId="2" hidden="1">#REF!</definedName>
    <definedName name="BLPB20" localSheetId="17" hidden="1">#REF!</definedName>
    <definedName name="BLPB20" localSheetId="19" hidden="1">#REF!</definedName>
    <definedName name="BLPB20" hidden="1">#REF!</definedName>
    <definedName name="BLPB21" localSheetId="15" hidden="1">#REF!</definedName>
    <definedName name="BLPB21" localSheetId="7" hidden="1">#REF!</definedName>
    <definedName name="BLPB21" localSheetId="0" hidden="1">#REF!</definedName>
    <definedName name="BLPB21" localSheetId="12" hidden="1">#REF!</definedName>
    <definedName name="BLPB21" localSheetId="8" hidden="1">#REF!</definedName>
    <definedName name="BLPB21" localSheetId="5" hidden="1">#REF!</definedName>
    <definedName name="BLPB21" localSheetId="2" hidden="1">#REF!</definedName>
    <definedName name="BLPB21" localSheetId="17" hidden="1">#REF!</definedName>
    <definedName name="BLPB21" localSheetId="19" hidden="1">#REF!</definedName>
    <definedName name="BLPB21" hidden="1">#REF!</definedName>
    <definedName name="BLPB22" localSheetId="15" hidden="1">#REF!</definedName>
    <definedName name="BLPB22" localSheetId="7" hidden="1">#REF!</definedName>
    <definedName name="BLPB22" localSheetId="0" hidden="1">#REF!</definedName>
    <definedName name="BLPB22" localSheetId="12" hidden="1">#REF!</definedName>
    <definedName name="BLPB22" localSheetId="8" hidden="1">#REF!</definedName>
    <definedName name="BLPB22" localSheetId="5" hidden="1">#REF!</definedName>
    <definedName name="BLPB22" localSheetId="2" hidden="1">#REF!</definedName>
    <definedName name="BLPB22" localSheetId="17" hidden="1">#REF!</definedName>
    <definedName name="BLPB22" localSheetId="19" hidden="1">#REF!</definedName>
    <definedName name="BLPB22" hidden="1">#REF!</definedName>
    <definedName name="BLPB23" localSheetId="15" hidden="1">#REF!</definedName>
    <definedName name="BLPB23" localSheetId="7" hidden="1">#REF!</definedName>
    <definedName name="BLPB23" localSheetId="0" hidden="1">#REF!</definedName>
    <definedName name="BLPB23" localSheetId="12" hidden="1">#REF!</definedName>
    <definedName name="BLPB23" localSheetId="8" hidden="1">#REF!</definedName>
    <definedName name="BLPB23" localSheetId="5" hidden="1">#REF!</definedName>
    <definedName name="BLPB23" localSheetId="2" hidden="1">#REF!</definedName>
    <definedName name="BLPB23" localSheetId="17" hidden="1">#REF!</definedName>
    <definedName name="BLPB23" localSheetId="19" hidden="1">#REF!</definedName>
    <definedName name="BLPB23" hidden="1">#REF!</definedName>
    <definedName name="BLPB24" localSheetId="15" hidden="1">#REF!</definedName>
    <definedName name="BLPB24" localSheetId="7" hidden="1">#REF!</definedName>
    <definedName name="BLPB24" localSheetId="0" hidden="1">#REF!</definedName>
    <definedName name="BLPB24" localSheetId="12" hidden="1">#REF!</definedName>
    <definedName name="BLPB24" localSheetId="8" hidden="1">#REF!</definedName>
    <definedName name="BLPB24" localSheetId="5" hidden="1">#REF!</definedName>
    <definedName name="BLPB24" localSheetId="2" hidden="1">#REF!</definedName>
    <definedName name="BLPB24" localSheetId="17" hidden="1">#REF!</definedName>
    <definedName name="BLPB24" localSheetId="19" hidden="1">#REF!</definedName>
    <definedName name="BLPB24" hidden="1">#REF!</definedName>
    <definedName name="BLPB25" localSheetId="15" hidden="1">#REF!</definedName>
    <definedName name="BLPB25" localSheetId="7" hidden="1">#REF!</definedName>
    <definedName name="BLPB25" localSheetId="0" hidden="1">#REF!</definedName>
    <definedName name="BLPB25" localSheetId="12" hidden="1">#REF!</definedName>
    <definedName name="BLPB25" localSheetId="8" hidden="1">#REF!</definedName>
    <definedName name="BLPB25" localSheetId="5" hidden="1">#REF!</definedName>
    <definedName name="BLPB25" localSheetId="2" hidden="1">#REF!</definedName>
    <definedName name="BLPB25" localSheetId="17" hidden="1">#REF!</definedName>
    <definedName name="BLPB25" localSheetId="19" hidden="1">#REF!</definedName>
    <definedName name="BLPB25" hidden="1">#REF!</definedName>
    <definedName name="BLPB26" localSheetId="15" hidden="1">#REF!</definedName>
    <definedName name="BLPB26" localSheetId="7" hidden="1">#REF!</definedName>
    <definedName name="BLPB26" localSheetId="0" hidden="1">#REF!</definedName>
    <definedName name="BLPB26" localSheetId="12" hidden="1">#REF!</definedName>
    <definedName name="BLPB26" localSheetId="8" hidden="1">#REF!</definedName>
    <definedName name="BLPB26" localSheetId="5" hidden="1">#REF!</definedName>
    <definedName name="BLPB26" localSheetId="2" hidden="1">#REF!</definedName>
    <definedName name="BLPB26" localSheetId="17" hidden="1">#REF!</definedName>
    <definedName name="BLPB26" localSheetId="19" hidden="1">#REF!</definedName>
    <definedName name="BLPB26" hidden="1">#REF!</definedName>
    <definedName name="BLPB27" localSheetId="15" hidden="1">#REF!</definedName>
    <definedName name="BLPB27" localSheetId="7" hidden="1">#REF!</definedName>
    <definedName name="BLPB27" localSheetId="0" hidden="1">#REF!</definedName>
    <definedName name="BLPB27" localSheetId="12" hidden="1">#REF!</definedName>
    <definedName name="BLPB27" localSheetId="8" hidden="1">#REF!</definedName>
    <definedName name="BLPB27" localSheetId="5" hidden="1">#REF!</definedName>
    <definedName name="BLPB27" localSheetId="2" hidden="1">#REF!</definedName>
    <definedName name="BLPB27" localSheetId="17" hidden="1">#REF!</definedName>
    <definedName name="BLPB27" localSheetId="19" hidden="1">#REF!</definedName>
    <definedName name="BLPB27" hidden="1">#REF!</definedName>
    <definedName name="BLPB28" localSheetId="15" hidden="1">#REF!</definedName>
    <definedName name="BLPB28" localSheetId="7" hidden="1">#REF!</definedName>
    <definedName name="BLPB28" localSheetId="0" hidden="1">#REF!</definedName>
    <definedName name="BLPB28" localSheetId="12" hidden="1">#REF!</definedName>
    <definedName name="BLPB28" localSheetId="8" hidden="1">#REF!</definedName>
    <definedName name="BLPB28" localSheetId="5" hidden="1">#REF!</definedName>
    <definedName name="BLPB28" localSheetId="2" hidden="1">#REF!</definedName>
    <definedName name="BLPB28" localSheetId="17" hidden="1">#REF!</definedName>
    <definedName name="BLPB28" localSheetId="19" hidden="1">#REF!</definedName>
    <definedName name="BLPB28" hidden="1">#REF!</definedName>
    <definedName name="BLPB29" localSheetId="15" hidden="1">#REF!</definedName>
    <definedName name="BLPB29" localSheetId="7" hidden="1">#REF!</definedName>
    <definedName name="BLPB29" localSheetId="0" hidden="1">#REF!</definedName>
    <definedName name="BLPB29" localSheetId="12" hidden="1">#REF!</definedName>
    <definedName name="BLPB29" localSheetId="8" hidden="1">#REF!</definedName>
    <definedName name="BLPB29" localSheetId="5" hidden="1">#REF!</definedName>
    <definedName name="BLPB29" localSheetId="2" hidden="1">#REF!</definedName>
    <definedName name="BLPB29" localSheetId="17" hidden="1">#REF!</definedName>
    <definedName name="BLPB29" localSheetId="19" hidden="1">#REF!</definedName>
    <definedName name="BLPB29" hidden="1">#REF!</definedName>
    <definedName name="BLPB3" localSheetId="15" hidden="1">#REF!</definedName>
    <definedName name="BLPB3" localSheetId="7" hidden="1">#REF!</definedName>
    <definedName name="BLPB3" localSheetId="0" hidden="1">#REF!</definedName>
    <definedName name="BLPB3" localSheetId="12" hidden="1">#REF!</definedName>
    <definedName name="BLPB3" localSheetId="8" hidden="1">#REF!</definedName>
    <definedName name="BLPB3" localSheetId="5" hidden="1">#REF!</definedName>
    <definedName name="BLPB3" localSheetId="2" hidden="1">#REF!</definedName>
    <definedName name="BLPB3" localSheetId="17" hidden="1">#REF!</definedName>
    <definedName name="BLPB3" localSheetId="19" hidden="1">#REF!</definedName>
    <definedName name="BLPB3" hidden="1">#REF!</definedName>
    <definedName name="BLPB30" localSheetId="15" hidden="1">#REF!</definedName>
    <definedName name="BLPB30" localSheetId="7" hidden="1">#REF!</definedName>
    <definedName name="BLPB30" localSheetId="0" hidden="1">#REF!</definedName>
    <definedName name="BLPB30" localSheetId="12" hidden="1">#REF!</definedName>
    <definedName name="BLPB30" localSheetId="8" hidden="1">#REF!</definedName>
    <definedName name="BLPB30" localSheetId="5" hidden="1">#REF!</definedName>
    <definedName name="BLPB30" localSheetId="2" hidden="1">#REF!</definedName>
    <definedName name="BLPB30" localSheetId="17" hidden="1">#REF!</definedName>
    <definedName name="BLPB30" localSheetId="19" hidden="1">#REF!</definedName>
    <definedName name="BLPB30" hidden="1">#REF!</definedName>
    <definedName name="BLPB31" localSheetId="15" hidden="1">#REF!</definedName>
    <definedName name="BLPB31" localSheetId="7" hidden="1">#REF!</definedName>
    <definedName name="BLPB31" localSheetId="0" hidden="1">#REF!</definedName>
    <definedName name="BLPB31" localSheetId="12" hidden="1">#REF!</definedName>
    <definedName name="BLPB31" localSheetId="8" hidden="1">#REF!</definedName>
    <definedName name="BLPB31" localSheetId="5" hidden="1">#REF!</definedName>
    <definedName name="BLPB31" localSheetId="2" hidden="1">#REF!</definedName>
    <definedName name="BLPB31" localSheetId="17" hidden="1">#REF!</definedName>
    <definedName name="BLPB31" localSheetId="19" hidden="1">#REF!</definedName>
    <definedName name="BLPB31" hidden="1">#REF!</definedName>
    <definedName name="BLPB32" localSheetId="15" hidden="1">#REF!</definedName>
    <definedName name="BLPB32" localSheetId="7" hidden="1">#REF!</definedName>
    <definedName name="BLPB32" localSheetId="0" hidden="1">#REF!</definedName>
    <definedName name="BLPB32" localSheetId="12" hidden="1">#REF!</definedName>
    <definedName name="BLPB32" localSheetId="8" hidden="1">#REF!</definedName>
    <definedName name="BLPB32" localSheetId="5" hidden="1">#REF!</definedName>
    <definedName name="BLPB32" localSheetId="2" hidden="1">#REF!</definedName>
    <definedName name="BLPB32" localSheetId="17" hidden="1">#REF!</definedName>
    <definedName name="BLPB32" localSheetId="19" hidden="1">#REF!</definedName>
    <definedName name="BLPB32" hidden="1">#REF!</definedName>
    <definedName name="BLPB33" localSheetId="15" hidden="1">#REF!</definedName>
    <definedName name="BLPB33" localSheetId="7" hidden="1">#REF!</definedName>
    <definedName name="BLPB33" localSheetId="0" hidden="1">#REF!</definedName>
    <definedName name="BLPB33" localSheetId="12" hidden="1">#REF!</definedName>
    <definedName name="BLPB33" localSheetId="8" hidden="1">#REF!</definedName>
    <definedName name="BLPB33" localSheetId="5" hidden="1">#REF!</definedName>
    <definedName name="BLPB33" localSheetId="2" hidden="1">#REF!</definedName>
    <definedName name="BLPB33" localSheetId="17" hidden="1">#REF!</definedName>
    <definedName name="BLPB33" localSheetId="19" hidden="1">#REF!</definedName>
    <definedName name="BLPB33" hidden="1">#REF!</definedName>
    <definedName name="BLPB34" localSheetId="15" hidden="1">#REF!</definedName>
    <definedName name="BLPB34" localSheetId="7" hidden="1">#REF!</definedName>
    <definedName name="BLPB34" localSheetId="0" hidden="1">#REF!</definedName>
    <definedName name="BLPB34" localSheetId="12" hidden="1">#REF!</definedName>
    <definedName name="BLPB34" localSheetId="8" hidden="1">#REF!</definedName>
    <definedName name="BLPB34" localSheetId="5" hidden="1">#REF!</definedName>
    <definedName name="BLPB34" localSheetId="2" hidden="1">#REF!</definedName>
    <definedName name="BLPB34" localSheetId="17" hidden="1">#REF!</definedName>
    <definedName name="BLPB34" localSheetId="19" hidden="1">#REF!</definedName>
    <definedName name="BLPB34" hidden="1">#REF!</definedName>
    <definedName name="BLPB35" localSheetId="15" hidden="1">#REF!</definedName>
    <definedName name="BLPB35" localSheetId="7" hidden="1">#REF!</definedName>
    <definedName name="BLPB35" localSheetId="0" hidden="1">#REF!</definedName>
    <definedName name="BLPB35" localSheetId="12" hidden="1">#REF!</definedName>
    <definedName name="BLPB35" localSheetId="8" hidden="1">#REF!</definedName>
    <definedName name="BLPB35" localSheetId="5" hidden="1">#REF!</definedName>
    <definedName name="BLPB35" localSheetId="2" hidden="1">#REF!</definedName>
    <definedName name="BLPB35" localSheetId="17" hidden="1">#REF!</definedName>
    <definedName name="BLPB35" localSheetId="19" hidden="1">#REF!</definedName>
    <definedName name="BLPB35" hidden="1">#REF!</definedName>
    <definedName name="BLPB36" localSheetId="15" hidden="1">#REF!</definedName>
    <definedName name="BLPB36" localSheetId="7" hidden="1">#REF!</definedName>
    <definedName name="BLPB36" localSheetId="0" hidden="1">#REF!</definedName>
    <definedName name="BLPB36" localSheetId="12" hidden="1">#REF!</definedName>
    <definedName name="BLPB36" localSheetId="8" hidden="1">#REF!</definedName>
    <definedName name="BLPB36" localSheetId="5" hidden="1">#REF!</definedName>
    <definedName name="BLPB36" localSheetId="2" hidden="1">#REF!</definedName>
    <definedName name="BLPB36" localSheetId="17" hidden="1">#REF!</definedName>
    <definedName name="BLPB36" localSheetId="19" hidden="1">#REF!</definedName>
    <definedName name="BLPB36" hidden="1">#REF!</definedName>
    <definedName name="BLPB37" localSheetId="15" hidden="1">#REF!</definedName>
    <definedName name="BLPB37" localSheetId="7" hidden="1">#REF!</definedName>
    <definedName name="BLPB37" localSheetId="0" hidden="1">#REF!</definedName>
    <definedName name="BLPB37" localSheetId="12" hidden="1">#REF!</definedName>
    <definedName name="BLPB37" localSheetId="8" hidden="1">#REF!</definedName>
    <definedName name="BLPB37" localSheetId="5" hidden="1">#REF!</definedName>
    <definedName name="BLPB37" localSheetId="2" hidden="1">#REF!</definedName>
    <definedName name="BLPB37" localSheetId="17" hidden="1">#REF!</definedName>
    <definedName name="BLPB37" localSheetId="19" hidden="1">#REF!</definedName>
    <definedName name="BLPB37" hidden="1">#REF!</definedName>
    <definedName name="BLPB38" localSheetId="15" hidden="1">#REF!</definedName>
    <definedName name="BLPB38" localSheetId="7" hidden="1">#REF!</definedName>
    <definedName name="BLPB38" localSheetId="0" hidden="1">#REF!</definedName>
    <definedName name="BLPB38" localSheetId="12" hidden="1">#REF!</definedName>
    <definedName name="BLPB38" localSheetId="8" hidden="1">#REF!</definedName>
    <definedName name="BLPB38" localSheetId="5" hidden="1">#REF!</definedName>
    <definedName name="BLPB38" localSheetId="2" hidden="1">#REF!</definedName>
    <definedName name="BLPB38" localSheetId="17" hidden="1">#REF!</definedName>
    <definedName name="BLPB38" localSheetId="19" hidden="1">#REF!</definedName>
    <definedName name="BLPB38" hidden="1">#REF!</definedName>
    <definedName name="BLPB39" localSheetId="15" hidden="1">#REF!</definedName>
    <definedName name="BLPB39" localSheetId="7" hidden="1">#REF!</definedName>
    <definedName name="BLPB39" localSheetId="0" hidden="1">#REF!</definedName>
    <definedName name="BLPB39" localSheetId="12" hidden="1">#REF!</definedName>
    <definedName name="BLPB39" localSheetId="8" hidden="1">#REF!</definedName>
    <definedName name="BLPB39" localSheetId="5" hidden="1">#REF!</definedName>
    <definedName name="BLPB39" localSheetId="2" hidden="1">#REF!</definedName>
    <definedName name="BLPB39" localSheetId="17" hidden="1">#REF!</definedName>
    <definedName name="BLPB39" localSheetId="19" hidden="1">#REF!</definedName>
    <definedName name="BLPB39" hidden="1">#REF!</definedName>
    <definedName name="BLPB4" localSheetId="15" hidden="1">#REF!</definedName>
    <definedName name="BLPB4" localSheetId="7" hidden="1">#REF!</definedName>
    <definedName name="BLPB4" localSheetId="0" hidden="1">#REF!</definedName>
    <definedName name="BLPB4" localSheetId="12" hidden="1">#REF!</definedName>
    <definedName name="BLPB4" localSheetId="8" hidden="1">#REF!</definedName>
    <definedName name="BLPB4" localSheetId="5" hidden="1">#REF!</definedName>
    <definedName name="BLPB4" localSheetId="2" hidden="1">#REF!</definedName>
    <definedName name="BLPB4" localSheetId="17" hidden="1">#REF!</definedName>
    <definedName name="BLPB4" localSheetId="19" hidden="1">#REF!</definedName>
    <definedName name="BLPB4" hidden="1">#REF!</definedName>
    <definedName name="BLPB40" localSheetId="15" hidden="1">#REF!</definedName>
    <definedName name="BLPB40" localSheetId="7" hidden="1">#REF!</definedName>
    <definedName name="BLPB40" localSheetId="0" hidden="1">#REF!</definedName>
    <definedName name="BLPB40" localSheetId="12" hidden="1">#REF!</definedName>
    <definedName name="BLPB40" localSheetId="8" hidden="1">#REF!</definedName>
    <definedName name="BLPB40" localSheetId="5" hidden="1">#REF!</definedName>
    <definedName name="BLPB40" localSheetId="2" hidden="1">#REF!</definedName>
    <definedName name="BLPB40" localSheetId="17" hidden="1">#REF!</definedName>
    <definedName name="BLPB40" localSheetId="19" hidden="1">#REF!</definedName>
    <definedName name="BLPB40" hidden="1">#REF!</definedName>
    <definedName name="BLPB41" localSheetId="15" hidden="1">#REF!</definedName>
    <definedName name="BLPB41" localSheetId="7" hidden="1">#REF!</definedName>
    <definedName name="BLPB41" localSheetId="0" hidden="1">#REF!</definedName>
    <definedName name="BLPB41" localSheetId="12" hidden="1">#REF!</definedName>
    <definedName name="BLPB41" localSheetId="8" hidden="1">#REF!</definedName>
    <definedName name="BLPB41" localSheetId="5" hidden="1">#REF!</definedName>
    <definedName name="BLPB41" localSheetId="2" hidden="1">#REF!</definedName>
    <definedName name="BLPB41" localSheetId="17" hidden="1">#REF!</definedName>
    <definedName name="BLPB41" localSheetId="19" hidden="1">#REF!</definedName>
    <definedName name="BLPB41" hidden="1">#REF!</definedName>
    <definedName name="BLPB42" localSheetId="15" hidden="1">#REF!</definedName>
    <definedName name="BLPB42" localSheetId="7" hidden="1">#REF!</definedName>
    <definedName name="BLPB42" localSheetId="0" hidden="1">#REF!</definedName>
    <definedName name="BLPB42" localSheetId="12" hidden="1">#REF!</definedName>
    <definedName name="BLPB42" localSheetId="8" hidden="1">#REF!</definedName>
    <definedName name="BLPB42" localSheetId="5" hidden="1">#REF!</definedName>
    <definedName name="BLPB42" localSheetId="2" hidden="1">#REF!</definedName>
    <definedName name="BLPB42" localSheetId="17" hidden="1">#REF!</definedName>
    <definedName name="BLPB42" localSheetId="19" hidden="1">#REF!</definedName>
    <definedName name="BLPB42" hidden="1">#REF!</definedName>
    <definedName name="BLPB43" localSheetId="15" hidden="1">#REF!</definedName>
    <definedName name="BLPB43" localSheetId="7" hidden="1">#REF!</definedName>
    <definedName name="BLPB43" localSheetId="0" hidden="1">#REF!</definedName>
    <definedName name="BLPB43" localSheetId="12" hidden="1">#REF!</definedName>
    <definedName name="BLPB43" localSheetId="8" hidden="1">#REF!</definedName>
    <definedName name="BLPB43" localSheetId="5" hidden="1">#REF!</definedName>
    <definedName name="BLPB43" localSheetId="2" hidden="1">#REF!</definedName>
    <definedName name="BLPB43" localSheetId="17" hidden="1">#REF!</definedName>
    <definedName name="BLPB43" localSheetId="19" hidden="1">#REF!</definedName>
    <definedName name="BLPB43" hidden="1">#REF!</definedName>
    <definedName name="BLPB44" localSheetId="15" hidden="1">#REF!</definedName>
    <definedName name="BLPB44" localSheetId="7" hidden="1">#REF!</definedName>
    <definedName name="BLPB44" localSheetId="0" hidden="1">#REF!</definedName>
    <definedName name="BLPB44" localSheetId="12" hidden="1">#REF!</definedName>
    <definedName name="BLPB44" localSheetId="8" hidden="1">#REF!</definedName>
    <definedName name="BLPB44" localSheetId="5" hidden="1">#REF!</definedName>
    <definedName name="BLPB44" localSheetId="2" hidden="1">#REF!</definedName>
    <definedName name="BLPB44" localSheetId="17" hidden="1">#REF!</definedName>
    <definedName name="BLPB44" localSheetId="19" hidden="1">#REF!</definedName>
    <definedName name="BLPB44" hidden="1">#REF!</definedName>
    <definedName name="BLPB45" localSheetId="15" hidden="1">#REF!</definedName>
    <definedName name="BLPB45" localSheetId="7" hidden="1">#REF!</definedName>
    <definedName name="BLPB45" localSheetId="0" hidden="1">#REF!</definedName>
    <definedName name="BLPB45" localSheetId="12" hidden="1">#REF!</definedName>
    <definedName name="BLPB45" localSheetId="8" hidden="1">#REF!</definedName>
    <definedName name="BLPB45" localSheetId="5" hidden="1">#REF!</definedName>
    <definedName name="BLPB45" localSheetId="2" hidden="1">#REF!</definedName>
    <definedName name="BLPB45" localSheetId="17" hidden="1">#REF!</definedName>
    <definedName name="BLPB45" localSheetId="19" hidden="1">#REF!</definedName>
    <definedName name="BLPB45" hidden="1">#REF!</definedName>
    <definedName name="BLPB46" localSheetId="15" hidden="1">#REF!</definedName>
    <definedName name="BLPB46" localSheetId="7" hidden="1">#REF!</definedName>
    <definedName name="BLPB46" localSheetId="0" hidden="1">#REF!</definedName>
    <definedName name="BLPB46" localSheetId="12" hidden="1">#REF!</definedName>
    <definedName name="BLPB46" localSheetId="8" hidden="1">#REF!</definedName>
    <definedName name="BLPB46" localSheetId="5" hidden="1">#REF!</definedName>
    <definedName name="BLPB46" localSheetId="2" hidden="1">#REF!</definedName>
    <definedName name="BLPB46" localSheetId="17" hidden="1">#REF!</definedName>
    <definedName name="BLPB46" localSheetId="19" hidden="1">#REF!</definedName>
    <definedName name="BLPB46" hidden="1">#REF!</definedName>
    <definedName name="BLPB47" localSheetId="15" hidden="1">#REF!</definedName>
    <definedName name="BLPB47" localSheetId="7" hidden="1">#REF!</definedName>
    <definedName name="BLPB47" localSheetId="0" hidden="1">#REF!</definedName>
    <definedName name="BLPB47" localSheetId="12" hidden="1">#REF!</definedName>
    <definedName name="BLPB47" localSheetId="8" hidden="1">#REF!</definedName>
    <definedName name="BLPB47" localSheetId="5" hidden="1">#REF!</definedName>
    <definedName name="BLPB47" localSheetId="2" hidden="1">#REF!</definedName>
    <definedName name="BLPB47" localSheetId="17" hidden="1">#REF!</definedName>
    <definedName name="BLPB47" localSheetId="19" hidden="1">#REF!</definedName>
    <definedName name="BLPB47" hidden="1">#REF!</definedName>
    <definedName name="BLPB48" localSheetId="15" hidden="1">#REF!</definedName>
    <definedName name="BLPB48" localSheetId="7" hidden="1">#REF!</definedName>
    <definedName name="BLPB48" localSheetId="0" hidden="1">#REF!</definedName>
    <definedName name="BLPB48" localSheetId="12" hidden="1">#REF!</definedName>
    <definedName name="BLPB48" localSheetId="8" hidden="1">#REF!</definedName>
    <definedName name="BLPB48" localSheetId="5" hidden="1">#REF!</definedName>
    <definedName name="BLPB48" localSheetId="2" hidden="1">#REF!</definedName>
    <definedName name="BLPB48" localSheetId="17" hidden="1">#REF!</definedName>
    <definedName name="BLPB48" localSheetId="19" hidden="1">#REF!</definedName>
    <definedName name="BLPB48" hidden="1">#REF!</definedName>
    <definedName name="BLPB49" localSheetId="15" hidden="1">#REF!</definedName>
    <definedName name="BLPB49" localSheetId="7" hidden="1">#REF!</definedName>
    <definedName name="BLPB49" localSheetId="0" hidden="1">#REF!</definedName>
    <definedName name="BLPB49" localSheetId="12" hidden="1">#REF!</definedName>
    <definedName name="BLPB49" localSheetId="8" hidden="1">#REF!</definedName>
    <definedName name="BLPB49" localSheetId="5" hidden="1">#REF!</definedName>
    <definedName name="BLPB49" localSheetId="2" hidden="1">#REF!</definedName>
    <definedName name="BLPB49" localSheetId="17" hidden="1">#REF!</definedName>
    <definedName name="BLPB49" localSheetId="19" hidden="1">#REF!</definedName>
    <definedName name="BLPB49" hidden="1">#REF!</definedName>
    <definedName name="BLPB5" localSheetId="15" hidden="1">#REF!</definedName>
    <definedName name="BLPB5" localSheetId="7" hidden="1">#REF!</definedName>
    <definedName name="BLPB5" localSheetId="0" hidden="1">#REF!</definedName>
    <definedName name="BLPB5" localSheetId="12" hidden="1">#REF!</definedName>
    <definedName name="BLPB5" localSheetId="8" hidden="1">#REF!</definedName>
    <definedName name="BLPB5" localSheetId="5" hidden="1">#REF!</definedName>
    <definedName name="BLPB5" localSheetId="2" hidden="1">#REF!</definedName>
    <definedName name="BLPB5" localSheetId="17" hidden="1">#REF!</definedName>
    <definedName name="BLPB5" localSheetId="19" hidden="1">#REF!</definedName>
    <definedName name="BLPB5" hidden="1">#REF!</definedName>
    <definedName name="BLPB6" localSheetId="15" hidden="1">#REF!</definedName>
    <definedName name="BLPB6" localSheetId="7" hidden="1">#REF!</definedName>
    <definedName name="BLPB6" localSheetId="0" hidden="1">#REF!</definedName>
    <definedName name="BLPB6" localSheetId="12" hidden="1">#REF!</definedName>
    <definedName name="BLPB6" localSheetId="8" hidden="1">#REF!</definedName>
    <definedName name="BLPB6" localSheetId="5" hidden="1">#REF!</definedName>
    <definedName name="BLPB6" localSheetId="2" hidden="1">#REF!</definedName>
    <definedName name="BLPB6" localSheetId="17" hidden="1">#REF!</definedName>
    <definedName name="BLPB6" localSheetId="19" hidden="1">#REF!</definedName>
    <definedName name="BLPB6" hidden="1">#REF!</definedName>
    <definedName name="BLPB7" localSheetId="15" hidden="1">#REF!</definedName>
    <definedName name="BLPB7" localSheetId="7" hidden="1">#REF!</definedName>
    <definedName name="BLPB7" localSheetId="0" hidden="1">#REF!</definedName>
    <definedName name="BLPB7" localSheetId="12" hidden="1">#REF!</definedName>
    <definedName name="BLPB7" localSheetId="8" hidden="1">#REF!</definedName>
    <definedName name="BLPB7" localSheetId="5" hidden="1">#REF!</definedName>
    <definedName name="BLPB7" localSheetId="2" hidden="1">#REF!</definedName>
    <definedName name="BLPB7" localSheetId="17" hidden="1">#REF!</definedName>
    <definedName name="BLPB7" localSheetId="19" hidden="1">#REF!</definedName>
    <definedName name="BLPB7" hidden="1">#REF!</definedName>
    <definedName name="BLPB8" localSheetId="15" hidden="1">#REF!</definedName>
    <definedName name="BLPB8" localSheetId="7" hidden="1">#REF!</definedName>
    <definedName name="BLPB8" localSheetId="0" hidden="1">#REF!</definedName>
    <definedName name="BLPB8" localSheetId="12" hidden="1">#REF!</definedName>
    <definedName name="BLPB8" localSheetId="8" hidden="1">#REF!</definedName>
    <definedName name="BLPB8" localSheetId="5" hidden="1">#REF!</definedName>
    <definedName name="BLPB8" localSheetId="2" hidden="1">#REF!</definedName>
    <definedName name="BLPB8" localSheetId="17" hidden="1">#REF!</definedName>
    <definedName name="BLPB8" localSheetId="19" hidden="1">#REF!</definedName>
    <definedName name="BLPB8" hidden="1">#REF!</definedName>
    <definedName name="BLPB9" localSheetId="15" hidden="1">#REF!</definedName>
    <definedName name="BLPB9" localSheetId="7" hidden="1">#REF!</definedName>
    <definedName name="BLPB9" localSheetId="0" hidden="1">#REF!</definedName>
    <definedName name="BLPB9" localSheetId="12" hidden="1">#REF!</definedName>
    <definedName name="BLPB9" localSheetId="8" hidden="1">#REF!</definedName>
    <definedName name="BLPB9" localSheetId="5" hidden="1">#REF!</definedName>
    <definedName name="BLPB9" localSheetId="2" hidden="1">#REF!</definedName>
    <definedName name="BLPB9" localSheetId="17" hidden="1">#REF!</definedName>
    <definedName name="BLPB9" localSheetId="19" hidden="1">#REF!</definedName>
    <definedName name="BLPB9" hidden="1">#REF!</definedName>
    <definedName name="BLPH1" hidden="1">[8]Peer1!$AQ$3</definedName>
    <definedName name="BLPH10" hidden="1">[8]Peer10!$AQ$3</definedName>
    <definedName name="BLPH100" localSheetId="15" hidden="1">#REF!</definedName>
    <definedName name="BLPH100" localSheetId="7" hidden="1">#REF!</definedName>
    <definedName name="BLPH100" localSheetId="0" hidden="1">#REF!</definedName>
    <definedName name="BLPH100" localSheetId="12" hidden="1">#REF!</definedName>
    <definedName name="BLPH100" localSheetId="8" hidden="1">#REF!</definedName>
    <definedName name="BLPH100" localSheetId="5" hidden="1">#REF!</definedName>
    <definedName name="BLPH100" localSheetId="2" hidden="1">#REF!</definedName>
    <definedName name="BLPH100" localSheetId="17" hidden="1">#REF!</definedName>
    <definedName name="BLPH100" localSheetId="19" hidden="1">#REF!</definedName>
    <definedName name="BLPH100" hidden="1">#REF!</definedName>
    <definedName name="BLPH11" hidden="1">[8]Peer11!$AQ$3</definedName>
    <definedName name="BLPH12" hidden="1">[8]Peer12!$AQ$3</definedName>
    <definedName name="BLPH13" hidden="1">[8]Peer13!$AQ$3</definedName>
    <definedName name="BLPH14" hidden="1">[8]Peer14!$AQ$3</definedName>
    <definedName name="BLPH15" hidden="1">[8]Peer15!$AQ$3</definedName>
    <definedName name="BLPH16" hidden="1">[8]Peer16!$AQ$3</definedName>
    <definedName name="BLPH17" hidden="1">[8]Peer17!$AQ$3</definedName>
    <definedName name="BLPH18" hidden="1">[8]Peer18!$AQ$3</definedName>
    <definedName name="BLPH19" hidden="1">[8]Peer19!$AQ$3</definedName>
    <definedName name="BLPH2" hidden="1">[8]Peer2!$AQ$3</definedName>
    <definedName name="BLPH20" hidden="1">[8]Peer20!$AQ$3</definedName>
    <definedName name="BLPH21" localSheetId="15" hidden="1">#REF!</definedName>
    <definedName name="BLPH21" localSheetId="7" hidden="1">#REF!</definedName>
    <definedName name="BLPH21" localSheetId="0" hidden="1">#REF!</definedName>
    <definedName name="BLPH21" localSheetId="12" hidden="1">#REF!</definedName>
    <definedName name="BLPH21" localSheetId="8" hidden="1">#REF!</definedName>
    <definedName name="BLPH21" localSheetId="5" hidden="1">#REF!</definedName>
    <definedName name="BLPH21" localSheetId="2" hidden="1">#REF!</definedName>
    <definedName name="BLPH21" localSheetId="17" hidden="1">#REF!</definedName>
    <definedName name="BLPH21" localSheetId="19" hidden="1">#REF!</definedName>
    <definedName name="BLPH21" hidden="1">#REF!</definedName>
    <definedName name="BLPH22" localSheetId="15" hidden="1">#REF!</definedName>
    <definedName name="BLPH22" localSheetId="7" hidden="1">#REF!</definedName>
    <definedName name="BLPH22" localSheetId="0" hidden="1">#REF!</definedName>
    <definedName name="BLPH22" localSheetId="12" hidden="1">#REF!</definedName>
    <definedName name="BLPH22" localSheetId="8" hidden="1">#REF!</definedName>
    <definedName name="BLPH22" localSheetId="5" hidden="1">#REF!</definedName>
    <definedName name="BLPH22" localSheetId="2" hidden="1">#REF!</definedName>
    <definedName name="BLPH22" localSheetId="17" hidden="1">#REF!</definedName>
    <definedName name="BLPH22" localSheetId="19" hidden="1">#REF!</definedName>
    <definedName name="BLPH22" hidden="1">#REF!</definedName>
    <definedName name="BLPH23" localSheetId="15" hidden="1">#REF!</definedName>
    <definedName name="BLPH23" localSheetId="7" hidden="1">#REF!</definedName>
    <definedName name="BLPH23" localSheetId="0" hidden="1">#REF!</definedName>
    <definedName name="BLPH23" localSheetId="12" hidden="1">#REF!</definedName>
    <definedName name="BLPH23" localSheetId="8" hidden="1">#REF!</definedName>
    <definedName name="BLPH23" localSheetId="5" hidden="1">#REF!</definedName>
    <definedName name="BLPH23" localSheetId="2" hidden="1">#REF!</definedName>
    <definedName name="BLPH23" localSheetId="17" hidden="1">#REF!</definedName>
    <definedName name="BLPH23" localSheetId="19" hidden="1">#REF!</definedName>
    <definedName name="BLPH23" hidden="1">#REF!</definedName>
    <definedName name="BLPH24" localSheetId="15" hidden="1">#REF!</definedName>
    <definedName name="BLPH24" localSheetId="7" hidden="1">#REF!</definedName>
    <definedName name="BLPH24" localSheetId="0" hidden="1">#REF!</definedName>
    <definedName name="BLPH24" localSheetId="12" hidden="1">#REF!</definedName>
    <definedName name="BLPH24" localSheetId="8" hidden="1">#REF!</definedName>
    <definedName name="BLPH24" localSheetId="5" hidden="1">#REF!</definedName>
    <definedName name="BLPH24" localSheetId="2" hidden="1">#REF!</definedName>
    <definedName name="BLPH24" localSheetId="17" hidden="1">#REF!</definedName>
    <definedName name="BLPH24" localSheetId="19" hidden="1">#REF!</definedName>
    <definedName name="BLPH24" hidden="1">#REF!</definedName>
    <definedName name="BLPH25" localSheetId="15" hidden="1">#REF!</definedName>
    <definedName name="BLPH25" localSheetId="7" hidden="1">#REF!</definedName>
    <definedName name="BLPH25" localSheetId="0" hidden="1">#REF!</definedName>
    <definedName name="BLPH25" localSheetId="12" hidden="1">#REF!</definedName>
    <definedName name="BLPH25" localSheetId="8" hidden="1">#REF!</definedName>
    <definedName name="BLPH25" localSheetId="5" hidden="1">#REF!</definedName>
    <definedName name="BLPH25" localSheetId="2" hidden="1">#REF!</definedName>
    <definedName name="BLPH25" localSheetId="17" hidden="1">#REF!</definedName>
    <definedName name="BLPH25" localSheetId="19" hidden="1">#REF!</definedName>
    <definedName name="BLPH25" hidden="1">#REF!</definedName>
    <definedName name="BLPH26" localSheetId="15" hidden="1">#REF!</definedName>
    <definedName name="BLPH26" localSheetId="7" hidden="1">#REF!</definedName>
    <definedName name="BLPH26" localSheetId="0" hidden="1">#REF!</definedName>
    <definedName name="BLPH26" localSheetId="12" hidden="1">#REF!</definedName>
    <definedName name="BLPH26" localSheetId="8" hidden="1">#REF!</definedName>
    <definedName name="BLPH26" localSheetId="5" hidden="1">#REF!</definedName>
    <definedName name="BLPH26" localSheetId="2" hidden="1">#REF!</definedName>
    <definedName name="BLPH26" localSheetId="17" hidden="1">#REF!</definedName>
    <definedName name="BLPH26" localSheetId="19" hidden="1">#REF!</definedName>
    <definedName name="BLPH26" hidden="1">#REF!</definedName>
    <definedName name="BLPH27" localSheetId="15" hidden="1">#REF!</definedName>
    <definedName name="BLPH27" localSheetId="7" hidden="1">#REF!</definedName>
    <definedName name="BLPH27" localSheetId="0" hidden="1">#REF!</definedName>
    <definedName name="BLPH27" localSheetId="12" hidden="1">#REF!</definedName>
    <definedName name="BLPH27" localSheetId="8" hidden="1">#REF!</definedName>
    <definedName name="BLPH27" localSheetId="5" hidden="1">#REF!</definedName>
    <definedName name="BLPH27" localSheetId="2" hidden="1">#REF!</definedName>
    <definedName name="BLPH27" localSheetId="17" hidden="1">#REF!</definedName>
    <definedName name="BLPH27" localSheetId="19" hidden="1">#REF!</definedName>
    <definedName name="BLPH27" hidden="1">#REF!</definedName>
    <definedName name="BLPH28" localSheetId="15" hidden="1">#REF!</definedName>
    <definedName name="BLPH28" localSheetId="7" hidden="1">#REF!</definedName>
    <definedName name="BLPH28" localSheetId="0" hidden="1">#REF!</definedName>
    <definedName name="BLPH28" localSheetId="12" hidden="1">#REF!</definedName>
    <definedName name="BLPH28" localSheetId="8" hidden="1">#REF!</definedName>
    <definedName name="BLPH28" localSheetId="5" hidden="1">#REF!</definedName>
    <definedName name="BLPH28" localSheetId="2" hidden="1">#REF!</definedName>
    <definedName name="BLPH28" localSheetId="17" hidden="1">#REF!</definedName>
    <definedName name="BLPH28" localSheetId="19" hidden="1">#REF!</definedName>
    <definedName name="BLPH28" hidden="1">#REF!</definedName>
    <definedName name="BLPH29" localSheetId="15" hidden="1">#REF!</definedName>
    <definedName name="BLPH29" localSheetId="7" hidden="1">#REF!</definedName>
    <definedName name="BLPH29" localSheetId="0" hidden="1">#REF!</definedName>
    <definedName name="BLPH29" localSheetId="12" hidden="1">#REF!</definedName>
    <definedName name="BLPH29" localSheetId="8" hidden="1">#REF!</definedName>
    <definedName name="BLPH29" localSheetId="5" hidden="1">#REF!</definedName>
    <definedName name="BLPH29" localSheetId="2" hidden="1">#REF!</definedName>
    <definedName name="BLPH29" localSheetId="17" hidden="1">#REF!</definedName>
    <definedName name="BLPH29" localSheetId="19" hidden="1">#REF!</definedName>
    <definedName name="BLPH29" hidden="1">#REF!</definedName>
    <definedName name="BLPH3" hidden="1">[8]Peer3!$AQ$3</definedName>
    <definedName name="BLPH30" localSheetId="15" hidden="1">#REF!</definedName>
    <definedName name="BLPH30" localSheetId="7" hidden="1">#REF!</definedName>
    <definedName name="BLPH30" localSheetId="0" hidden="1">#REF!</definedName>
    <definedName name="BLPH30" localSheetId="12" hidden="1">#REF!</definedName>
    <definedName name="BLPH30" localSheetId="8" hidden="1">#REF!</definedName>
    <definedName name="BLPH30" localSheetId="5" hidden="1">#REF!</definedName>
    <definedName name="BLPH30" localSheetId="2" hidden="1">#REF!</definedName>
    <definedName name="BLPH30" localSheetId="17" hidden="1">#REF!</definedName>
    <definedName name="BLPH30" localSheetId="19" hidden="1">#REF!</definedName>
    <definedName name="BLPH30" hidden="1">#REF!</definedName>
    <definedName name="BLPH31" localSheetId="15" hidden="1">#REF!</definedName>
    <definedName name="BLPH31" localSheetId="7" hidden="1">#REF!</definedName>
    <definedName name="BLPH31" localSheetId="0" hidden="1">#REF!</definedName>
    <definedName name="BLPH31" localSheetId="12" hidden="1">#REF!</definedName>
    <definedName name="BLPH31" localSheetId="8" hidden="1">#REF!</definedName>
    <definedName name="BLPH31" localSheetId="5" hidden="1">#REF!</definedName>
    <definedName name="BLPH31" localSheetId="2" hidden="1">#REF!</definedName>
    <definedName name="BLPH31" localSheetId="17" hidden="1">#REF!</definedName>
    <definedName name="BLPH31" localSheetId="19" hidden="1">#REF!</definedName>
    <definedName name="BLPH31" hidden="1">#REF!</definedName>
    <definedName name="BLPH32" localSheetId="15" hidden="1">#REF!</definedName>
    <definedName name="BLPH32" localSheetId="7" hidden="1">#REF!</definedName>
    <definedName name="BLPH32" localSheetId="0" hidden="1">#REF!</definedName>
    <definedName name="BLPH32" localSheetId="12" hidden="1">#REF!</definedName>
    <definedName name="BLPH32" localSheetId="8" hidden="1">#REF!</definedName>
    <definedName name="BLPH32" localSheetId="5" hidden="1">#REF!</definedName>
    <definedName name="BLPH32" localSheetId="2" hidden="1">#REF!</definedName>
    <definedName name="BLPH32" localSheetId="17" hidden="1">#REF!</definedName>
    <definedName name="BLPH32" localSheetId="19" hidden="1">#REF!</definedName>
    <definedName name="BLPH32" hidden="1">#REF!</definedName>
    <definedName name="BLPH33" localSheetId="15" hidden="1">#REF!</definedName>
    <definedName name="BLPH33" localSheetId="7" hidden="1">#REF!</definedName>
    <definedName name="BLPH33" localSheetId="0" hidden="1">#REF!</definedName>
    <definedName name="BLPH33" localSheetId="12" hidden="1">#REF!</definedName>
    <definedName name="BLPH33" localSheetId="8" hidden="1">#REF!</definedName>
    <definedName name="BLPH33" localSheetId="5" hidden="1">#REF!</definedName>
    <definedName name="BLPH33" localSheetId="2" hidden="1">#REF!</definedName>
    <definedName name="BLPH33" localSheetId="17" hidden="1">#REF!</definedName>
    <definedName name="BLPH33" localSheetId="19" hidden="1">#REF!</definedName>
    <definedName name="BLPH33" hidden="1">#REF!</definedName>
    <definedName name="BLPH34" localSheetId="15" hidden="1">#REF!</definedName>
    <definedName name="BLPH34" localSheetId="7" hidden="1">#REF!</definedName>
    <definedName name="BLPH34" localSheetId="0" hidden="1">#REF!</definedName>
    <definedName name="BLPH34" localSheetId="12" hidden="1">#REF!</definedName>
    <definedName name="BLPH34" localSheetId="8" hidden="1">#REF!</definedName>
    <definedName name="BLPH34" localSheetId="5" hidden="1">#REF!</definedName>
    <definedName name="BLPH34" localSheetId="2" hidden="1">#REF!</definedName>
    <definedName name="BLPH34" localSheetId="17" hidden="1">#REF!</definedName>
    <definedName name="BLPH34" localSheetId="19" hidden="1">#REF!</definedName>
    <definedName name="BLPH34" hidden="1">#REF!</definedName>
    <definedName name="BLPH35" localSheetId="15" hidden="1">#REF!</definedName>
    <definedName name="BLPH35" localSheetId="7" hidden="1">#REF!</definedName>
    <definedName name="BLPH35" localSheetId="0" hidden="1">#REF!</definedName>
    <definedName name="BLPH35" localSheetId="12" hidden="1">#REF!</definedName>
    <definedName name="BLPH35" localSheetId="8" hidden="1">#REF!</definedName>
    <definedName name="BLPH35" localSheetId="5" hidden="1">#REF!</definedName>
    <definedName name="BLPH35" localSheetId="2" hidden="1">#REF!</definedName>
    <definedName name="BLPH35" localSheetId="17" hidden="1">#REF!</definedName>
    <definedName name="BLPH35" localSheetId="19" hidden="1">#REF!</definedName>
    <definedName name="BLPH35" hidden="1">#REF!</definedName>
    <definedName name="BLPH36" localSheetId="15" hidden="1">#REF!</definedName>
    <definedName name="BLPH36" localSheetId="7" hidden="1">#REF!</definedName>
    <definedName name="BLPH36" localSheetId="0" hidden="1">#REF!</definedName>
    <definedName name="BLPH36" localSheetId="12" hidden="1">#REF!</definedName>
    <definedName name="BLPH36" localSheetId="8" hidden="1">#REF!</definedName>
    <definedName name="BLPH36" localSheetId="5" hidden="1">#REF!</definedName>
    <definedName name="BLPH36" localSheetId="2" hidden="1">#REF!</definedName>
    <definedName name="BLPH36" localSheetId="17" hidden="1">#REF!</definedName>
    <definedName name="BLPH36" localSheetId="19" hidden="1">#REF!</definedName>
    <definedName name="BLPH36" hidden="1">#REF!</definedName>
    <definedName name="BLPH37" localSheetId="15" hidden="1">#REF!</definedName>
    <definedName name="BLPH37" localSheetId="7" hidden="1">#REF!</definedName>
    <definedName name="BLPH37" localSheetId="0" hidden="1">#REF!</definedName>
    <definedName name="BLPH37" localSheetId="12" hidden="1">#REF!</definedName>
    <definedName name="BLPH37" localSheetId="8" hidden="1">#REF!</definedName>
    <definedName name="BLPH37" localSheetId="5" hidden="1">#REF!</definedName>
    <definedName name="BLPH37" localSheetId="2" hidden="1">#REF!</definedName>
    <definedName name="BLPH37" localSheetId="17" hidden="1">#REF!</definedName>
    <definedName name="BLPH37" localSheetId="19" hidden="1">#REF!</definedName>
    <definedName name="BLPH37" hidden="1">#REF!</definedName>
    <definedName name="BLPH38" localSheetId="15" hidden="1">#REF!</definedName>
    <definedName name="BLPH38" localSheetId="7" hidden="1">#REF!</definedName>
    <definedName name="BLPH38" localSheetId="0" hidden="1">#REF!</definedName>
    <definedName name="BLPH38" localSheetId="12" hidden="1">#REF!</definedName>
    <definedName name="BLPH38" localSheetId="8" hidden="1">#REF!</definedName>
    <definedName name="BLPH38" localSheetId="5" hidden="1">#REF!</definedName>
    <definedName name="BLPH38" localSheetId="2" hidden="1">#REF!</definedName>
    <definedName name="BLPH38" localSheetId="17" hidden="1">#REF!</definedName>
    <definedName name="BLPH38" localSheetId="19" hidden="1">#REF!</definedName>
    <definedName name="BLPH38" hidden="1">#REF!</definedName>
    <definedName name="BLPH39" localSheetId="15" hidden="1">#REF!</definedName>
    <definedName name="BLPH39" localSheetId="7" hidden="1">#REF!</definedName>
    <definedName name="BLPH39" localSheetId="0" hidden="1">#REF!</definedName>
    <definedName name="BLPH39" localSheetId="12" hidden="1">#REF!</definedName>
    <definedName name="BLPH39" localSheetId="8" hidden="1">#REF!</definedName>
    <definedName name="BLPH39" localSheetId="5" hidden="1">#REF!</definedName>
    <definedName name="BLPH39" localSheetId="2" hidden="1">#REF!</definedName>
    <definedName name="BLPH39" localSheetId="17" hidden="1">#REF!</definedName>
    <definedName name="BLPH39" localSheetId="19" hidden="1">#REF!</definedName>
    <definedName name="BLPH39" hidden="1">#REF!</definedName>
    <definedName name="BLPH4" hidden="1">[8]Peer4!$AQ$3</definedName>
    <definedName name="BLPH40" localSheetId="15" hidden="1">#REF!</definedName>
    <definedName name="BLPH40" localSheetId="7" hidden="1">#REF!</definedName>
    <definedName name="BLPH40" localSheetId="0" hidden="1">#REF!</definedName>
    <definedName name="BLPH40" localSheetId="12" hidden="1">#REF!</definedName>
    <definedName name="BLPH40" localSheetId="8" hidden="1">#REF!</definedName>
    <definedName name="BLPH40" localSheetId="5" hidden="1">#REF!</definedName>
    <definedName name="BLPH40" localSheetId="2" hidden="1">#REF!</definedName>
    <definedName name="BLPH40" localSheetId="17" hidden="1">#REF!</definedName>
    <definedName name="BLPH40" localSheetId="19" hidden="1">#REF!</definedName>
    <definedName name="BLPH40" hidden="1">#REF!</definedName>
    <definedName name="BLPH41" localSheetId="15" hidden="1">#REF!</definedName>
    <definedName name="BLPH41" localSheetId="7" hidden="1">#REF!</definedName>
    <definedName name="BLPH41" localSheetId="0" hidden="1">#REF!</definedName>
    <definedName name="BLPH41" localSheetId="12" hidden="1">#REF!</definedName>
    <definedName name="BLPH41" localSheetId="8" hidden="1">#REF!</definedName>
    <definedName name="BLPH41" localSheetId="5" hidden="1">#REF!</definedName>
    <definedName name="BLPH41" localSheetId="2" hidden="1">#REF!</definedName>
    <definedName name="BLPH41" localSheetId="17" hidden="1">#REF!</definedName>
    <definedName name="BLPH41" localSheetId="19" hidden="1">#REF!</definedName>
    <definedName name="BLPH41" hidden="1">#REF!</definedName>
    <definedName name="BLPH42" localSheetId="15" hidden="1">#REF!</definedName>
    <definedName name="BLPH42" localSheetId="7" hidden="1">#REF!</definedName>
    <definedName name="BLPH42" localSheetId="0" hidden="1">#REF!</definedName>
    <definedName name="BLPH42" localSheetId="12" hidden="1">#REF!</definedName>
    <definedName name="BLPH42" localSheetId="8" hidden="1">#REF!</definedName>
    <definedName name="BLPH42" localSheetId="5" hidden="1">#REF!</definedName>
    <definedName name="BLPH42" localSheetId="2" hidden="1">#REF!</definedName>
    <definedName name="BLPH42" localSheetId="17" hidden="1">#REF!</definedName>
    <definedName name="BLPH42" localSheetId="19" hidden="1">#REF!</definedName>
    <definedName name="BLPH42" hidden="1">#REF!</definedName>
    <definedName name="BLPH43" localSheetId="15" hidden="1">#REF!</definedName>
    <definedName name="BLPH43" localSheetId="7" hidden="1">#REF!</definedName>
    <definedName name="BLPH43" localSheetId="0" hidden="1">#REF!</definedName>
    <definedName name="BLPH43" localSheetId="12" hidden="1">#REF!</definedName>
    <definedName name="BLPH43" localSheetId="8" hidden="1">#REF!</definedName>
    <definedName name="BLPH43" localSheetId="5" hidden="1">#REF!</definedName>
    <definedName name="BLPH43" localSheetId="2" hidden="1">#REF!</definedName>
    <definedName name="BLPH43" localSheetId="17" hidden="1">#REF!</definedName>
    <definedName name="BLPH43" localSheetId="19" hidden="1">#REF!</definedName>
    <definedName name="BLPH43" hidden="1">#REF!</definedName>
    <definedName name="BLPH44" localSheetId="15" hidden="1">#REF!</definedName>
    <definedName name="BLPH44" localSheetId="7" hidden="1">#REF!</definedName>
    <definedName name="BLPH44" localSheetId="0" hidden="1">#REF!</definedName>
    <definedName name="BLPH44" localSheetId="12" hidden="1">#REF!</definedName>
    <definedName name="BLPH44" localSheetId="8" hidden="1">#REF!</definedName>
    <definedName name="BLPH44" localSheetId="5" hidden="1">#REF!</definedName>
    <definedName name="BLPH44" localSheetId="2" hidden="1">#REF!</definedName>
    <definedName name="BLPH44" localSheetId="17" hidden="1">#REF!</definedName>
    <definedName name="BLPH44" localSheetId="19" hidden="1">#REF!</definedName>
    <definedName name="BLPH44" hidden="1">#REF!</definedName>
    <definedName name="BLPH45" localSheetId="15" hidden="1">#REF!</definedName>
    <definedName name="BLPH45" localSheetId="7" hidden="1">#REF!</definedName>
    <definedName name="BLPH45" localSheetId="0" hidden="1">#REF!</definedName>
    <definedName name="BLPH45" localSheetId="12" hidden="1">#REF!</definedName>
    <definedName name="BLPH45" localSheetId="8" hidden="1">#REF!</definedName>
    <definedName name="BLPH45" localSheetId="5" hidden="1">#REF!</definedName>
    <definedName name="BLPH45" localSheetId="2" hidden="1">#REF!</definedName>
    <definedName name="BLPH45" localSheetId="17" hidden="1">#REF!</definedName>
    <definedName name="BLPH45" localSheetId="19" hidden="1">#REF!</definedName>
    <definedName name="BLPH45" hidden="1">#REF!</definedName>
    <definedName name="BLPH46" localSheetId="15" hidden="1">#REF!</definedName>
    <definedName name="BLPH46" localSheetId="7" hidden="1">#REF!</definedName>
    <definedName name="BLPH46" localSheetId="0" hidden="1">#REF!</definedName>
    <definedName name="BLPH46" localSheetId="12" hidden="1">#REF!</definedName>
    <definedName name="BLPH46" localSheetId="8" hidden="1">#REF!</definedName>
    <definedName name="BLPH46" localSheetId="5" hidden="1">#REF!</definedName>
    <definedName name="BLPH46" localSheetId="2" hidden="1">#REF!</definedName>
    <definedName name="BLPH46" localSheetId="17" hidden="1">#REF!</definedName>
    <definedName name="BLPH46" localSheetId="19" hidden="1">#REF!</definedName>
    <definedName name="BLPH46" hidden="1">#REF!</definedName>
    <definedName name="BLPH47" localSheetId="15" hidden="1">#REF!</definedName>
    <definedName name="BLPH47" localSheetId="7" hidden="1">#REF!</definedName>
    <definedName name="BLPH47" localSheetId="0" hidden="1">#REF!</definedName>
    <definedName name="BLPH47" localSheetId="12" hidden="1">#REF!</definedName>
    <definedName name="BLPH47" localSheetId="8" hidden="1">#REF!</definedName>
    <definedName name="BLPH47" localSheetId="5" hidden="1">#REF!</definedName>
    <definedName name="BLPH47" localSheetId="2" hidden="1">#REF!</definedName>
    <definedName name="BLPH47" localSheetId="17" hidden="1">#REF!</definedName>
    <definedName name="BLPH47" localSheetId="19" hidden="1">#REF!</definedName>
    <definedName name="BLPH47" hidden="1">#REF!</definedName>
    <definedName name="BLPH48" localSheetId="15" hidden="1">#REF!</definedName>
    <definedName name="BLPH48" localSheetId="7" hidden="1">#REF!</definedName>
    <definedName name="BLPH48" localSheetId="0" hidden="1">#REF!</definedName>
    <definedName name="BLPH48" localSheetId="12" hidden="1">#REF!</definedName>
    <definedName name="BLPH48" localSheetId="8" hidden="1">#REF!</definedName>
    <definedName name="BLPH48" localSheetId="5" hidden="1">#REF!</definedName>
    <definedName name="BLPH48" localSheetId="2" hidden="1">#REF!</definedName>
    <definedName name="BLPH48" localSheetId="17" hidden="1">#REF!</definedName>
    <definedName name="BLPH48" localSheetId="19" hidden="1">#REF!</definedName>
    <definedName name="BLPH48" hidden="1">#REF!</definedName>
    <definedName name="BLPH49" localSheetId="15" hidden="1">#REF!</definedName>
    <definedName name="BLPH49" localSheetId="7" hidden="1">#REF!</definedName>
    <definedName name="BLPH49" localSheetId="0" hidden="1">#REF!</definedName>
    <definedName name="BLPH49" localSheetId="12" hidden="1">#REF!</definedName>
    <definedName name="BLPH49" localSheetId="8" hidden="1">#REF!</definedName>
    <definedName name="BLPH49" localSheetId="5" hidden="1">#REF!</definedName>
    <definedName name="BLPH49" localSheetId="2" hidden="1">#REF!</definedName>
    <definedName name="BLPH49" localSheetId="17" hidden="1">#REF!</definedName>
    <definedName name="BLPH49" localSheetId="19" hidden="1">#REF!</definedName>
    <definedName name="BLPH49" hidden="1">#REF!</definedName>
    <definedName name="BLPH5" hidden="1">[8]Peer5!$AQ$3</definedName>
    <definedName name="BLPH50" localSheetId="15" hidden="1">#REF!</definedName>
    <definedName name="BLPH50" localSheetId="7" hidden="1">#REF!</definedName>
    <definedName name="BLPH50" localSheetId="0" hidden="1">#REF!</definedName>
    <definedName name="BLPH50" localSheetId="12" hidden="1">#REF!</definedName>
    <definedName name="BLPH50" localSheetId="8" hidden="1">#REF!</definedName>
    <definedName name="BLPH50" localSheetId="5" hidden="1">#REF!</definedName>
    <definedName name="BLPH50" localSheetId="2" hidden="1">#REF!</definedName>
    <definedName name="BLPH50" localSheetId="17" hidden="1">#REF!</definedName>
    <definedName name="BLPH50" localSheetId="19" hidden="1">#REF!</definedName>
    <definedName name="BLPH50" hidden="1">#REF!</definedName>
    <definedName name="BLPH51" localSheetId="15" hidden="1">#REF!</definedName>
    <definedName name="BLPH51" localSheetId="7" hidden="1">#REF!</definedName>
    <definedName name="BLPH51" localSheetId="0" hidden="1">#REF!</definedName>
    <definedName name="BLPH51" localSheetId="12" hidden="1">#REF!</definedName>
    <definedName name="BLPH51" localSheetId="8" hidden="1">#REF!</definedName>
    <definedName name="BLPH51" localSheetId="5" hidden="1">#REF!</definedName>
    <definedName name="BLPH51" localSheetId="2" hidden="1">#REF!</definedName>
    <definedName name="BLPH51" localSheetId="17" hidden="1">#REF!</definedName>
    <definedName name="BLPH51" localSheetId="19" hidden="1">#REF!</definedName>
    <definedName name="BLPH51" hidden="1">#REF!</definedName>
    <definedName name="BLPH52" localSheetId="15" hidden="1">#REF!</definedName>
    <definedName name="BLPH52" localSheetId="7" hidden="1">#REF!</definedName>
    <definedName name="BLPH52" localSheetId="0" hidden="1">#REF!</definedName>
    <definedName name="BLPH52" localSheetId="12" hidden="1">#REF!</definedName>
    <definedName name="BLPH52" localSheetId="8" hidden="1">#REF!</definedName>
    <definedName name="BLPH52" localSheetId="5" hidden="1">#REF!</definedName>
    <definedName name="BLPH52" localSheetId="2" hidden="1">#REF!</definedName>
    <definedName name="BLPH52" localSheetId="17" hidden="1">#REF!</definedName>
    <definedName name="BLPH52" localSheetId="19" hidden="1">#REF!</definedName>
    <definedName name="BLPH52" hidden="1">#REF!</definedName>
    <definedName name="BLPH53" localSheetId="15" hidden="1">#REF!</definedName>
    <definedName name="BLPH53" localSheetId="7" hidden="1">#REF!</definedName>
    <definedName name="BLPH53" localSheetId="0" hidden="1">#REF!</definedName>
    <definedName name="BLPH53" localSheetId="12" hidden="1">#REF!</definedName>
    <definedName name="BLPH53" localSheetId="8" hidden="1">#REF!</definedName>
    <definedName name="BLPH53" localSheetId="5" hidden="1">#REF!</definedName>
    <definedName name="BLPH53" localSheetId="2" hidden="1">#REF!</definedName>
    <definedName name="BLPH53" localSheetId="17" hidden="1">#REF!</definedName>
    <definedName name="BLPH53" localSheetId="19" hidden="1">#REF!</definedName>
    <definedName name="BLPH53" hidden="1">#REF!</definedName>
    <definedName name="BLPH54" localSheetId="15" hidden="1">#REF!</definedName>
    <definedName name="BLPH54" localSheetId="7" hidden="1">#REF!</definedName>
    <definedName name="BLPH54" localSheetId="0" hidden="1">#REF!</definedName>
    <definedName name="BLPH54" localSheetId="12" hidden="1">#REF!</definedName>
    <definedName name="BLPH54" localSheetId="8" hidden="1">#REF!</definedName>
    <definedName name="BLPH54" localSheetId="5" hidden="1">#REF!</definedName>
    <definedName name="BLPH54" localSheetId="2" hidden="1">#REF!</definedName>
    <definedName name="BLPH54" localSheetId="17" hidden="1">#REF!</definedName>
    <definedName name="BLPH54" localSheetId="19" hidden="1">#REF!</definedName>
    <definedName name="BLPH54" hidden="1">#REF!</definedName>
    <definedName name="BLPH55" localSheetId="15" hidden="1">#REF!</definedName>
    <definedName name="BLPH55" localSheetId="7" hidden="1">#REF!</definedName>
    <definedName name="BLPH55" localSheetId="0" hidden="1">#REF!</definedName>
    <definedName name="BLPH55" localSheetId="12" hidden="1">#REF!</definedName>
    <definedName name="BLPH55" localSheetId="8" hidden="1">#REF!</definedName>
    <definedName name="BLPH55" localSheetId="5" hidden="1">#REF!</definedName>
    <definedName name="BLPH55" localSheetId="2" hidden="1">#REF!</definedName>
    <definedName name="BLPH55" localSheetId="17" hidden="1">#REF!</definedName>
    <definedName name="BLPH55" localSheetId="19" hidden="1">#REF!</definedName>
    <definedName name="BLPH55" hidden="1">#REF!</definedName>
    <definedName name="BLPH56" localSheetId="15" hidden="1">#REF!</definedName>
    <definedName name="BLPH56" localSheetId="7" hidden="1">#REF!</definedName>
    <definedName name="BLPH56" localSheetId="0" hidden="1">#REF!</definedName>
    <definedName name="BLPH56" localSheetId="12" hidden="1">#REF!</definedName>
    <definedName name="BLPH56" localSheetId="8" hidden="1">#REF!</definedName>
    <definedName name="BLPH56" localSheetId="5" hidden="1">#REF!</definedName>
    <definedName name="BLPH56" localSheetId="2" hidden="1">#REF!</definedName>
    <definedName name="BLPH56" localSheetId="17" hidden="1">#REF!</definedName>
    <definedName name="BLPH56" localSheetId="19" hidden="1">#REF!</definedName>
    <definedName name="BLPH56" hidden="1">#REF!</definedName>
    <definedName name="BLPH57" localSheetId="15" hidden="1">#REF!</definedName>
    <definedName name="BLPH57" localSheetId="7" hidden="1">#REF!</definedName>
    <definedName name="BLPH57" localSheetId="0" hidden="1">#REF!</definedName>
    <definedName name="BLPH57" localSheetId="12" hidden="1">#REF!</definedName>
    <definedName name="BLPH57" localSheetId="8" hidden="1">#REF!</definedName>
    <definedName name="BLPH57" localSheetId="5" hidden="1">#REF!</definedName>
    <definedName name="BLPH57" localSheetId="2" hidden="1">#REF!</definedName>
    <definedName name="BLPH57" localSheetId="17" hidden="1">#REF!</definedName>
    <definedName name="BLPH57" localSheetId="19" hidden="1">#REF!</definedName>
    <definedName name="BLPH57" hidden="1">#REF!</definedName>
    <definedName name="BLPH58" localSheetId="15" hidden="1">#REF!</definedName>
    <definedName name="BLPH58" localSheetId="7" hidden="1">#REF!</definedName>
    <definedName name="BLPH58" localSheetId="0" hidden="1">#REF!</definedName>
    <definedName name="BLPH58" localSheetId="12" hidden="1">#REF!</definedName>
    <definedName name="BLPH58" localSheetId="8" hidden="1">#REF!</definedName>
    <definedName name="BLPH58" localSheetId="5" hidden="1">#REF!</definedName>
    <definedName name="BLPH58" localSheetId="2" hidden="1">#REF!</definedName>
    <definedName name="BLPH58" localSheetId="17" hidden="1">#REF!</definedName>
    <definedName name="BLPH58" localSheetId="19" hidden="1">#REF!</definedName>
    <definedName name="BLPH58" hidden="1">#REF!</definedName>
    <definedName name="BLPH59" localSheetId="15" hidden="1">#REF!</definedName>
    <definedName name="BLPH59" localSheetId="7" hidden="1">#REF!</definedName>
    <definedName name="BLPH59" localSheetId="0" hidden="1">#REF!</definedName>
    <definedName name="BLPH59" localSheetId="12" hidden="1">#REF!</definedName>
    <definedName name="BLPH59" localSheetId="8" hidden="1">#REF!</definedName>
    <definedName name="BLPH59" localSheetId="5" hidden="1">#REF!</definedName>
    <definedName name="BLPH59" localSheetId="2" hidden="1">#REF!</definedName>
    <definedName name="BLPH59" localSheetId="17" hidden="1">#REF!</definedName>
    <definedName name="BLPH59" localSheetId="19" hidden="1">#REF!</definedName>
    <definedName name="BLPH59" hidden="1">#REF!</definedName>
    <definedName name="BLPH6" hidden="1">[8]Peer6!$AQ$3</definedName>
    <definedName name="BLPH60" localSheetId="15" hidden="1">#REF!</definedName>
    <definedName name="BLPH60" localSheetId="7" hidden="1">#REF!</definedName>
    <definedName name="BLPH60" localSheetId="0" hidden="1">#REF!</definedName>
    <definedName name="BLPH60" localSheetId="12" hidden="1">#REF!</definedName>
    <definedName name="BLPH60" localSheetId="8" hidden="1">#REF!</definedName>
    <definedName name="BLPH60" localSheetId="5" hidden="1">#REF!</definedName>
    <definedName name="BLPH60" localSheetId="2" hidden="1">#REF!</definedName>
    <definedName name="BLPH60" localSheetId="17" hidden="1">#REF!</definedName>
    <definedName name="BLPH60" localSheetId="19" hidden="1">#REF!</definedName>
    <definedName name="BLPH60" hidden="1">#REF!</definedName>
    <definedName name="BLPH61" localSheetId="15" hidden="1">#REF!</definedName>
    <definedName name="BLPH61" localSheetId="7" hidden="1">#REF!</definedName>
    <definedName name="BLPH61" localSheetId="0" hidden="1">#REF!</definedName>
    <definedName name="BLPH61" localSheetId="12" hidden="1">#REF!</definedName>
    <definedName name="BLPH61" localSheetId="8" hidden="1">#REF!</definedName>
    <definedName name="BLPH61" localSheetId="5" hidden="1">#REF!</definedName>
    <definedName name="BLPH61" localSheetId="2" hidden="1">#REF!</definedName>
    <definedName name="BLPH61" localSheetId="17" hidden="1">#REF!</definedName>
    <definedName name="BLPH61" localSheetId="19" hidden="1">#REF!</definedName>
    <definedName name="BLPH61" hidden="1">#REF!</definedName>
    <definedName name="BLPH62" localSheetId="15" hidden="1">#REF!</definedName>
    <definedName name="BLPH62" localSheetId="7" hidden="1">#REF!</definedName>
    <definedName name="BLPH62" localSheetId="0" hidden="1">#REF!</definedName>
    <definedName name="BLPH62" localSheetId="12" hidden="1">#REF!</definedName>
    <definedName name="BLPH62" localSheetId="8" hidden="1">#REF!</definedName>
    <definedName name="BLPH62" localSheetId="5" hidden="1">#REF!</definedName>
    <definedName name="BLPH62" localSheetId="2" hidden="1">#REF!</definedName>
    <definedName name="BLPH62" localSheetId="17" hidden="1">#REF!</definedName>
    <definedName name="BLPH62" localSheetId="19" hidden="1">#REF!</definedName>
    <definedName name="BLPH62" hidden="1">#REF!</definedName>
    <definedName name="BLPH63" localSheetId="15" hidden="1">#REF!</definedName>
    <definedName name="BLPH63" localSheetId="7" hidden="1">#REF!</definedName>
    <definedName name="BLPH63" localSheetId="0" hidden="1">#REF!</definedName>
    <definedName name="BLPH63" localSheetId="12" hidden="1">#REF!</definedName>
    <definedName name="BLPH63" localSheetId="8" hidden="1">#REF!</definedName>
    <definedName name="BLPH63" localSheetId="5" hidden="1">#REF!</definedName>
    <definedName name="BLPH63" localSheetId="2" hidden="1">#REF!</definedName>
    <definedName name="BLPH63" localSheetId="17" hidden="1">#REF!</definedName>
    <definedName name="BLPH63" localSheetId="19" hidden="1">#REF!</definedName>
    <definedName name="BLPH63" hidden="1">#REF!</definedName>
    <definedName name="BLPH64" localSheetId="15" hidden="1">#REF!</definedName>
    <definedName name="BLPH64" localSheetId="7" hidden="1">#REF!</definedName>
    <definedName name="BLPH64" localSheetId="0" hidden="1">#REF!</definedName>
    <definedName name="BLPH64" localSheetId="12" hidden="1">#REF!</definedName>
    <definedName name="BLPH64" localSheetId="8" hidden="1">#REF!</definedName>
    <definedName name="BLPH64" localSheetId="5" hidden="1">#REF!</definedName>
    <definedName name="BLPH64" localSheetId="2" hidden="1">#REF!</definedName>
    <definedName name="BLPH64" localSheetId="17" hidden="1">#REF!</definedName>
    <definedName name="BLPH64" localSheetId="19" hidden="1">#REF!</definedName>
    <definedName name="BLPH64" hidden="1">#REF!</definedName>
    <definedName name="BLPH65" localSheetId="15" hidden="1">#REF!</definedName>
    <definedName name="BLPH65" localSheetId="7" hidden="1">#REF!</definedName>
    <definedName name="BLPH65" localSheetId="0" hidden="1">#REF!</definedName>
    <definedName name="BLPH65" localSheetId="12" hidden="1">#REF!</definedName>
    <definedName name="BLPH65" localSheetId="8" hidden="1">#REF!</definedName>
    <definedName name="BLPH65" localSheetId="5" hidden="1">#REF!</definedName>
    <definedName name="BLPH65" localSheetId="2" hidden="1">#REF!</definedName>
    <definedName name="BLPH65" localSheetId="17" hidden="1">#REF!</definedName>
    <definedName name="BLPH65" localSheetId="19" hidden="1">#REF!</definedName>
    <definedName name="BLPH65" hidden="1">#REF!</definedName>
    <definedName name="BLPH66" localSheetId="15" hidden="1">#REF!</definedName>
    <definedName name="BLPH66" localSheetId="7" hidden="1">#REF!</definedName>
    <definedName name="BLPH66" localSheetId="0" hidden="1">#REF!</definedName>
    <definedName name="BLPH66" localSheetId="12" hidden="1">#REF!</definedName>
    <definedName name="BLPH66" localSheetId="8" hidden="1">#REF!</definedName>
    <definedName name="BLPH66" localSheetId="5" hidden="1">#REF!</definedName>
    <definedName name="BLPH66" localSheetId="2" hidden="1">#REF!</definedName>
    <definedName name="BLPH66" localSheetId="17" hidden="1">#REF!</definedName>
    <definedName name="BLPH66" localSheetId="19" hidden="1">#REF!</definedName>
    <definedName name="BLPH66" hidden="1">#REF!</definedName>
    <definedName name="BLPH67" localSheetId="15" hidden="1">#REF!</definedName>
    <definedName name="BLPH67" localSheetId="7" hidden="1">#REF!</definedName>
    <definedName name="BLPH67" localSheetId="0" hidden="1">#REF!</definedName>
    <definedName name="BLPH67" localSheetId="12" hidden="1">#REF!</definedName>
    <definedName name="BLPH67" localSheetId="8" hidden="1">#REF!</definedName>
    <definedName name="BLPH67" localSheetId="5" hidden="1">#REF!</definedName>
    <definedName name="BLPH67" localSheetId="2" hidden="1">#REF!</definedName>
    <definedName name="BLPH67" localSheetId="17" hidden="1">#REF!</definedName>
    <definedName name="BLPH67" localSheetId="19" hidden="1">#REF!</definedName>
    <definedName name="BLPH67" hidden="1">#REF!</definedName>
    <definedName name="BLPH68" localSheetId="15" hidden="1">#REF!</definedName>
    <definedName name="BLPH68" localSheetId="7" hidden="1">#REF!</definedName>
    <definedName name="BLPH68" localSheetId="0" hidden="1">#REF!</definedName>
    <definedName name="BLPH68" localSheetId="12" hidden="1">#REF!</definedName>
    <definedName name="BLPH68" localSheetId="8" hidden="1">#REF!</definedName>
    <definedName name="BLPH68" localSheetId="5" hidden="1">#REF!</definedName>
    <definedName name="BLPH68" localSheetId="2" hidden="1">#REF!</definedName>
    <definedName name="BLPH68" localSheetId="17" hidden="1">#REF!</definedName>
    <definedName name="BLPH68" localSheetId="19" hidden="1">#REF!</definedName>
    <definedName name="BLPH68" hidden="1">#REF!</definedName>
    <definedName name="BLPH69" localSheetId="15" hidden="1">#REF!</definedName>
    <definedName name="BLPH69" localSheetId="7" hidden="1">#REF!</definedName>
    <definedName name="BLPH69" localSheetId="0" hidden="1">#REF!</definedName>
    <definedName name="BLPH69" localSheetId="12" hidden="1">#REF!</definedName>
    <definedName name="BLPH69" localSheetId="8" hidden="1">#REF!</definedName>
    <definedName name="BLPH69" localSheetId="5" hidden="1">#REF!</definedName>
    <definedName name="BLPH69" localSheetId="2" hidden="1">#REF!</definedName>
    <definedName name="BLPH69" localSheetId="17" hidden="1">#REF!</definedName>
    <definedName name="BLPH69" localSheetId="19" hidden="1">#REF!</definedName>
    <definedName name="BLPH69" hidden="1">#REF!</definedName>
    <definedName name="BLPH7" hidden="1">[8]Peer7!$AQ$3</definedName>
    <definedName name="BLPH70" localSheetId="15" hidden="1">#REF!</definedName>
    <definedName name="BLPH70" localSheetId="7" hidden="1">#REF!</definedName>
    <definedName name="BLPH70" localSheetId="0" hidden="1">#REF!</definedName>
    <definedName name="BLPH70" localSheetId="12" hidden="1">#REF!</definedName>
    <definedName name="BLPH70" localSheetId="8" hidden="1">#REF!</definedName>
    <definedName name="BLPH70" localSheetId="5" hidden="1">#REF!</definedName>
    <definedName name="BLPH70" localSheetId="2" hidden="1">#REF!</definedName>
    <definedName name="BLPH70" localSheetId="17" hidden="1">#REF!</definedName>
    <definedName name="BLPH70" localSheetId="19" hidden="1">#REF!</definedName>
    <definedName name="BLPH70" hidden="1">#REF!</definedName>
    <definedName name="BLPH71" localSheetId="15" hidden="1">#REF!</definedName>
    <definedName name="BLPH71" localSheetId="7" hidden="1">#REF!</definedName>
    <definedName name="BLPH71" localSheetId="0" hidden="1">#REF!</definedName>
    <definedName name="BLPH71" localSheetId="12" hidden="1">#REF!</definedName>
    <definedName name="BLPH71" localSheetId="8" hidden="1">#REF!</definedName>
    <definedName name="BLPH71" localSheetId="5" hidden="1">#REF!</definedName>
    <definedName name="BLPH71" localSheetId="2" hidden="1">#REF!</definedName>
    <definedName name="BLPH71" localSheetId="17" hidden="1">#REF!</definedName>
    <definedName name="BLPH71" localSheetId="19" hidden="1">#REF!</definedName>
    <definedName name="BLPH71" hidden="1">#REF!</definedName>
    <definedName name="BLPH72" localSheetId="15" hidden="1">#REF!</definedName>
    <definedName name="BLPH72" localSheetId="7" hidden="1">#REF!</definedName>
    <definedName name="BLPH72" localSheetId="0" hidden="1">#REF!</definedName>
    <definedName name="BLPH72" localSheetId="12" hidden="1">#REF!</definedName>
    <definedName name="BLPH72" localSheetId="8" hidden="1">#REF!</definedName>
    <definedName name="BLPH72" localSheetId="5" hidden="1">#REF!</definedName>
    <definedName name="BLPH72" localSheetId="2" hidden="1">#REF!</definedName>
    <definedName name="BLPH72" localSheetId="17" hidden="1">#REF!</definedName>
    <definedName name="BLPH72" localSheetId="19" hidden="1">#REF!</definedName>
    <definedName name="BLPH72" hidden="1">#REF!</definedName>
    <definedName name="BLPH73" localSheetId="15" hidden="1">#REF!</definedName>
    <definedName name="BLPH73" localSheetId="7" hidden="1">#REF!</definedName>
    <definedName name="BLPH73" localSheetId="0" hidden="1">#REF!</definedName>
    <definedName name="BLPH73" localSheetId="12" hidden="1">#REF!</definedName>
    <definedName name="BLPH73" localSheetId="8" hidden="1">#REF!</definedName>
    <definedName name="BLPH73" localSheetId="5" hidden="1">#REF!</definedName>
    <definedName name="BLPH73" localSheetId="2" hidden="1">#REF!</definedName>
    <definedName name="BLPH73" localSheetId="17" hidden="1">#REF!</definedName>
    <definedName name="BLPH73" localSheetId="19" hidden="1">#REF!</definedName>
    <definedName name="BLPH73" hidden="1">#REF!</definedName>
    <definedName name="BLPH74" localSheetId="15" hidden="1">#REF!</definedName>
    <definedName name="BLPH74" localSheetId="7" hidden="1">#REF!</definedName>
    <definedName name="BLPH74" localSheetId="0" hidden="1">#REF!</definedName>
    <definedName name="BLPH74" localSheetId="12" hidden="1">#REF!</definedName>
    <definedName name="BLPH74" localSheetId="8" hidden="1">#REF!</definedName>
    <definedName name="BLPH74" localSheetId="5" hidden="1">#REF!</definedName>
    <definedName name="BLPH74" localSheetId="2" hidden="1">#REF!</definedName>
    <definedName name="BLPH74" localSheetId="17" hidden="1">#REF!</definedName>
    <definedName name="BLPH74" localSheetId="19" hidden="1">#REF!</definedName>
    <definedName name="BLPH74" hidden="1">#REF!</definedName>
    <definedName name="BLPH75" localSheetId="15" hidden="1">#REF!</definedName>
    <definedName name="BLPH75" localSheetId="7" hidden="1">#REF!</definedName>
    <definedName name="BLPH75" localSheetId="0" hidden="1">#REF!</definedName>
    <definedName name="BLPH75" localSheetId="12" hidden="1">#REF!</definedName>
    <definedName name="BLPH75" localSheetId="8" hidden="1">#REF!</definedName>
    <definedName name="BLPH75" localSheetId="5" hidden="1">#REF!</definedName>
    <definedName name="BLPH75" localSheetId="2" hidden="1">#REF!</definedName>
    <definedName name="BLPH75" localSheetId="17" hidden="1">#REF!</definedName>
    <definedName name="BLPH75" localSheetId="19" hidden="1">#REF!</definedName>
    <definedName name="BLPH75" hidden="1">#REF!</definedName>
    <definedName name="BLPH76" localSheetId="15" hidden="1">#REF!</definedName>
    <definedName name="BLPH76" localSheetId="7" hidden="1">#REF!</definedName>
    <definedName name="BLPH76" localSheetId="0" hidden="1">#REF!</definedName>
    <definedName name="BLPH76" localSheetId="12" hidden="1">#REF!</definedName>
    <definedName name="BLPH76" localSheetId="8" hidden="1">#REF!</definedName>
    <definedName name="BLPH76" localSheetId="5" hidden="1">#REF!</definedName>
    <definedName name="BLPH76" localSheetId="2" hidden="1">#REF!</definedName>
    <definedName name="BLPH76" localSheetId="17" hidden="1">#REF!</definedName>
    <definedName name="BLPH76" localSheetId="19" hidden="1">#REF!</definedName>
    <definedName name="BLPH76" hidden="1">#REF!</definedName>
    <definedName name="BLPH77" localSheetId="15" hidden="1">#REF!</definedName>
    <definedName name="BLPH77" localSheetId="7" hidden="1">#REF!</definedName>
    <definedName name="BLPH77" localSheetId="0" hidden="1">#REF!</definedName>
    <definedName name="BLPH77" localSheetId="12" hidden="1">#REF!</definedName>
    <definedName name="BLPH77" localSheetId="8" hidden="1">#REF!</definedName>
    <definedName name="BLPH77" localSheetId="5" hidden="1">#REF!</definedName>
    <definedName name="BLPH77" localSheetId="2" hidden="1">#REF!</definedName>
    <definedName name="BLPH77" localSheetId="17" hidden="1">#REF!</definedName>
    <definedName name="BLPH77" localSheetId="19" hidden="1">#REF!</definedName>
    <definedName name="BLPH77" hidden="1">#REF!</definedName>
    <definedName name="BLPH78" localSheetId="15" hidden="1">#REF!</definedName>
    <definedName name="BLPH78" localSheetId="7" hidden="1">#REF!</definedName>
    <definedName name="BLPH78" localSheetId="0" hidden="1">#REF!</definedName>
    <definedName name="BLPH78" localSheetId="12" hidden="1">#REF!</definedName>
    <definedName name="BLPH78" localSheetId="8" hidden="1">#REF!</definedName>
    <definedName name="BLPH78" localSheetId="5" hidden="1">#REF!</definedName>
    <definedName name="BLPH78" localSheetId="2" hidden="1">#REF!</definedName>
    <definedName name="BLPH78" localSheetId="17" hidden="1">#REF!</definedName>
    <definedName name="BLPH78" localSheetId="19" hidden="1">#REF!</definedName>
    <definedName name="BLPH78" hidden="1">#REF!</definedName>
    <definedName name="BLPH79" localSheetId="15" hidden="1">#REF!</definedName>
    <definedName name="BLPH79" localSheetId="7" hidden="1">#REF!</definedName>
    <definedName name="BLPH79" localSheetId="0" hidden="1">#REF!</definedName>
    <definedName name="BLPH79" localSheetId="12" hidden="1">#REF!</definedName>
    <definedName name="BLPH79" localSheetId="8" hidden="1">#REF!</definedName>
    <definedName name="BLPH79" localSheetId="5" hidden="1">#REF!</definedName>
    <definedName name="BLPH79" localSheetId="2" hidden="1">#REF!</definedName>
    <definedName name="BLPH79" localSheetId="17" hidden="1">#REF!</definedName>
    <definedName name="BLPH79" localSheetId="19" hidden="1">#REF!</definedName>
    <definedName name="BLPH79" hidden="1">#REF!</definedName>
    <definedName name="BLPH8" hidden="1">[8]Peer8!$AQ$3</definedName>
    <definedName name="BLPH80" localSheetId="15" hidden="1">#REF!</definedName>
    <definedName name="BLPH80" localSheetId="7" hidden="1">#REF!</definedName>
    <definedName name="BLPH80" localSheetId="0" hidden="1">#REF!</definedName>
    <definedName name="BLPH80" localSheetId="12" hidden="1">#REF!</definedName>
    <definedName name="BLPH80" localSheetId="8" hidden="1">#REF!</definedName>
    <definedName name="BLPH80" localSheetId="5" hidden="1">#REF!</definedName>
    <definedName name="BLPH80" localSheetId="2" hidden="1">#REF!</definedName>
    <definedName name="BLPH80" localSheetId="17" hidden="1">#REF!</definedName>
    <definedName name="BLPH80" localSheetId="19" hidden="1">#REF!</definedName>
    <definedName name="BLPH80" hidden="1">#REF!</definedName>
    <definedName name="BLPH81" localSheetId="15" hidden="1">#REF!</definedName>
    <definedName name="BLPH81" localSheetId="7" hidden="1">#REF!</definedName>
    <definedName name="BLPH81" localSheetId="0" hidden="1">#REF!</definedName>
    <definedName name="BLPH81" localSheetId="12" hidden="1">#REF!</definedName>
    <definedName name="BLPH81" localSheetId="8" hidden="1">#REF!</definedName>
    <definedName name="BLPH81" localSheetId="5" hidden="1">#REF!</definedName>
    <definedName name="BLPH81" localSheetId="2" hidden="1">#REF!</definedName>
    <definedName name="BLPH81" localSheetId="17" hidden="1">#REF!</definedName>
    <definedName name="BLPH81" localSheetId="19" hidden="1">#REF!</definedName>
    <definedName name="BLPH81" hidden="1">#REF!</definedName>
    <definedName name="BLPH82" localSheetId="15" hidden="1">#REF!</definedName>
    <definedName name="BLPH82" localSheetId="7" hidden="1">#REF!</definedName>
    <definedName name="BLPH82" localSheetId="0" hidden="1">#REF!</definedName>
    <definedName name="BLPH82" localSheetId="12" hidden="1">#REF!</definedName>
    <definedName name="BLPH82" localSheetId="8" hidden="1">#REF!</definedName>
    <definedName name="BLPH82" localSheetId="5" hidden="1">#REF!</definedName>
    <definedName name="BLPH82" localSheetId="2" hidden="1">#REF!</definedName>
    <definedName name="BLPH82" localSheetId="17" hidden="1">#REF!</definedName>
    <definedName name="BLPH82" localSheetId="19" hidden="1">#REF!</definedName>
    <definedName name="BLPH82" hidden="1">#REF!</definedName>
    <definedName name="BLPH83" localSheetId="15" hidden="1">#REF!</definedName>
    <definedName name="BLPH83" localSheetId="7" hidden="1">#REF!</definedName>
    <definedName name="BLPH83" localSheetId="0" hidden="1">#REF!</definedName>
    <definedName name="BLPH83" localSheetId="12" hidden="1">#REF!</definedName>
    <definedName name="BLPH83" localSheetId="8" hidden="1">#REF!</definedName>
    <definedName name="BLPH83" localSheetId="5" hidden="1">#REF!</definedName>
    <definedName name="BLPH83" localSheetId="2" hidden="1">#REF!</definedName>
    <definedName name="BLPH83" localSheetId="17" hidden="1">#REF!</definedName>
    <definedName name="BLPH83" localSheetId="19" hidden="1">#REF!</definedName>
    <definedName name="BLPH83" hidden="1">#REF!</definedName>
    <definedName name="BLPH84" localSheetId="15" hidden="1">#REF!</definedName>
    <definedName name="BLPH84" localSheetId="7" hidden="1">#REF!</definedName>
    <definedName name="BLPH84" localSheetId="0" hidden="1">#REF!</definedName>
    <definedName name="BLPH84" localSheetId="12" hidden="1">#REF!</definedName>
    <definedName name="BLPH84" localSheetId="8" hidden="1">#REF!</definedName>
    <definedName name="BLPH84" localSheetId="5" hidden="1">#REF!</definedName>
    <definedName name="BLPH84" localSheetId="2" hidden="1">#REF!</definedName>
    <definedName name="BLPH84" localSheetId="17" hidden="1">#REF!</definedName>
    <definedName name="BLPH84" localSheetId="19" hidden="1">#REF!</definedName>
    <definedName name="BLPH84" hidden="1">#REF!</definedName>
    <definedName name="BLPH85" localSheetId="15" hidden="1">#REF!</definedName>
    <definedName name="BLPH85" localSheetId="7" hidden="1">#REF!</definedName>
    <definedName name="BLPH85" localSheetId="0" hidden="1">#REF!</definedName>
    <definedName name="BLPH85" localSheetId="12" hidden="1">#REF!</definedName>
    <definedName name="BLPH85" localSheetId="8" hidden="1">#REF!</definedName>
    <definedName name="BLPH85" localSheetId="5" hidden="1">#REF!</definedName>
    <definedName name="BLPH85" localSheetId="2" hidden="1">#REF!</definedName>
    <definedName name="BLPH85" localSheetId="17" hidden="1">#REF!</definedName>
    <definedName name="BLPH85" localSheetId="19" hidden="1">#REF!</definedName>
    <definedName name="BLPH85" hidden="1">#REF!</definedName>
    <definedName name="BLPH86" localSheetId="15" hidden="1">#REF!</definedName>
    <definedName name="BLPH86" localSheetId="7" hidden="1">#REF!</definedName>
    <definedName name="BLPH86" localSheetId="0" hidden="1">#REF!</definedName>
    <definedName name="BLPH86" localSheetId="12" hidden="1">#REF!</definedName>
    <definedName name="BLPH86" localSheetId="8" hidden="1">#REF!</definedName>
    <definedName name="BLPH86" localSheetId="5" hidden="1">#REF!</definedName>
    <definedName name="BLPH86" localSheetId="2" hidden="1">#REF!</definedName>
    <definedName name="BLPH86" localSheetId="17" hidden="1">#REF!</definedName>
    <definedName name="BLPH86" localSheetId="19" hidden="1">#REF!</definedName>
    <definedName name="BLPH86" hidden="1">#REF!</definedName>
    <definedName name="BLPH87" localSheetId="15" hidden="1">#REF!</definedName>
    <definedName name="BLPH87" localSheetId="7" hidden="1">#REF!</definedName>
    <definedName name="BLPH87" localSheetId="0" hidden="1">#REF!</definedName>
    <definedName name="BLPH87" localSheetId="12" hidden="1">#REF!</definedName>
    <definedName name="BLPH87" localSheetId="8" hidden="1">#REF!</definedName>
    <definedName name="BLPH87" localSheetId="5" hidden="1">#REF!</definedName>
    <definedName name="BLPH87" localSheetId="2" hidden="1">#REF!</definedName>
    <definedName name="BLPH87" localSheetId="17" hidden="1">#REF!</definedName>
    <definedName name="BLPH87" localSheetId="19" hidden="1">#REF!</definedName>
    <definedName name="BLPH87" hidden="1">#REF!</definedName>
    <definedName name="BLPH88" localSheetId="15" hidden="1">#REF!</definedName>
    <definedName name="BLPH88" localSheetId="7" hidden="1">#REF!</definedName>
    <definedName name="BLPH88" localSheetId="0" hidden="1">#REF!</definedName>
    <definedName name="BLPH88" localSheetId="12" hidden="1">#REF!</definedName>
    <definedName name="BLPH88" localSheetId="8" hidden="1">#REF!</definedName>
    <definedName name="BLPH88" localSheetId="5" hidden="1">#REF!</definedName>
    <definedName name="BLPH88" localSheetId="2" hidden="1">#REF!</definedName>
    <definedName name="BLPH88" localSheetId="17" hidden="1">#REF!</definedName>
    <definedName name="BLPH88" localSheetId="19" hidden="1">#REF!</definedName>
    <definedName name="BLPH88" hidden="1">#REF!</definedName>
    <definedName name="BLPH89" localSheetId="15" hidden="1">#REF!</definedName>
    <definedName name="BLPH89" localSheetId="7" hidden="1">#REF!</definedName>
    <definedName name="BLPH89" localSheetId="0" hidden="1">#REF!</definedName>
    <definedName name="BLPH89" localSheetId="12" hidden="1">#REF!</definedName>
    <definedName name="BLPH89" localSheetId="8" hidden="1">#REF!</definedName>
    <definedName name="BLPH89" localSheetId="5" hidden="1">#REF!</definedName>
    <definedName name="BLPH89" localSheetId="2" hidden="1">#REF!</definedName>
    <definedName name="BLPH89" localSheetId="17" hidden="1">#REF!</definedName>
    <definedName name="BLPH89" localSheetId="19" hidden="1">#REF!</definedName>
    <definedName name="BLPH89" hidden="1">#REF!</definedName>
    <definedName name="BLPH9" hidden="1">[8]Peer9!$AQ$3</definedName>
    <definedName name="BLPH90" localSheetId="15" hidden="1">#REF!</definedName>
    <definedName name="BLPH90" localSheetId="7" hidden="1">#REF!</definedName>
    <definedName name="BLPH90" localSheetId="0" hidden="1">#REF!</definedName>
    <definedName name="BLPH90" localSheetId="12" hidden="1">#REF!</definedName>
    <definedName name="BLPH90" localSheetId="8" hidden="1">#REF!</definedName>
    <definedName name="BLPH90" localSheetId="5" hidden="1">#REF!</definedName>
    <definedName name="BLPH90" localSheetId="2" hidden="1">#REF!</definedName>
    <definedName name="BLPH90" localSheetId="17" hidden="1">#REF!</definedName>
    <definedName name="BLPH90" localSheetId="19" hidden="1">#REF!</definedName>
    <definedName name="BLPH90" hidden="1">#REF!</definedName>
    <definedName name="BLPH91" localSheetId="15" hidden="1">#REF!</definedName>
    <definedName name="BLPH91" localSheetId="7" hidden="1">#REF!</definedName>
    <definedName name="BLPH91" localSheetId="0" hidden="1">#REF!</definedName>
    <definedName name="BLPH91" localSheetId="12" hidden="1">#REF!</definedName>
    <definedName name="BLPH91" localSheetId="8" hidden="1">#REF!</definedName>
    <definedName name="BLPH91" localSheetId="5" hidden="1">#REF!</definedName>
    <definedName name="BLPH91" localSheetId="2" hidden="1">#REF!</definedName>
    <definedName name="BLPH91" localSheetId="17" hidden="1">#REF!</definedName>
    <definedName name="BLPH91" localSheetId="19" hidden="1">#REF!</definedName>
    <definedName name="BLPH91" hidden="1">#REF!</definedName>
    <definedName name="BLPH92" localSheetId="15" hidden="1">#REF!</definedName>
    <definedName name="BLPH92" localSheetId="7" hidden="1">#REF!</definedName>
    <definedName name="BLPH92" localSheetId="0" hidden="1">#REF!</definedName>
    <definedName name="BLPH92" localSheetId="12" hidden="1">#REF!</definedName>
    <definedName name="BLPH92" localSheetId="8" hidden="1">#REF!</definedName>
    <definedName name="BLPH92" localSheetId="5" hidden="1">#REF!</definedName>
    <definedName name="BLPH92" localSheetId="2" hidden="1">#REF!</definedName>
    <definedName name="BLPH92" localSheetId="17" hidden="1">#REF!</definedName>
    <definedName name="BLPH92" localSheetId="19" hidden="1">#REF!</definedName>
    <definedName name="BLPH92" hidden="1">#REF!</definedName>
    <definedName name="BLPH93" localSheetId="15" hidden="1">#REF!</definedName>
    <definedName name="BLPH93" localSheetId="7" hidden="1">#REF!</definedName>
    <definedName name="BLPH93" localSheetId="0" hidden="1">#REF!</definedName>
    <definedName name="BLPH93" localSheetId="12" hidden="1">#REF!</definedName>
    <definedName name="BLPH93" localSheetId="8" hidden="1">#REF!</definedName>
    <definedName name="BLPH93" localSheetId="5" hidden="1">#REF!</definedName>
    <definedName name="BLPH93" localSheetId="2" hidden="1">#REF!</definedName>
    <definedName name="BLPH93" localSheetId="17" hidden="1">#REF!</definedName>
    <definedName name="BLPH93" localSheetId="19" hidden="1">#REF!</definedName>
    <definedName name="BLPH93" hidden="1">#REF!</definedName>
    <definedName name="BLPH94" localSheetId="15" hidden="1">#REF!</definedName>
    <definedName name="BLPH94" localSheetId="7" hidden="1">#REF!</definedName>
    <definedName name="BLPH94" localSheetId="0" hidden="1">#REF!</definedName>
    <definedName name="BLPH94" localSheetId="12" hidden="1">#REF!</definedName>
    <definedName name="BLPH94" localSheetId="8" hidden="1">#REF!</definedName>
    <definedName name="BLPH94" localSheetId="5" hidden="1">#REF!</definedName>
    <definedName name="BLPH94" localSheetId="2" hidden="1">#REF!</definedName>
    <definedName name="BLPH94" localSheetId="17" hidden="1">#REF!</definedName>
    <definedName name="BLPH94" localSheetId="19" hidden="1">#REF!</definedName>
    <definedName name="BLPH94" hidden="1">#REF!</definedName>
    <definedName name="BLPH95" localSheetId="15" hidden="1">#REF!</definedName>
    <definedName name="BLPH95" localSheetId="7" hidden="1">#REF!</definedName>
    <definedName name="BLPH95" localSheetId="0" hidden="1">#REF!</definedName>
    <definedName name="BLPH95" localSheetId="12" hidden="1">#REF!</definedName>
    <definedName name="BLPH95" localSheetId="8" hidden="1">#REF!</definedName>
    <definedName name="BLPH95" localSheetId="5" hidden="1">#REF!</definedName>
    <definedName name="BLPH95" localSheetId="2" hidden="1">#REF!</definedName>
    <definedName name="BLPH95" localSheetId="17" hidden="1">#REF!</definedName>
    <definedName name="BLPH95" localSheetId="19" hidden="1">#REF!</definedName>
    <definedName name="BLPH95" hidden="1">#REF!</definedName>
    <definedName name="BLPH96" localSheetId="15" hidden="1">#REF!</definedName>
    <definedName name="BLPH96" localSheetId="7" hidden="1">#REF!</definedName>
    <definedName name="BLPH96" localSheetId="0" hidden="1">#REF!</definedName>
    <definedName name="BLPH96" localSheetId="12" hidden="1">#REF!</definedName>
    <definedName name="BLPH96" localSheetId="8" hidden="1">#REF!</definedName>
    <definedName name="BLPH96" localSheetId="5" hidden="1">#REF!</definedName>
    <definedName name="BLPH96" localSheetId="2" hidden="1">#REF!</definedName>
    <definedName name="BLPH96" localSheetId="17" hidden="1">#REF!</definedName>
    <definedName name="BLPH96" localSheetId="19" hidden="1">#REF!</definedName>
    <definedName name="BLPH96" hidden="1">#REF!</definedName>
    <definedName name="BLPH97" localSheetId="15" hidden="1">#REF!</definedName>
    <definedName name="BLPH97" localSheetId="7" hidden="1">#REF!</definedName>
    <definedName name="BLPH97" localSheetId="0" hidden="1">#REF!</definedName>
    <definedName name="BLPH97" localSheetId="12" hidden="1">#REF!</definedName>
    <definedName name="BLPH97" localSheetId="8" hidden="1">#REF!</definedName>
    <definedName name="BLPH97" localSheetId="5" hidden="1">#REF!</definedName>
    <definedName name="BLPH97" localSheetId="2" hidden="1">#REF!</definedName>
    <definedName name="BLPH97" localSheetId="17" hidden="1">#REF!</definedName>
    <definedName name="BLPH97" localSheetId="19" hidden="1">#REF!</definedName>
    <definedName name="BLPH97" hidden="1">#REF!</definedName>
    <definedName name="BLPH98" localSheetId="15" hidden="1">#REF!</definedName>
    <definedName name="BLPH98" localSheetId="7" hidden="1">#REF!</definedName>
    <definedName name="BLPH98" localSheetId="0" hidden="1">#REF!</definedName>
    <definedName name="BLPH98" localSheetId="12" hidden="1">#REF!</definedName>
    <definedName name="BLPH98" localSheetId="8" hidden="1">#REF!</definedName>
    <definedName name="BLPH98" localSheetId="5" hidden="1">#REF!</definedName>
    <definedName name="BLPH98" localSheetId="2" hidden="1">#REF!</definedName>
    <definedName name="BLPH98" localSheetId="17" hidden="1">#REF!</definedName>
    <definedName name="BLPH98" localSheetId="19" hidden="1">#REF!</definedName>
    <definedName name="BLPH98" hidden="1">#REF!</definedName>
    <definedName name="BLPH99" localSheetId="15" hidden="1">#REF!</definedName>
    <definedName name="BLPH99" localSheetId="7" hidden="1">#REF!</definedName>
    <definedName name="BLPH99" localSheetId="0" hidden="1">#REF!</definedName>
    <definedName name="BLPH99" localSheetId="12" hidden="1">#REF!</definedName>
    <definedName name="BLPH99" localSheetId="8" hidden="1">#REF!</definedName>
    <definedName name="BLPH99" localSheetId="5" hidden="1">#REF!</definedName>
    <definedName name="BLPH99" localSheetId="2" hidden="1">#REF!</definedName>
    <definedName name="BLPH99" localSheetId="17" hidden="1">#REF!</definedName>
    <definedName name="BLPH99" localSheetId="19" hidden="1">#REF!</definedName>
    <definedName name="BLPH99" hidden="1">#REF!</definedName>
    <definedName name="bnnn" localSheetId="12" hidden="1">{"mgmt forecast",#N/A,FALSE,"Mgmt Forecast";"dcf table",#N/A,FALSE,"Mgmt Forecast";"sensitivity",#N/A,FALSE,"Mgmt Forecast";"table inputs",#N/A,FALSE,"Mgmt Forecast";"calculations",#N/A,FALSE,"Mgmt Forecast"}</definedName>
    <definedName name="bnnn" localSheetId="8" hidden="1">{"mgmt forecast",#N/A,FALSE,"Mgmt Forecast";"dcf table",#N/A,FALSE,"Mgmt Forecast";"sensitivity",#N/A,FALSE,"Mgmt Forecast";"table inputs",#N/A,FALSE,"Mgmt Forecast";"calculations",#N/A,FALSE,"Mgmt Forecast"}</definedName>
    <definedName name="bnnn" localSheetId="4" hidden="1">{"mgmt forecast",#N/A,FALSE,"Mgmt Forecast";"dcf table",#N/A,FALSE,"Mgmt Forecast";"sensitivity",#N/A,FALSE,"Mgmt Forecast";"table inputs",#N/A,FALSE,"Mgmt Forecast";"calculations",#N/A,FALSE,"Mgmt Forecast"}</definedName>
    <definedName name="bnnn" localSheetId="2" hidden="1">{"mgmt forecast",#N/A,FALSE,"Mgmt Forecast";"dcf table",#N/A,FALSE,"Mgmt Forecast";"sensitivity",#N/A,FALSE,"Mgmt Forecast";"table inputs",#N/A,FALSE,"Mgmt Forecast";"calculations",#N/A,FALSE,"Mgmt Forecast"}</definedName>
    <definedName name="bnnn" localSheetId="19"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S_Additional_Capital">BS!$M$62:$AE$62</definedName>
    <definedName name="BS_Cash">BS!$M$14:$AE$14</definedName>
    <definedName name="BS_Contract_Assets">BS!$M$20:$AE$20</definedName>
    <definedName name="BS_Contract_Liabilities_Current">BS!$M$43:$AE$43</definedName>
    <definedName name="BS_Contract_Liabilities_Non_Current">BS!$M$55:$AE$55</definedName>
    <definedName name="BS_Cur_Investments">BS!$M$15:$AE$15</definedName>
    <definedName name="BS_Debt_Current">BS!$M$39:$AE$39</definedName>
    <definedName name="BS_Debt_Non_Current">BS!$M$51:$AE$51</definedName>
    <definedName name="BS_Deferred_Income_Current">BS!$M$44:$AE$44</definedName>
    <definedName name="BS_Deferred_Income_Non_Current">BS!$M$56:$AE$56</definedName>
    <definedName name="BS_Deferred_Tax">BS!$M$30:$AE$30</definedName>
    <definedName name="BS_Equity">BS!$M$64:$AE$64</definedName>
    <definedName name="BS_Goodwill">BS!$M$29:$AE$29</definedName>
    <definedName name="BS_Intangible">BS!$M$28:$AE$28</definedName>
    <definedName name="BS_Inventories">BS!$M$18:$AE$18</definedName>
    <definedName name="BS_Lease_Current">BS!$M$40:$AE$40</definedName>
    <definedName name="BS_Lease_Non_Current">BS!$M$52:$AE$52</definedName>
    <definedName name="BS_LT_Investments">BS!$M$26:$AE$26</definedName>
    <definedName name="BS_Non_Cur_Tax_Rec">BS!$M$31:$AE$31</definedName>
    <definedName name="BS_Other_Curr_FA">BS!$M$21:$AE$21</definedName>
    <definedName name="BS_Other_FA_Current">BS!$M$46:$AE$46</definedName>
    <definedName name="BS_Other_FA_Non_Current">BS!$M$57:$AE$57</definedName>
    <definedName name="BS_Other_FA_NonCur">BS!$M$32:$AE$32</definedName>
    <definedName name="BS_Other_NonCur_Assets">BS!$M$33:$AE$33</definedName>
    <definedName name="BS_Other_NonCurrent_Assets">BS!$M$47:$AE$47</definedName>
    <definedName name="BS_Other_NonCurrent_Liabilities">BS!$M$47:$AD$47</definedName>
    <definedName name="BS_Other_Receivables">BS!$M$17:$AE$17</definedName>
    <definedName name="BS_Payables">BS!$M$41:$AE$41</definedName>
    <definedName name="BS_PPE">BS!$M$27:$AE$27</definedName>
    <definedName name="BS_Prepaid_Expenses">BS!$M$22:$AE$22</definedName>
    <definedName name="BS_Provisions_Current">BS!$M$42:$AE$42</definedName>
    <definedName name="BS_Provisions_Non_Current">BS!$M$54:$AE$54</definedName>
    <definedName name="BS_Retained_Reserves">BS!$M$63:$AE$63</definedName>
    <definedName name="BS_Share_Capital">BS!$M$61:$AE$61</definedName>
    <definedName name="BS_Tax_Deferred">BS!$M$53:$AE$53</definedName>
    <definedName name="BS_Tax_Payable">BS!$M$45:$AE$45</definedName>
    <definedName name="BS_Tax_Receivables">BS!$M$19:$AE$19</definedName>
    <definedName name="BS_Total_Assets">BS!$M$36:$AD$36</definedName>
    <definedName name="BS_Trade_Receivables">BS!$M$16:$AE$16</definedName>
    <definedName name="ccc" localSheetId="12" hidden="1">{"orixcsc",#N/A,FALSE,"ORIX CSC";"orixcsc2",#N/A,FALSE,"ORIX CSC"}</definedName>
    <definedName name="ccc" localSheetId="8" hidden="1">{"orixcsc",#N/A,FALSE,"ORIX CSC";"orixcsc2",#N/A,FALSE,"ORIX CSC"}</definedName>
    <definedName name="ccc" localSheetId="4" hidden="1">{"orixcsc",#N/A,FALSE,"ORIX CSC";"orixcsc2",#N/A,FALSE,"ORIX CSC"}</definedName>
    <definedName name="ccc" localSheetId="2" hidden="1">{"orixcsc",#N/A,FALSE,"ORIX CSC";"orixcsc2",#N/A,FALSE,"ORIX CSC"}</definedName>
    <definedName name="ccc" localSheetId="19" hidden="1">{"orixcsc",#N/A,FALSE,"ORIX CSC";"orixcsc2",#N/A,FALSE,"ORIX CSC"}</definedName>
    <definedName name="ccc" hidden="1">{"orixcsc",#N/A,FALSE,"ORIX CSC";"orixcsc2",#N/A,FALSE,"ORIX CSC"}</definedName>
    <definedName name="CF_Beginning_Cash">CF!$M$38:$AF$38</definedName>
    <definedName name="CF_Capital">CF!$M$29:$AF$29</definedName>
    <definedName name="CF_Capital_Expenditure">CF!$M$25:$AF$25</definedName>
    <definedName name="CF_Capital_Expenditure_Intangibles">CF!$M$26:$AF$26</definedName>
    <definedName name="CF_Change_Cash">CF!$M$36:$AF$36</definedName>
    <definedName name="CF_ContrAssets">CF!$M$17:$AF$17</definedName>
    <definedName name="CF_ContrLiabilities_Current">CF!$M$21:$AF$21</definedName>
    <definedName name="CF_Debt_Proceeds">CF!$M$30:$AF$30</definedName>
    <definedName name="CF_Debt_Repayment">CF!$M$32:$AF$32</definedName>
    <definedName name="CF_Dividends">CF!$M$35:$AF$35</definedName>
    <definedName name="CF_EBITDA">CF!$M$13:$AF$13</definedName>
    <definedName name="CF_Ending_Cash">CF!$M$39:$AF$39</definedName>
    <definedName name="CF_FCFE">CF!$M$34:$AF$34</definedName>
    <definedName name="CF_FCFF">CF!$M$28:$AF$28</definedName>
    <definedName name="CF_Finance_Lease">CF!$M$31:$AF$31</definedName>
    <definedName name="CF_Interest_Paid">CF!$M$33:$AF$33</definedName>
    <definedName name="CF_Inventories">CF!$M$16:$AF$16</definedName>
    <definedName name="CF_Investments">CF!$M$27:$AF$27</definedName>
    <definedName name="CF_Operating_CF">CF!$M$24:$AF$24</definedName>
    <definedName name="CF_Other_Current_Liabilities">CF!$M$22:$AD$22</definedName>
    <definedName name="CF_Other_NonCurrent_Assets">CF!$M$22:$AF$22</definedName>
    <definedName name="CF_Other_NonCurrent_Liabilities">CF!$M$22:$AD$22</definedName>
    <definedName name="CF_Payables">CF!$M$19:$AF$19</definedName>
    <definedName name="CF_Prepaid_Expenses">CF!$M$18:$AF$18</definedName>
    <definedName name="CF_Provisions_Current">CF!$M$20:$AF$20</definedName>
    <definedName name="CF_Receivables">CF!$M$15:$AF$15</definedName>
    <definedName name="CF_Tax_Paid">CF!$M$23:$AF$23</definedName>
    <definedName name="CF_Working_Capital_Changes">CF!$M$14:$AF$14</definedName>
    <definedName name="changename" localSheetId="12" hidden="1">{#N/A,#N/A,FALSE,"Assessment";#N/A,#N/A,FALSE,"Staffing";#N/A,#N/A,FALSE,"Hires";#N/A,#N/A,FALSE,"Assumptions"}</definedName>
    <definedName name="changename" localSheetId="8" hidden="1">{#N/A,#N/A,FALSE,"Assessment";#N/A,#N/A,FALSE,"Staffing";#N/A,#N/A,FALSE,"Hires";#N/A,#N/A,FALSE,"Assumptions"}</definedName>
    <definedName name="changename" localSheetId="4" hidden="1">{#N/A,#N/A,FALSE,"Assessment";#N/A,#N/A,FALSE,"Staffing";#N/A,#N/A,FALSE,"Hires";#N/A,#N/A,FALSE,"Assumptions"}</definedName>
    <definedName name="changename" localSheetId="2" hidden="1">{#N/A,#N/A,FALSE,"Assessment";#N/A,#N/A,FALSE,"Staffing";#N/A,#N/A,FALSE,"Hires";#N/A,#N/A,FALSE,"Assumptions"}</definedName>
    <definedName name="changename" localSheetId="19" hidden="1">{#N/A,#N/A,FALSE,"Assessment";#N/A,#N/A,FALSE,"Staffing";#N/A,#N/A,FALSE,"Hires";#N/A,#N/A,FALSE,"Assumptions"}</definedName>
    <definedName name="changename" hidden="1">{#N/A,#N/A,FALSE,"Assessment";#N/A,#N/A,FALSE,"Staffing";#N/A,#N/A,FALSE,"Hires";#N/A,#N/A,FALSE,"Assumptions"}</definedName>
    <definedName name="CIQWBGuid" localSheetId="19" hidden="1">"63a8dc78-8c7e-44aa-bddb-1b8b6a055b9f"</definedName>
    <definedName name="CIQWBGuid" hidden="1">"63a8dc78-8c7e-44aa-bddb-1b8b6a055b9f"</definedName>
    <definedName name="Cost_12" localSheetId="15" hidden="1">#REF!</definedName>
    <definedName name="Cost_12" localSheetId="7" hidden="1">#REF!</definedName>
    <definedName name="Cost_12" localSheetId="0" hidden="1">#REF!</definedName>
    <definedName name="Cost_12" localSheetId="12" hidden="1">#REF!</definedName>
    <definedName name="Cost_12" localSheetId="8" hidden="1">#REF!</definedName>
    <definedName name="Cost_12" localSheetId="5" hidden="1">#REF!</definedName>
    <definedName name="Cost_12" localSheetId="2" hidden="1">#REF!</definedName>
    <definedName name="Cost_12" localSheetId="17" hidden="1">#REF!</definedName>
    <definedName name="Cost_12" localSheetId="19" hidden="1">#REF!</definedName>
    <definedName name="Cost_12" hidden="1">#REF!</definedName>
    <definedName name="Costs_Cost_of_Revenue">'Revenue &amp; Costs'!$M$37:$AD$37</definedName>
    <definedName name="Costs_Other_Expense">'Revenue &amp; Costs'!$M$44:$AD$44</definedName>
    <definedName name="Costs_Other_Income">'Revenue &amp; Costs'!$M$43:$AD$43</definedName>
    <definedName name="Costs_R_D">'Revenue &amp; Costs'!$M$38:$AD$38</definedName>
    <definedName name="Costs_SGA">'Revenue &amp; Costs'!$M$39:$AD$39</definedName>
    <definedName name="coun" localSheetId="12" hidden="1">{#N/A,#N/A,FALSE,"Assessment";#N/A,#N/A,FALSE,"Staffing";#N/A,#N/A,FALSE,"Hires";#N/A,#N/A,FALSE,"Assumptions"}</definedName>
    <definedName name="coun" localSheetId="8" hidden="1">{#N/A,#N/A,FALSE,"Assessment";#N/A,#N/A,FALSE,"Staffing";#N/A,#N/A,FALSE,"Hires";#N/A,#N/A,FALSE,"Assumptions"}</definedName>
    <definedName name="coun" localSheetId="4" hidden="1">{#N/A,#N/A,FALSE,"Assessment";#N/A,#N/A,FALSE,"Staffing";#N/A,#N/A,FALSE,"Hires";#N/A,#N/A,FALSE,"Assumptions"}</definedName>
    <definedName name="coun" localSheetId="2" hidden="1">{#N/A,#N/A,FALSE,"Assessment";#N/A,#N/A,FALSE,"Staffing";#N/A,#N/A,FALSE,"Hires";#N/A,#N/A,FALSE,"Assumptions"}</definedName>
    <definedName name="coun" localSheetId="19" hidden="1">{#N/A,#N/A,FALSE,"Assessment";#N/A,#N/A,FALSE,"Staffing";#N/A,#N/A,FALSE,"Hires";#N/A,#N/A,FALSE,"Assumptions"}</definedName>
    <definedName name="coun" hidden="1">{#N/A,#N/A,FALSE,"Assessment";#N/A,#N/A,FALSE,"Staffing";#N/A,#N/A,FALSE,"Hires";#N/A,#N/A,FALSE,"Assumptions"}</definedName>
    <definedName name="COUNT2" localSheetId="12" hidden="1">{#N/A,#N/A,FALSE,"Assessment";#N/A,#N/A,FALSE,"Staffing";#N/A,#N/A,FALSE,"Hires";#N/A,#N/A,FALSE,"Assumptions"}</definedName>
    <definedName name="COUNT2" localSheetId="8" hidden="1">{#N/A,#N/A,FALSE,"Assessment";#N/A,#N/A,FALSE,"Staffing";#N/A,#N/A,FALSE,"Hires";#N/A,#N/A,FALSE,"Assumptions"}</definedName>
    <definedName name="COUNT2" localSheetId="4" hidden="1">{#N/A,#N/A,FALSE,"Assessment";#N/A,#N/A,FALSE,"Staffing";#N/A,#N/A,FALSE,"Hires";#N/A,#N/A,FALSE,"Assumptions"}</definedName>
    <definedName name="COUNT2" localSheetId="2" hidden="1">{#N/A,#N/A,FALSE,"Assessment";#N/A,#N/A,FALSE,"Staffing";#N/A,#N/A,FALSE,"Hires";#N/A,#N/A,FALSE,"Assumptions"}</definedName>
    <definedName name="COUNT2" localSheetId="19" hidden="1">{#N/A,#N/A,FALSE,"Assessment";#N/A,#N/A,FALSE,"Staffing";#N/A,#N/A,FALSE,"Hires";#N/A,#N/A,FALSE,"Assumptions"}</definedName>
    <definedName name="COUNT2" hidden="1">{#N/A,#N/A,FALSE,"Assessment";#N/A,#N/A,FALSE,"Staffing";#N/A,#N/A,FALSE,"Hires";#N/A,#N/A,FALSE,"Assumptions"}</definedName>
    <definedName name="COUNTRY" localSheetId="12" hidden="1">{#N/A,#N/A,FALSE,"Assessment";#N/A,#N/A,FALSE,"Staffing";#N/A,#N/A,FALSE,"Hires";#N/A,#N/A,FALSE,"Assumptions"}</definedName>
    <definedName name="COUNTRY" localSheetId="8" hidden="1">{#N/A,#N/A,FALSE,"Assessment";#N/A,#N/A,FALSE,"Staffing";#N/A,#N/A,FALSE,"Hires";#N/A,#N/A,FALSE,"Assumptions"}</definedName>
    <definedName name="COUNTRY" localSheetId="4" hidden="1">{#N/A,#N/A,FALSE,"Assessment";#N/A,#N/A,FALSE,"Staffing";#N/A,#N/A,FALSE,"Hires";#N/A,#N/A,FALSE,"Assumptions"}</definedName>
    <definedName name="COUNTRY" localSheetId="2" hidden="1">{#N/A,#N/A,FALSE,"Assessment";#N/A,#N/A,FALSE,"Staffing";#N/A,#N/A,FALSE,"Hires";#N/A,#N/A,FALSE,"Assumptions"}</definedName>
    <definedName name="COUNTRY" localSheetId="19" hidden="1">{#N/A,#N/A,FALSE,"Assessment";#N/A,#N/A,FALSE,"Staffing";#N/A,#N/A,FALSE,"Hires";#N/A,#N/A,FALSE,"Assumptions"}</definedName>
    <definedName name="COUNTRY" hidden="1">{#N/A,#N/A,FALSE,"Assessment";#N/A,#N/A,FALSE,"Staffing";#N/A,#N/A,FALSE,"Hires";#N/A,#N/A,FALSE,"Assumptions"}</definedName>
    <definedName name="Cwvu.New._.Format." localSheetId="15" hidden="1">#REF!</definedName>
    <definedName name="Cwvu.New._.Format." localSheetId="7" hidden="1">#REF!</definedName>
    <definedName name="Cwvu.New._.Format." localSheetId="0" hidden="1">#REF!</definedName>
    <definedName name="Cwvu.New._.Format." localSheetId="12" hidden="1">#REF!</definedName>
    <definedName name="Cwvu.New._.Format." localSheetId="8" hidden="1">#REF!</definedName>
    <definedName name="Cwvu.New._.Format." localSheetId="4" hidden="1">#REF!</definedName>
    <definedName name="Cwvu.New._.Format." localSheetId="5" hidden="1">#REF!</definedName>
    <definedName name="Cwvu.New._.Format." localSheetId="2" hidden="1">#REF!</definedName>
    <definedName name="Cwvu.New._.Format." localSheetId="17" hidden="1">#REF!</definedName>
    <definedName name="Cwvu.New._.Format." localSheetId="19" hidden="1">#REF!</definedName>
    <definedName name="Cwvu.New._.Format." hidden="1">#REF!</definedName>
    <definedName name="dafsadfsadfsadf" localSheetId="19" hidden="1">#REF!</definedName>
    <definedName name="dafsadfsadfsadf" hidden="1">#REF!</definedName>
    <definedName name="DASFGDFGDFG" localSheetId="19" hidden="1">#REF!</definedName>
    <definedName name="DASFGDFGDFG" hidden="1">#REF!</definedName>
    <definedName name="DDD" localSheetId="12" hidden="1">{"DCF",#N/A,FALSE,"CF"}</definedName>
    <definedName name="DDD" localSheetId="8" hidden="1">{"DCF",#N/A,FALSE,"CF"}</definedName>
    <definedName name="DDD" localSheetId="4" hidden="1">{"DCF",#N/A,FALSE,"CF"}</definedName>
    <definedName name="DDD" localSheetId="2" hidden="1">{"DCF",#N/A,FALSE,"CF"}</definedName>
    <definedName name="DDD" localSheetId="19" hidden="1">{"DCF",#N/A,FALSE,"CF"}</definedName>
    <definedName name="DDD" hidden="1">{"DCF",#N/A,FALSE,"CF"}</definedName>
    <definedName name="ddddd" localSheetId="1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8"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4"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2"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localSheetId="19"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dddd"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dfsdafsdfsadf" localSheetId="19" hidden="1">#REF!</definedName>
    <definedName name="dfsdafsdfsadf" hidden="1">#REF!</definedName>
    <definedName name="dgfhgf" localSheetId="12" hidden="1">{#N/A,#N/A,FALSE,"ORIX CSC"}</definedName>
    <definedName name="dgfhgf" localSheetId="8" hidden="1">{#N/A,#N/A,FALSE,"ORIX CSC"}</definedName>
    <definedName name="dgfhgf" localSheetId="4" hidden="1">{#N/A,#N/A,FALSE,"ORIX CSC"}</definedName>
    <definedName name="dgfhgf" localSheetId="2" hidden="1">{#N/A,#N/A,FALSE,"ORIX CSC"}</definedName>
    <definedName name="dgfhgf" localSheetId="19" hidden="1">{#N/A,#N/A,FALSE,"ORIX CSC"}</definedName>
    <definedName name="dgfhgf" hidden="1">{#N/A,#N/A,FALSE,"ORIX CSC"}</definedName>
    <definedName name="dhgdh" localSheetId="12" hidden="1">{"mgmt forecast",#N/A,FALSE,"Mgmt Forecast";"dcf table",#N/A,FALSE,"Mgmt Forecast";"sensitivity",#N/A,FALSE,"Mgmt Forecast";"table inputs",#N/A,FALSE,"Mgmt Forecast";"calculations",#N/A,FALSE,"Mgmt Forecast"}</definedName>
    <definedName name="dhgdh" localSheetId="8" hidden="1">{"mgmt forecast",#N/A,FALSE,"Mgmt Forecast";"dcf table",#N/A,FALSE,"Mgmt Forecast";"sensitivity",#N/A,FALSE,"Mgmt Forecast";"table inputs",#N/A,FALSE,"Mgmt Forecast";"calculations",#N/A,FALSE,"Mgmt Forecast"}</definedName>
    <definedName name="dhgdh" localSheetId="4" hidden="1">{"mgmt forecast",#N/A,FALSE,"Mgmt Forecast";"dcf table",#N/A,FALSE,"Mgmt Forecast";"sensitivity",#N/A,FALSE,"Mgmt Forecast";"table inputs",#N/A,FALSE,"Mgmt Forecast";"calculations",#N/A,FALSE,"Mgmt Forecast"}</definedName>
    <definedName name="dhgdh" localSheetId="2" hidden="1">{"mgmt forecast",#N/A,FALSE,"Mgmt Forecast";"dcf table",#N/A,FALSE,"Mgmt Forecast";"sensitivity",#N/A,FALSE,"Mgmt Forecast";"table inputs",#N/A,FALSE,"Mgmt Forecast";"calculations",#N/A,FALSE,"Mgmt Forecast"}</definedName>
    <definedName name="dhgdh" localSheetId="19"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fferences" localSheetId="12" hidden="1">{"Operating Data",#N/A,TRUE,"Sheet1";"Valuation Matrix",#N/A,TRUE,"Sheet1";"Sales Analysis",#N/A,TRUE,"Sheet1";"Closed Remodelled New",#N/A,TRUE,"Sheet1";"Competitive and FSP",#N/A,TRUE,"Sheet1";"Working Capital and Capex",#N/A,TRUE,"Sheet1";"depreciation",#N/A,TRUE,"Sheet1"}</definedName>
    <definedName name="Differences" localSheetId="8" hidden="1">{"Operating Data",#N/A,TRUE,"Sheet1";"Valuation Matrix",#N/A,TRUE,"Sheet1";"Sales Analysis",#N/A,TRUE,"Sheet1";"Closed Remodelled New",#N/A,TRUE,"Sheet1";"Competitive and FSP",#N/A,TRUE,"Sheet1";"Working Capital and Capex",#N/A,TRUE,"Sheet1";"depreciation",#N/A,TRUE,"Sheet1"}</definedName>
    <definedName name="Differences" localSheetId="4" hidden="1">{"Operating Data",#N/A,TRUE,"Sheet1";"Valuation Matrix",#N/A,TRUE,"Sheet1";"Sales Analysis",#N/A,TRUE,"Sheet1";"Closed Remodelled New",#N/A,TRUE,"Sheet1";"Competitive and FSP",#N/A,TRUE,"Sheet1";"Working Capital and Capex",#N/A,TRUE,"Sheet1";"depreciation",#N/A,TRUE,"Sheet1"}</definedName>
    <definedName name="Differences" localSheetId="2" hidden="1">{"Operating Data",#N/A,TRUE,"Sheet1";"Valuation Matrix",#N/A,TRUE,"Sheet1";"Sales Analysis",#N/A,TRUE,"Sheet1";"Closed Remodelled New",#N/A,TRUE,"Sheet1";"Competitive and FSP",#N/A,TRUE,"Sheet1";"Working Capital and Capex",#N/A,TRUE,"Sheet1";"depreciation",#N/A,TRUE,"Sheet1"}</definedName>
    <definedName name="Differences" localSheetId="19" hidden="1">{"Operating Data",#N/A,TRUE,"Sheet1";"Valuation Matrix",#N/A,TRUE,"Sheet1";"Sales Analysis",#N/A,TRUE,"Sheet1";"Closed Remodelled New",#N/A,TRUE,"Sheet1";"Competitive and FSP",#N/A,TRUE,"Sheet1";"Working Capital and Capex",#N/A,TRUE,"Sheet1";"depreciation",#N/A,TRUE,"Sheet1"}</definedName>
    <definedName name="Differences" hidden="1">{"Operating Data",#N/A,TRUE,"Sheet1";"Valuation Matrix",#N/A,TRUE,"Sheet1";"Sales Analysis",#N/A,TRUE,"Sheet1";"Closed Remodelled New",#N/A,TRUE,"Sheet1";"Competitive and FSP",#N/A,TRUE,"Sheet1";"Working Capital and Capex",#N/A,TRUE,"Sheet1";"depreciation",#N/A,TRUE,"Sheet1"}</definedName>
    <definedName name="dsaf" localSheetId="12" hidden="1">{"mgmt forecast",#N/A,FALSE,"Mgmt Forecast";"dcf table",#N/A,FALSE,"Mgmt Forecast";"sensitivity",#N/A,FALSE,"Mgmt Forecast";"table inputs",#N/A,FALSE,"Mgmt Forecast";"calculations",#N/A,FALSE,"Mgmt Forecast"}</definedName>
    <definedName name="dsaf" localSheetId="8" hidden="1">{"mgmt forecast",#N/A,FALSE,"Mgmt Forecast";"dcf table",#N/A,FALSE,"Mgmt Forecast";"sensitivity",#N/A,FALSE,"Mgmt Forecast";"table inputs",#N/A,FALSE,"Mgmt Forecast";"calculations",#N/A,FALSE,"Mgmt Forecast"}</definedName>
    <definedName name="dsaf" localSheetId="4" hidden="1">{"mgmt forecast",#N/A,FALSE,"Mgmt Forecast";"dcf table",#N/A,FALSE,"Mgmt Forecast";"sensitivity",#N/A,FALSE,"Mgmt Forecast";"table inputs",#N/A,FALSE,"Mgmt Forecast";"calculations",#N/A,FALSE,"Mgmt Forecast"}</definedName>
    <definedName name="dsaf" localSheetId="2" hidden="1">{"mgmt forecast",#N/A,FALSE,"Mgmt Forecast";"dcf table",#N/A,FALSE,"Mgmt Forecast";"sensitivity",#N/A,FALSE,"Mgmt Forecast";"table inputs",#N/A,FALSE,"Mgmt Forecast";"calculations",#N/A,FALSE,"Mgmt Forecast"}</definedName>
    <definedName name="dsaf" localSheetId="19"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fsdfsdf" localSheetId="19" hidden="1">#REF!</definedName>
    <definedName name="dsfsdfsdf" hidden="1">#REF!</definedName>
    <definedName name="Equity_Add_Share_Capital_Closing_Bal">Equity!$M$28:$AD$28</definedName>
    <definedName name="Equity_Add_Share_Capital_Repayment">Equity!$M$27:$AD$27</definedName>
    <definedName name="Equity_Dividends_Paid">Equity!$M$47:$AD$47</definedName>
    <definedName name="Equity_Retained_Earnings_Closing_Bal">Equity!$M$21:$AD$21</definedName>
    <definedName name="Equity_Share_Capital_Closing_Bal">Equity!$M$14:$AE$14</definedName>
    <definedName name="ere" localSheetId="12" hidden="1">{"orixcsc",#N/A,FALSE,"ORIX CSC";"orixcsc2",#N/A,FALSE,"ORIX CSC"}</definedName>
    <definedName name="ere" localSheetId="8" hidden="1">{"orixcsc",#N/A,FALSE,"ORIX CSC";"orixcsc2",#N/A,FALSE,"ORIX CSC"}</definedName>
    <definedName name="ere" localSheetId="4" hidden="1">{"orixcsc",#N/A,FALSE,"ORIX CSC";"orixcsc2",#N/A,FALSE,"ORIX CSC"}</definedName>
    <definedName name="ere" localSheetId="2" hidden="1">{"orixcsc",#N/A,FALSE,"ORIX CSC";"orixcsc2",#N/A,FALSE,"ORIX CSC"}</definedName>
    <definedName name="ere" localSheetId="19" hidden="1">{"orixcsc",#N/A,FALSE,"ORIX CSC";"orixcsc2",#N/A,FALSE,"ORIX CSC"}</definedName>
    <definedName name="ere" hidden="1">{"orixcsc",#N/A,FALSE,"ORIX CSC";"orixcsc2",#N/A,FALSE,"ORIX CSC"}</definedName>
    <definedName name="EVA" localSheetId="12" hidden="1">{"DCF",#N/A,FALSE,"CF"}</definedName>
    <definedName name="EVA" localSheetId="8" hidden="1">{"DCF",#N/A,FALSE,"CF"}</definedName>
    <definedName name="EVA" localSheetId="4" hidden="1">{"DCF",#N/A,FALSE,"CF"}</definedName>
    <definedName name="EVA" localSheetId="2" hidden="1">{"DCF",#N/A,FALSE,"CF"}</definedName>
    <definedName name="EVA" localSheetId="19" hidden="1">{"DCF",#N/A,FALSE,"CF"}</definedName>
    <definedName name="EVA" hidden="1">{"DCF",#N/A,FALSE,"CF"}</definedName>
    <definedName name="ewrwer" localSheetId="12" hidden="1">{#N/A,#N/A,FALSE,"ORIX CSC"}</definedName>
    <definedName name="ewrwer" localSheetId="8" hidden="1">{#N/A,#N/A,FALSE,"ORIX CSC"}</definedName>
    <definedName name="ewrwer" localSheetId="4" hidden="1">{#N/A,#N/A,FALSE,"ORIX CSC"}</definedName>
    <definedName name="ewrwer" localSheetId="2" hidden="1">{#N/A,#N/A,FALSE,"ORIX CSC"}</definedName>
    <definedName name="ewrwer" localSheetId="19" hidden="1">{#N/A,#N/A,FALSE,"ORIX CSC"}</definedName>
    <definedName name="ewrwer" hidden="1">{#N/A,#N/A,FALSE,"ORIX CSC"}</definedName>
    <definedName name="ExactAddinReports" hidden="1">1</definedName>
    <definedName name="fdf" hidden="1">'[4]SUMMARY CHART'!#REF!</definedName>
    <definedName name="FEB" localSheetId="19" hidden="1">{"'INVOICE'!$A$2793:$D$2815"}</definedName>
    <definedName name="fefef" localSheetId="15" hidden="1">#REF!</definedName>
    <definedName name="fefef" localSheetId="7" hidden="1">#REF!</definedName>
    <definedName name="fefef" localSheetId="0" hidden="1">#REF!</definedName>
    <definedName name="fefef" localSheetId="12" hidden="1">#REF!</definedName>
    <definedName name="fefef" localSheetId="8" hidden="1">#REF!</definedName>
    <definedName name="fefef" localSheetId="4" hidden="1">#REF!</definedName>
    <definedName name="fefef" localSheetId="5" hidden="1">#REF!</definedName>
    <definedName name="fefef" localSheetId="2" hidden="1">#REF!</definedName>
    <definedName name="fefef" localSheetId="17" hidden="1">#REF!</definedName>
    <definedName name="fefef" localSheetId="19" hidden="1">#REF!</definedName>
    <definedName name="fefef" hidden="1">#REF!</definedName>
    <definedName name="fff" localSheetId="12" hidden="1">{"mgmt forecast",#N/A,FALSE,"Mgmt Forecast";"dcf table",#N/A,FALSE,"Mgmt Forecast";"sensitivity",#N/A,FALSE,"Mgmt Forecast";"table inputs",#N/A,FALSE,"Mgmt Forecast";"calculations",#N/A,FALSE,"Mgmt Forecast"}</definedName>
    <definedName name="fff" localSheetId="8" hidden="1">{"mgmt forecast",#N/A,FALSE,"Mgmt Forecast";"dcf table",#N/A,FALSE,"Mgmt Forecast";"sensitivity",#N/A,FALSE,"Mgmt Forecast";"table inputs",#N/A,FALSE,"Mgmt Forecast";"calculations",#N/A,FALSE,"Mgmt Forecast"}</definedName>
    <definedName name="fff" localSheetId="4" hidden="1">{"mgmt forecast",#N/A,FALSE,"Mgmt Forecast";"dcf table",#N/A,FALSE,"Mgmt Forecast";"sensitivity",#N/A,FALSE,"Mgmt Forecast";"table inputs",#N/A,FALSE,"Mgmt Forecast";"calculations",#N/A,FALSE,"Mgmt Forecast"}</definedName>
    <definedName name="fff" localSheetId="2" hidden="1">{"mgmt forecast",#N/A,FALSE,"Mgmt Forecast";"dcf table",#N/A,FALSE,"Mgmt Forecast";"sensitivity",#N/A,FALSE,"Mgmt Forecast";"table inputs",#N/A,FALSE,"Mgmt Forecast";"calculations",#N/A,FALSE,"Mgmt Forecast"}</definedName>
    <definedName name="fff" localSheetId="19" hidden="1">{"mgmt forecast",#N/A,FALSE,"Mgmt Forecast";"dcf table",#N/A,FALSE,"Mgmt Forecast";"sensitivity",#N/A,FALSE,"Mgmt Forecast";"table inputs",#N/A,FALSE,"Mgmt Forecast";"calculations",#N/A,FALSE,"Mgmt Forecast"}</definedName>
    <definedName name="fff" hidden="1">{"mgmt forecast",#N/A,FALSE,"Mgmt Forecast";"dcf table",#N/A,FALSE,"Mgmt Forecast";"sensitivity",#N/A,FALSE,"Mgmt Forecast";"table inputs",#N/A,FALSE,"Mgmt Forecast";"calculations",#N/A,FALSE,"Mgmt Forecast"}</definedName>
    <definedName name="FG" localSheetId="12" hidden="1">{#N/A,#N/A,TRUE,"0 Deckbl.";#N/A,#N/A,TRUE,"S 1 Komm";#N/A,#N/A,TRUE,"S 1a Komm";#N/A,#N/A,TRUE,"S 1b Komm";#N/A,#N/A,TRUE,"S  2 DBR";#N/A,#N/A,TRUE,"S  3 Sparten";#N/A,#N/A,TRUE,"S 4  Betr. K.";#N/A,#N/A,TRUE,"6 Bilanz";#N/A,#N/A,TRUE,"6a Bilanz ";#N/A,#N/A,TRUE,"6b Bilanz ";#N/A,#N/A,TRUE,"7 GS I";#N/A,#N/A,TRUE,"S 8 EQ-GuV"}</definedName>
    <definedName name="FG" localSheetId="8" hidden="1">{#N/A,#N/A,TRUE,"0 Deckbl.";#N/A,#N/A,TRUE,"S 1 Komm";#N/A,#N/A,TRUE,"S 1a Komm";#N/A,#N/A,TRUE,"S 1b Komm";#N/A,#N/A,TRUE,"S  2 DBR";#N/A,#N/A,TRUE,"S  3 Sparten";#N/A,#N/A,TRUE,"S 4  Betr. K.";#N/A,#N/A,TRUE,"6 Bilanz";#N/A,#N/A,TRUE,"6a Bilanz ";#N/A,#N/A,TRUE,"6b Bilanz ";#N/A,#N/A,TRUE,"7 GS I";#N/A,#N/A,TRUE,"S 8 EQ-GuV"}</definedName>
    <definedName name="FG" localSheetId="4" hidden="1">{#N/A,#N/A,TRUE,"0 Deckbl.";#N/A,#N/A,TRUE,"S 1 Komm";#N/A,#N/A,TRUE,"S 1a Komm";#N/A,#N/A,TRUE,"S 1b Komm";#N/A,#N/A,TRUE,"S  2 DBR";#N/A,#N/A,TRUE,"S  3 Sparten";#N/A,#N/A,TRUE,"S 4  Betr. K.";#N/A,#N/A,TRUE,"6 Bilanz";#N/A,#N/A,TRUE,"6a Bilanz ";#N/A,#N/A,TRUE,"6b Bilanz ";#N/A,#N/A,TRUE,"7 GS I";#N/A,#N/A,TRUE,"S 8 EQ-GuV"}</definedName>
    <definedName name="FG" localSheetId="2" hidden="1">{#N/A,#N/A,TRUE,"0 Deckbl.";#N/A,#N/A,TRUE,"S 1 Komm";#N/A,#N/A,TRUE,"S 1a Komm";#N/A,#N/A,TRUE,"S 1b Komm";#N/A,#N/A,TRUE,"S  2 DBR";#N/A,#N/A,TRUE,"S  3 Sparten";#N/A,#N/A,TRUE,"S 4  Betr. K.";#N/A,#N/A,TRUE,"6 Bilanz";#N/A,#N/A,TRUE,"6a Bilanz ";#N/A,#N/A,TRUE,"6b Bilanz ";#N/A,#N/A,TRUE,"7 GS I";#N/A,#N/A,TRUE,"S 8 EQ-GuV"}</definedName>
    <definedName name="FG" localSheetId="19" hidden="1">{#N/A,#N/A,TRUE,"0 Deckbl.";#N/A,#N/A,TRUE,"S 1 Komm";#N/A,#N/A,TRUE,"S 1a Komm";#N/A,#N/A,TRUE,"S 1b Komm";#N/A,#N/A,TRUE,"S  2 DBR";#N/A,#N/A,TRUE,"S  3 Sparten";#N/A,#N/A,TRUE,"S 4  Betr. K.";#N/A,#N/A,TRUE,"6 Bilanz";#N/A,#N/A,TRUE,"6a Bilanz ";#N/A,#N/A,TRUE,"6b Bilanz ";#N/A,#N/A,TRUE,"7 GS I";#N/A,#N/A,TRUE,"S 8 EQ-GuV"}</definedName>
    <definedName name="FG" hidden="1">{#N/A,#N/A,TRUE,"0 Deckbl.";#N/A,#N/A,TRUE,"S 1 Komm";#N/A,#N/A,TRUE,"S 1a Komm";#N/A,#N/A,TRUE,"S 1b Komm";#N/A,#N/A,TRUE,"S  2 DBR";#N/A,#N/A,TRUE,"S  3 Sparten";#N/A,#N/A,TRUE,"S 4  Betr. K.";#N/A,#N/A,TRUE,"6 Bilanz";#N/A,#N/A,TRUE,"6a Bilanz ";#N/A,#N/A,TRUE,"6b Bilanz ";#N/A,#N/A,TRUE,"7 GS I";#N/A,#N/A,TRUE,"S 8 EQ-GuV"}</definedName>
    <definedName name="Fig4_2" localSheetId="12" hidden="1">{"monthly",#N/A,FALSE,"GASODEM";"qtr to yr",#N/A,FALSE,"GASODEM"}</definedName>
    <definedName name="Fig4_2" localSheetId="8" hidden="1">{"monthly",#N/A,FALSE,"GASODEM";"qtr to yr",#N/A,FALSE,"GASODEM"}</definedName>
    <definedName name="Fig4_2" localSheetId="4" hidden="1">{"monthly",#N/A,FALSE,"GASODEM";"qtr to yr",#N/A,FALSE,"GASODEM"}</definedName>
    <definedName name="Fig4_2" localSheetId="2" hidden="1">{"monthly",#N/A,FALSE,"GASODEM";"qtr to yr",#N/A,FALSE,"GASODEM"}</definedName>
    <definedName name="Fig4_2" localSheetId="19" hidden="1">{"monthly",#N/A,FALSE,"GASODEM";"qtr to yr",#N/A,FALSE,"GASODEM"}</definedName>
    <definedName name="Fig4_2" hidden="1">{"monthly",#N/A,FALSE,"GASODEM";"qtr to yr",#N/A,FALSE,"GASODEM"}</definedName>
    <definedName name="fil" hidden="1">[9]Cover!$B$21</definedName>
    <definedName name="Finance_Arrangement_Fee">Financing!$M$45:$AD$45</definedName>
    <definedName name="Finance_Cash_Sweep_Payment">Financing!$M$113:$AD$113</definedName>
    <definedName name="Finance_Charges">Financing!$M$28:$AD$28</definedName>
    <definedName name="Finance_Commitment_Fee">Financing!$M$62:$AD$62</definedName>
    <definedName name="Finance_Drawdown">Financing!$M$79:$AD$79</definedName>
    <definedName name="Finance_Loans_Current_Portion">Financing!$M$129:$AD$129</definedName>
    <definedName name="Finance_Loans_Non_Current_Portion">Financing!$M$145:$AD$145</definedName>
    <definedName name="Finance_Repayment">Financing!$M$96:$AD$96</definedName>
    <definedName name="Finance_TL1_Arrangement_Fee">Financing!$M$187:$AD$187</definedName>
    <definedName name="Finance_TL1_Cash_Sweep">Financing!$M$177:$AD$177</definedName>
    <definedName name="Finance_TL1_Closing_Bal">Financing!$M$178:$AD$178</definedName>
    <definedName name="Finance_TL1_Commitment_Fee">Financing!$M$188:$AD$188</definedName>
    <definedName name="Finance_TL1_Current_Portion">Financing!$M$181:$AD$181</definedName>
    <definedName name="Finance_TL1_Drawdown">Financing!$M$167:$AD$167</definedName>
    <definedName name="Finance_TL1_Finance_Charges">Financing!$M$191:$AD$191</definedName>
    <definedName name="Finance_TL1_Non_Current_Portion">Financing!$M$182:$AD$182</definedName>
    <definedName name="Finance_TL1_Repayment">Financing!$M$173:$AD$173</definedName>
    <definedName name="Finance_TL1_Total">Financing!$M$160</definedName>
    <definedName name="Finance_TL2_Arrangement_Fee">Financing!$M$233:$AD$233</definedName>
    <definedName name="Finance_TL2_Cash_Sweep">Financing!$M$223:$AD$223</definedName>
    <definedName name="Finance_TL2_Closing_Bal">Financing!$M$224:$AD$224</definedName>
    <definedName name="Finance_TL2_Commitment_Fee">Financing!$M$234:$AD$234</definedName>
    <definedName name="Finance_TL2_Current_Portion">Financing!$M$227:$AD$227</definedName>
    <definedName name="Finance_TL2_Drawdown">Financing!$M$213:$AD$213</definedName>
    <definedName name="Finance_TL2_Finance_Charges">Financing!$M$237:$AD$237</definedName>
    <definedName name="Finance_TL2_Non_Current_Portion">Financing!$M$228:$AD$228</definedName>
    <definedName name="Finance_TL2_Repayment">Financing!$M$219:$AD$219</definedName>
    <definedName name="Finance_TL2_Total">Financing!$M$206</definedName>
    <definedName name="Finance_TL3_Arrangement_Fee">Financing!$M$279:$AD$279</definedName>
    <definedName name="Finance_TL3_Cash_Sweep">Financing!$M$269:$AD$269</definedName>
    <definedName name="Finance_TL3_Closing_Bal">Financing!$M$270:$AD$270</definedName>
    <definedName name="Finance_TL3_Commitment_Fee">Financing!$M$280:$AD$280</definedName>
    <definedName name="Finance_TL3_Current_Portion">Financing!$M$273:$AD$273</definedName>
    <definedName name="Finance_TL3_Drawdown">Financing!$M$259:$AD$259</definedName>
    <definedName name="Finance_TL3_Finance_Charges">Financing!$M$283:$AD$283</definedName>
    <definedName name="Finance_TL3_Non_Current_Portion">Financing!$M$274:$AD$274</definedName>
    <definedName name="Finance_TL3_Repayment">Financing!$M$265:$AD$265</definedName>
    <definedName name="Finance_TL3_Total">Financing!$M$252</definedName>
    <definedName name="Finance_TL4_Arrangement_Fee">Financing!$M$325:$AD$325</definedName>
    <definedName name="Finance_TL4_Cash_Sweep">Financing!$M$315:$AD$315</definedName>
    <definedName name="Finance_TL4_Closing_Bal">Financing!$M$316:$AD$316</definedName>
    <definedName name="Finance_TL4_Commitment_Fee">Financing!$M$326:$AD$326</definedName>
    <definedName name="Finance_TL4_Current_Portion">Financing!$M$319:$AD$319</definedName>
    <definedName name="Finance_TL4_Drawdown">Financing!$M$305:$AD$305</definedName>
    <definedName name="Finance_TL4_Finance_Charges">Financing!$M$329:$AD$329</definedName>
    <definedName name="Finance_TL4_Non_Current_Portion">Financing!$M$320:$AD$320</definedName>
    <definedName name="Finance_TL4_Repayment">Financing!$M$311:$AD$311</definedName>
    <definedName name="Finance_TL4_Total">Financing!$M$298</definedName>
    <definedName name="Finance_TL5_Arrangement_Fee">Financing!$M$371:$AD$371</definedName>
    <definedName name="Finance_TL5_Cash_Sweep">Financing!$M$361:$AD$361</definedName>
    <definedName name="Finance_TL5_Closing_Bal">Financing!$M$362:$AD$362</definedName>
    <definedName name="Finance_TL5_Commitment_Fee">Financing!$M$372:$AD$372</definedName>
    <definedName name="Finance_TL5_Current_Portion">Financing!$M$365:$AD$365</definedName>
    <definedName name="Finance_TL5_Drawdown">Financing!$M$351:$AD$351</definedName>
    <definedName name="Finance_TL5_Finance_Charges">Financing!$M$375:$AD$375</definedName>
    <definedName name="Finance_TL5_Non_Current_Portion">Financing!$M$366:$AD$366</definedName>
    <definedName name="Finance_TL5_Repayment">Financing!$M$357:$AD$357</definedName>
    <definedName name="Finance_TL5_Total">Financing!$M$344</definedName>
    <definedName name="Finance_TL6_Total">Financing!#REF!</definedName>
    <definedName name="fkkfkrkffwktloydky" localSheetId="15" hidden="1">#REF!</definedName>
    <definedName name="fkkfkrkffwktloydky" localSheetId="7" hidden="1">#REF!</definedName>
    <definedName name="fkkfkrkffwktloydky" localSheetId="0" hidden="1">#REF!</definedName>
    <definedName name="fkkfkrkffwktloydky" localSheetId="12" hidden="1">#REF!</definedName>
    <definedName name="fkkfkrkffwktloydky" localSheetId="8" hidden="1">#REF!</definedName>
    <definedName name="fkkfkrkffwktloydky" localSheetId="4" hidden="1">#REF!</definedName>
    <definedName name="fkkfkrkffwktloydky" localSheetId="5" hidden="1">#REF!</definedName>
    <definedName name="fkkfkrkffwktloydky" localSheetId="2" hidden="1">#REF!</definedName>
    <definedName name="fkkfkrkffwktloydky" localSheetId="17" hidden="1">#REF!</definedName>
    <definedName name="fkkfkrkffwktloydky" localSheetId="19" hidden="1">#REF!</definedName>
    <definedName name="fkkfkrkffwktloydky" hidden="1">#REF!</definedName>
    <definedName name="G" localSheetId="12" hidden="1">{#N/A,#N/A,TRUE,"0 Deckbl.";#N/A,#N/A,TRUE,"S 1 Komm";#N/A,#N/A,TRUE,"S 1a Komm";#N/A,#N/A,TRUE,"S 1b Komm";#N/A,#N/A,TRUE,"S  2 DBR";#N/A,#N/A,TRUE,"S  3 Sparten";#N/A,#N/A,TRUE,"S 4  Betr. K.";#N/A,#N/A,TRUE,"6 Bilanz";#N/A,#N/A,TRUE,"6a Bilanz ";#N/A,#N/A,TRUE,"6b Bilanz ";#N/A,#N/A,TRUE,"7 GS I";#N/A,#N/A,TRUE,"S 8 EQ-GuV"}</definedName>
    <definedName name="G" localSheetId="8" hidden="1">{#N/A,#N/A,TRUE,"0 Deckbl.";#N/A,#N/A,TRUE,"S 1 Komm";#N/A,#N/A,TRUE,"S 1a Komm";#N/A,#N/A,TRUE,"S 1b Komm";#N/A,#N/A,TRUE,"S  2 DBR";#N/A,#N/A,TRUE,"S  3 Sparten";#N/A,#N/A,TRUE,"S 4  Betr. K.";#N/A,#N/A,TRUE,"6 Bilanz";#N/A,#N/A,TRUE,"6a Bilanz ";#N/A,#N/A,TRUE,"6b Bilanz ";#N/A,#N/A,TRUE,"7 GS I";#N/A,#N/A,TRUE,"S 8 EQ-GuV"}</definedName>
    <definedName name="G" localSheetId="4" hidden="1">{#N/A,#N/A,TRUE,"0 Deckbl.";#N/A,#N/A,TRUE,"S 1 Komm";#N/A,#N/A,TRUE,"S 1a Komm";#N/A,#N/A,TRUE,"S 1b Komm";#N/A,#N/A,TRUE,"S  2 DBR";#N/A,#N/A,TRUE,"S  3 Sparten";#N/A,#N/A,TRUE,"S 4  Betr. K.";#N/A,#N/A,TRUE,"6 Bilanz";#N/A,#N/A,TRUE,"6a Bilanz ";#N/A,#N/A,TRUE,"6b Bilanz ";#N/A,#N/A,TRUE,"7 GS I";#N/A,#N/A,TRUE,"S 8 EQ-GuV"}</definedName>
    <definedName name="G" localSheetId="2" hidden="1">{#N/A,#N/A,TRUE,"0 Deckbl.";#N/A,#N/A,TRUE,"S 1 Komm";#N/A,#N/A,TRUE,"S 1a Komm";#N/A,#N/A,TRUE,"S 1b Komm";#N/A,#N/A,TRUE,"S  2 DBR";#N/A,#N/A,TRUE,"S  3 Sparten";#N/A,#N/A,TRUE,"S 4  Betr. K.";#N/A,#N/A,TRUE,"6 Bilanz";#N/A,#N/A,TRUE,"6a Bilanz ";#N/A,#N/A,TRUE,"6b Bilanz ";#N/A,#N/A,TRUE,"7 GS I";#N/A,#N/A,TRUE,"S 8 EQ-GuV"}</definedName>
    <definedName name="G" localSheetId="19" hidden="1">{#N/A,#N/A,TRUE,"0 Deckbl.";#N/A,#N/A,TRUE,"S 1 Komm";#N/A,#N/A,TRUE,"S 1a Komm";#N/A,#N/A,TRUE,"S 1b Komm";#N/A,#N/A,TRUE,"S  2 DBR";#N/A,#N/A,TRUE,"S  3 Sparten";#N/A,#N/A,TRUE,"S 4  Betr. K.";#N/A,#N/A,TRUE,"6 Bilanz";#N/A,#N/A,TRUE,"6a Bilanz ";#N/A,#N/A,TRUE,"6b Bilanz ";#N/A,#N/A,TRUE,"7 GS I";#N/A,#N/A,TRUE,"S 8 EQ-GuV"}</definedName>
    <definedName name="G" hidden="1">{#N/A,#N/A,TRUE,"0 Deckbl.";#N/A,#N/A,TRUE,"S 1 Komm";#N/A,#N/A,TRUE,"S 1a Komm";#N/A,#N/A,TRUE,"S 1b Komm";#N/A,#N/A,TRUE,"S  2 DBR";#N/A,#N/A,TRUE,"S  3 Sparten";#N/A,#N/A,TRUE,"S 4  Betr. K.";#N/A,#N/A,TRUE,"6 Bilanz";#N/A,#N/A,TRUE,"6a Bilanz ";#N/A,#N/A,TRUE,"6b Bilanz ";#N/A,#N/A,TRUE,"7 GS I";#N/A,#N/A,TRUE,"S 8 EQ-GuV"}</definedName>
    <definedName name="ghhghd" localSheetId="12" hidden="1">{"mgmt forecast",#N/A,FALSE,"Mgmt Forecast";"dcf table",#N/A,FALSE,"Mgmt Forecast";"sensitivity",#N/A,FALSE,"Mgmt Forecast";"table inputs",#N/A,FALSE,"Mgmt Forecast";"calculations",#N/A,FALSE,"Mgmt Forecast"}</definedName>
    <definedName name="ghhghd" localSheetId="8" hidden="1">{"mgmt forecast",#N/A,FALSE,"Mgmt Forecast";"dcf table",#N/A,FALSE,"Mgmt Forecast";"sensitivity",#N/A,FALSE,"Mgmt Forecast";"table inputs",#N/A,FALSE,"Mgmt Forecast";"calculations",#N/A,FALSE,"Mgmt Forecast"}</definedName>
    <definedName name="ghhghd" localSheetId="4" hidden="1">{"mgmt forecast",#N/A,FALSE,"Mgmt Forecast";"dcf table",#N/A,FALSE,"Mgmt Forecast";"sensitivity",#N/A,FALSE,"Mgmt Forecast";"table inputs",#N/A,FALSE,"Mgmt Forecast";"calculations",#N/A,FALSE,"Mgmt Forecast"}</definedName>
    <definedName name="ghhghd" localSheetId="2" hidden="1">{"mgmt forecast",#N/A,FALSE,"Mgmt Forecast";"dcf table",#N/A,FALSE,"Mgmt Forecast";"sensitivity",#N/A,FALSE,"Mgmt Forecast";"table inputs",#N/A,FALSE,"Mgmt Forecast";"calculations",#N/A,FALSE,"Mgmt Forecast"}</definedName>
    <definedName name="ghhghd" localSheetId="19"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2" hidden="1">{#N/A,#N/A,FALSE,"ORIX CSC"}</definedName>
    <definedName name="ghhhg" localSheetId="8" hidden="1">{#N/A,#N/A,FALSE,"ORIX CSC"}</definedName>
    <definedName name="ghhhg" localSheetId="4" hidden="1">{#N/A,#N/A,FALSE,"ORIX CSC"}</definedName>
    <definedName name="ghhhg" localSheetId="2" hidden="1">{#N/A,#N/A,FALSE,"ORIX CSC"}</definedName>
    <definedName name="ghhhg" localSheetId="19" hidden="1">{#N/A,#N/A,FALSE,"ORIX CSC"}</definedName>
    <definedName name="ghhhg" hidden="1">{#N/A,#N/A,FALSE,"ORIX CSC"}</definedName>
    <definedName name="graph" localSheetId="12" hidden="1">{"monthly",#N/A,FALSE,"GASODEM";"qtr to yr",#N/A,FALSE,"GASODEM"}</definedName>
    <definedName name="graph" localSheetId="8" hidden="1">{"monthly",#N/A,FALSE,"GASODEM";"qtr to yr",#N/A,FALSE,"GASODEM"}</definedName>
    <definedName name="graph" localSheetId="4" hidden="1">{"monthly",#N/A,FALSE,"GASODEM";"qtr to yr",#N/A,FALSE,"GASODEM"}</definedName>
    <definedName name="graph" localSheetId="2" hidden="1">{"monthly",#N/A,FALSE,"GASODEM";"qtr to yr",#N/A,FALSE,"GASODEM"}</definedName>
    <definedName name="graph" localSheetId="19" hidden="1">{"monthly",#N/A,FALSE,"GASODEM";"qtr to yr",#N/A,FALSE,"GASODEM"}</definedName>
    <definedName name="graph" hidden="1">{"monthly",#N/A,FALSE,"GASODEM";"qtr to yr",#N/A,FALSE,"GASODEM"}</definedName>
    <definedName name="GROUP" hidden="1">"bissql"</definedName>
    <definedName name="H" localSheetId="12" hidden="1">{#N/A,#N/A,TRUE,"0 Deckbl.";#N/A,#N/A,TRUE,"S 1 Komm";#N/A,#N/A,TRUE,"S 1a Komm";#N/A,#N/A,TRUE,"S 1b Komm";#N/A,#N/A,TRUE,"S  2 DBR";#N/A,#N/A,TRUE,"S  3 Sparten";#N/A,#N/A,TRUE,"S 4  Betr. K.";#N/A,#N/A,TRUE,"6 Bilanz";#N/A,#N/A,TRUE,"6a Bilanz ";#N/A,#N/A,TRUE,"6b Bilanz ";#N/A,#N/A,TRUE,"7 GS I";#N/A,#N/A,TRUE,"S 8 EQ-GuV"}</definedName>
    <definedName name="H" localSheetId="8" hidden="1">{#N/A,#N/A,TRUE,"0 Deckbl.";#N/A,#N/A,TRUE,"S 1 Komm";#N/A,#N/A,TRUE,"S 1a Komm";#N/A,#N/A,TRUE,"S 1b Komm";#N/A,#N/A,TRUE,"S  2 DBR";#N/A,#N/A,TRUE,"S  3 Sparten";#N/A,#N/A,TRUE,"S 4  Betr. K.";#N/A,#N/A,TRUE,"6 Bilanz";#N/A,#N/A,TRUE,"6a Bilanz ";#N/A,#N/A,TRUE,"6b Bilanz ";#N/A,#N/A,TRUE,"7 GS I";#N/A,#N/A,TRUE,"S 8 EQ-GuV"}</definedName>
    <definedName name="H" localSheetId="4" hidden="1">{#N/A,#N/A,TRUE,"0 Deckbl.";#N/A,#N/A,TRUE,"S 1 Komm";#N/A,#N/A,TRUE,"S 1a Komm";#N/A,#N/A,TRUE,"S 1b Komm";#N/A,#N/A,TRUE,"S  2 DBR";#N/A,#N/A,TRUE,"S  3 Sparten";#N/A,#N/A,TRUE,"S 4  Betr. K.";#N/A,#N/A,TRUE,"6 Bilanz";#N/A,#N/A,TRUE,"6a Bilanz ";#N/A,#N/A,TRUE,"6b Bilanz ";#N/A,#N/A,TRUE,"7 GS I";#N/A,#N/A,TRUE,"S 8 EQ-GuV"}</definedName>
    <definedName name="H" localSheetId="2" hidden="1">{#N/A,#N/A,TRUE,"0 Deckbl.";#N/A,#N/A,TRUE,"S 1 Komm";#N/A,#N/A,TRUE,"S 1a Komm";#N/A,#N/A,TRUE,"S 1b Komm";#N/A,#N/A,TRUE,"S  2 DBR";#N/A,#N/A,TRUE,"S  3 Sparten";#N/A,#N/A,TRUE,"S 4  Betr. K.";#N/A,#N/A,TRUE,"6 Bilanz";#N/A,#N/A,TRUE,"6a Bilanz ";#N/A,#N/A,TRUE,"6b Bilanz ";#N/A,#N/A,TRUE,"7 GS I";#N/A,#N/A,TRUE,"S 8 EQ-GuV"}</definedName>
    <definedName name="H" localSheetId="19" hidden="1">{#N/A,#N/A,TRUE,"0 Deckbl.";#N/A,#N/A,TRUE,"S 1 Komm";#N/A,#N/A,TRUE,"S 1a Komm";#N/A,#N/A,TRUE,"S 1b Komm";#N/A,#N/A,TRUE,"S  2 DBR";#N/A,#N/A,TRUE,"S  3 Sparten";#N/A,#N/A,TRUE,"S 4  Betr. K.";#N/A,#N/A,TRUE,"6 Bilanz";#N/A,#N/A,TRUE,"6a Bilanz ";#N/A,#N/A,TRUE,"6b Bilanz ";#N/A,#N/A,TRUE,"7 GS I";#N/A,#N/A,TRUE,"S 8 EQ-GuV"}</definedName>
    <definedName name="H" hidden="1">{#N/A,#N/A,TRUE,"0 Deckbl.";#N/A,#N/A,TRUE,"S 1 Komm";#N/A,#N/A,TRUE,"S 1a Komm";#N/A,#N/A,TRUE,"S 1b Komm";#N/A,#N/A,TRUE,"S  2 DBR";#N/A,#N/A,TRUE,"S  3 Sparten";#N/A,#N/A,TRUE,"S 4  Betr. K.";#N/A,#N/A,TRUE,"6 Bilanz";#N/A,#N/A,TRUE,"6a Bilanz ";#N/A,#N/A,TRUE,"6b Bilanz ";#N/A,#N/A,TRUE,"7 GS I";#N/A,#N/A,TRUE,"S 8 EQ-GuV"}</definedName>
    <definedName name="hgrth" localSheetId="12" hidden="1">{"orixcsc",#N/A,FALSE,"ORIX CSC";"orixcsc2",#N/A,FALSE,"ORIX CSC"}</definedName>
    <definedName name="hgrth" localSheetId="8" hidden="1">{"orixcsc",#N/A,FALSE,"ORIX CSC";"orixcsc2",#N/A,FALSE,"ORIX CSC"}</definedName>
    <definedName name="hgrth" localSheetId="4" hidden="1">{"orixcsc",#N/A,FALSE,"ORIX CSC";"orixcsc2",#N/A,FALSE,"ORIX CSC"}</definedName>
    <definedName name="hgrth" localSheetId="2" hidden="1">{"orixcsc",#N/A,FALSE,"ORIX CSC";"orixcsc2",#N/A,FALSE,"ORIX CSC"}</definedName>
    <definedName name="hgrth" localSheetId="19" hidden="1">{"orixcsc",#N/A,FALSE,"ORIX CSC";"orixcsc2",#N/A,FALSE,"ORIX CSC"}</definedName>
    <definedName name="hgrth" hidden="1">{"orixcsc",#N/A,FALSE,"ORIX CSC";"orixcsc2",#N/A,FALSE,"ORIX CSC"}</definedName>
    <definedName name="hhj" localSheetId="15" hidden="1">#REF!</definedName>
    <definedName name="hhj" localSheetId="7" hidden="1">#REF!</definedName>
    <definedName name="hhj" localSheetId="0" hidden="1">#REF!</definedName>
    <definedName name="hhj" localSheetId="12" hidden="1">#REF!</definedName>
    <definedName name="hhj" localSheetId="8" hidden="1">#REF!</definedName>
    <definedName name="hhj" localSheetId="4" hidden="1">#REF!</definedName>
    <definedName name="hhj" localSheetId="5" hidden="1">#REF!</definedName>
    <definedName name="hhj" localSheetId="2" hidden="1">#REF!</definedName>
    <definedName name="hhj" localSheetId="17" hidden="1">#REF!</definedName>
    <definedName name="hhj" localSheetId="19" hidden="1">#REF!</definedName>
    <definedName name="hhj" hidden="1">#REF!</definedName>
    <definedName name="hiulj" localSheetId="19" hidden="1">{"EVA",#N/A,FALSE,"EVA";"WACC",#N/A,FALSE,"WACC"}</definedName>
    <definedName name="hiulj" hidden="1">{"EVA",#N/A,FALSE,"EVA";"WACC",#N/A,FALSE,"WACC"}</definedName>
    <definedName name="hjhjj" localSheetId="12" hidden="1">{#N/A,#N/A,FALSE,"ORIX CSC"}</definedName>
    <definedName name="hjhjj" localSheetId="8" hidden="1">{#N/A,#N/A,FALSE,"ORIX CSC"}</definedName>
    <definedName name="hjhjj" localSheetId="4" hidden="1">{#N/A,#N/A,FALSE,"ORIX CSC"}</definedName>
    <definedName name="hjhjj" localSheetId="2" hidden="1">{#N/A,#N/A,FALSE,"ORIX CSC"}</definedName>
    <definedName name="hjhjj" localSheetId="19" hidden="1">{#N/A,#N/A,FALSE,"ORIX CSC"}</definedName>
    <definedName name="hjhjj" hidden="1">{#N/A,#N/A,FALSE,"ORIX CSC"}</definedName>
    <definedName name="hlp" localSheetId="15" hidden="1">#REF!</definedName>
    <definedName name="hlp" localSheetId="7" hidden="1">#REF!</definedName>
    <definedName name="hlp" localSheetId="0" hidden="1">#REF!</definedName>
    <definedName name="hlp" localSheetId="12" hidden="1">#REF!</definedName>
    <definedName name="hlp" localSheetId="8" hidden="1">#REF!</definedName>
    <definedName name="hlp" localSheetId="5" hidden="1">#REF!</definedName>
    <definedName name="hlp" localSheetId="2" hidden="1">#REF!</definedName>
    <definedName name="hlp" localSheetId="17" hidden="1">#REF!</definedName>
    <definedName name="hlp" localSheetId="19" hidden="1">#REF!</definedName>
    <definedName name="hlp" hidden="1">#REF!</definedName>
    <definedName name="HOME" localSheetId="12" hidden="1">{#N/A,#N/A,FALSE,"Assessment";#N/A,#N/A,FALSE,"Staffing";#N/A,#N/A,FALSE,"Hires";#N/A,#N/A,FALSE,"Assumptions"}</definedName>
    <definedName name="HOME" localSheetId="8" hidden="1">{#N/A,#N/A,FALSE,"Assessment";#N/A,#N/A,FALSE,"Staffing";#N/A,#N/A,FALSE,"Hires";#N/A,#N/A,FALSE,"Assumptions"}</definedName>
    <definedName name="HOME" localSheetId="4" hidden="1">{#N/A,#N/A,FALSE,"Assessment";#N/A,#N/A,FALSE,"Staffing";#N/A,#N/A,FALSE,"Hires";#N/A,#N/A,FALSE,"Assumptions"}</definedName>
    <definedName name="HOME" localSheetId="2" hidden="1">{#N/A,#N/A,FALSE,"Assessment";#N/A,#N/A,FALSE,"Staffing";#N/A,#N/A,FALSE,"Hires";#N/A,#N/A,FALSE,"Assumptions"}</definedName>
    <definedName name="HOME" localSheetId="19" hidden="1">{#N/A,#N/A,FALSE,"Assessment";#N/A,#N/A,FALSE,"Staffing";#N/A,#N/A,FALSE,"Hires";#N/A,#N/A,FALSE,"Assumptions"}</definedName>
    <definedName name="HOME" hidden="1">{#N/A,#N/A,FALSE,"Assessment";#N/A,#N/A,FALSE,"Staffing";#N/A,#N/A,FALSE,"Hires";#N/A,#N/A,FALSE,"Assumptions"}</definedName>
    <definedName name="HOMFE" localSheetId="12" hidden="1">{#N/A,#N/A,FALSE,"Assessment";#N/A,#N/A,FALSE,"Staffing";#N/A,#N/A,FALSE,"Hires";#N/A,#N/A,FALSE,"Assumptions"}</definedName>
    <definedName name="HOMFE" localSheetId="8" hidden="1">{#N/A,#N/A,FALSE,"Assessment";#N/A,#N/A,FALSE,"Staffing";#N/A,#N/A,FALSE,"Hires";#N/A,#N/A,FALSE,"Assumptions"}</definedName>
    <definedName name="HOMFE" localSheetId="4" hidden="1">{#N/A,#N/A,FALSE,"Assessment";#N/A,#N/A,FALSE,"Staffing";#N/A,#N/A,FALSE,"Hires";#N/A,#N/A,FALSE,"Assumptions"}</definedName>
    <definedName name="HOMFE" localSheetId="2" hidden="1">{#N/A,#N/A,FALSE,"Assessment";#N/A,#N/A,FALSE,"Staffing";#N/A,#N/A,FALSE,"Hires";#N/A,#N/A,FALSE,"Assumptions"}</definedName>
    <definedName name="HOMFE" localSheetId="19" hidden="1">{#N/A,#N/A,FALSE,"Assessment";#N/A,#N/A,FALSE,"Staffing";#N/A,#N/A,FALSE,"Hires";#N/A,#N/A,FALSE,"Assumptions"}</definedName>
    <definedName name="HOMFE" hidden="1">{#N/A,#N/A,FALSE,"Assessment";#N/A,#N/A,FALSE,"Staffing";#N/A,#N/A,FALSE,"Hires";#N/A,#N/A,FALSE,"Assumptions"}</definedName>
    <definedName name="HTML_CodePage" hidden="1">1252</definedName>
    <definedName name="HTML_Control" localSheetId="12" hidden="1">{"'INVOICE'!$A$2793:$D$2815"}</definedName>
    <definedName name="HTML_Control" localSheetId="8" hidden="1">{"'INVOICE'!$A$2793:$D$2815"}</definedName>
    <definedName name="HTML_Control" localSheetId="4" hidden="1">{"'INVOICE'!$A$2793:$D$2815"}</definedName>
    <definedName name="HTML_Control" localSheetId="2" hidden="1">{"'INVOICE'!$A$2793:$D$2815"}</definedName>
    <definedName name="HTML_Control" localSheetId="19" hidden="1">{"'INVOICE'!$A$2793:$D$2815"}</definedName>
    <definedName name="HTML_Control" hidden="1">{"'INVOICE'!$A$2793:$D$2815"}</definedName>
    <definedName name="HTML_Description" hidden="1">""</definedName>
    <definedName name="HTML_Email" hidden="1">""</definedName>
    <definedName name="HTML_Header" hidden="1">"INVOICE"</definedName>
    <definedName name="HTML_LastUpdate" hidden="1">"16/09/98"</definedName>
    <definedName name="HTML_LineAfter" hidden="1">FALSE</definedName>
    <definedName name="HTML_LineBefore" hidden="1">FALSE</definedName>
    <definedName name="HTML_Name" hidden="1">"Administrator"</definedName>
    <definedName name="HTML_OBDlg2" hidden="1">TRUE</definedName>
    <definedName name="HTML_OBDlg4" hidden="1">TRUE</definedName>
    <definedName name="HTML_OS" hidden="1">0</definedName>
    <definedName name="HTML_PathFile" hidden="1">"\\UNIBETON\MANAVALAN\MANOO\MyHTML.htm"</definedName>
    <definedName name="HTML_PathFileMac" hidden="1">"Macintosh HD:HomePageStuff:New_Home_Page:datafile:ctryprem.html"</definedName>
    <definedName name="HTML_Title" hidden="1">"Invoice Aug' 98 Mussafah II"</definedName>
    <definedName name="HTML1_1" hidden="1">"[FCFF3]Sheet1!$A$1:$L$34"</definedName>
    <definedName name="HTML1_10" hidden="1">""</definedName>
    <definedName name="HTML1_11" hidden="1">1</definedName>
    <definedName name="HTML1_12" hidden="1">"Aswath:Adobe SiteMill™ 1.0.2:MyHomePage:FCFF3.html"</definedName>
    <definedName name="HTML1_2" hidden="1">1</definedName>
    <definedName name="HTML1_3" hidden="1">"FCFF3"</definedName>
    <definedName name="HTML1_4" hidden="1">"Three-Stage FCFF Model"</definedName>
    <definedName name="HTML1_5" hidden="1">""</definedName>
    <definedName name="HTML1_6" hidden="1">-4146</definedName>
    <definedName name="HTML1_7" hidden="1">-4146</definedName>
    <definedName name="HTML1_8" hidden="1">"10/22/96"</definedName>
    <definedName name="HTML1_9" hidden="1">"Aswath Damodaran"</definedName>
    <definedName name="HTMLCount" hidden="1">1</definedName>
    <definedName name="i" localSheetId="12" hidden="1">{#N/A,#N/A,TRUE,"0 Deckbl.";#N/A,#N/A,TRUE,"S 1 Komm";#N/A,#N/A,TRUE,"S 1a Komm";#N/A,#N/A,TRUE,"S 1b Komm";#N/A,#N/A,TRUE,"S  2 DBR";#N/A,#N/A,TRUE,"S  3 Sparten";#N/A,#N/A,TRUE,"S 4  Betr. K.";#N/A,#N/A,TRUE,"6 Bilanz";#N/A,#N/A,TRUE,"6a Bilanz ";#N/A,#N/A,TRUE,"6b Bilanz ";#N/A,#N/A,TRUE,"7 GS I";#N/A,#N/A,TRUE,"S 8 EQ-GuV"}</definedName>
    <definedName name="i" localSheetId="8" hidden="1">{#N/A,#N/A,TRUE,"0 Deckbl.";#N/A,#N/A,TRUE,"S 1 Komm";#N/A,#N/A,TRUE,"S 1a Komm";#N/A,#N/A,TRUE,"S 1b Komm";#N/A,#N/A,TRUE,"S  2 DBR";#N/A,#N/A,TRUE,"S  3 Sparten";#N/A,#N/A,TRUE,"S 4  Betr. K.";#N/A,#N/A,TRUE,"6 Bilanz";#N/A,#N/A,TRUE,"6a Bilanz ";#N/A,#N/A,TRUE,"6b Bilanz ";#N/A,#N/A,TRUE,"7 GS I";#N/A,#N/A,TRUE,"S 8 EQ-GuV"}</definedName>
    <definedName name="i" localSheetId="4" hidden="1">{#N/A,#N/A,TRUE,"0 Deckbl.";#N/A,#N/A,TRUE,"S 1 Komm";#N/A,#N/A,TRUE,"S 1a Komm";#N/A,#N/A,TRUE,"S 1b Komm";#N/A,#N/A,TRUE,"S  2 DBR";#N/A,#N/A,TRUE,"S  3 Sparten";#N/A,#N/A,TRUE,"S 4  Betr. K.";#N/A,#N/A,TRUE,"6 Bilanz";#N/A,#N/A,TRUE,"6a Bilanz ";#N/A,#N/A,TRUE,"6b Bilanz ";#N/A,#N/A,TRUE,"7 GS I";#N/A,#N/A,TRUE,"S 8 EQ-GuV"}</definedName>
    <definedName name="i" localSheetId="2" hidden="1">{#N/A,#N/A,TRUE,"0 Deckbl.";#N/A,#N/A,TRUE,"S 1 Komm";#N/A,#N/A,TRUE,"S 1a Komm";#N/A,#N/A,TRUE,"S 1b Komm";#N/A,#N/A,TRUE,"S  2 DBR";#N/A,#N/A,TRUE,"S  3 Sparten";#N/A,#N/A,TRUE,"S 4  Betr. K.";#N/A,#N/A,TRUE,"6 Bilanz";#N/A,#N/A,TRUE,"6a Bilanz ";#N/A,#N/A,TRUE,"6b Bilanz ";#N/A,#N/A,TRUE,"7 GS I";#N/A,#N/A,TRUE,"S 8 EQ-GuV"}</definedName>
    <definedName name="i" localSheetId="19" hidden="1">{#N/A,#N/A,TRUE,"0 Deckbl.";#N/A,#N/A,TRUE,"S 1 Komm";#N/A,#N/A,TRUE,"S 1a Komm";#N/A,#N/A,TRUE,"S 1b Komm";#N/A,#N/A,TRUE,"S  2 DBR";#N/A,#N/A,TRUE,"S  3 Sparten";#N/A,#N/A,TRUE,"S 4  Betr. K.";#N/A,#N/A,TRUE,"6 Bilanz";#N/A,#N/A,TRUE,"6a Bilanz ";#N/A,#N/A,TRUE,"6b Bilanz ";#N/A,#N/A,TRUE,"7 GS I";#N/A,#N/A,TRUE,"S 8 EQ-GuV"}</definedName>
    <definedName name="i" hidden="1">{#N/A,#N/A,TRUE,"0 Deckbl.";#N/A,#N/A,TRUE,"S 1 Komm";#N/A,#N/A,TRUE,"S 1a Komm";#N/A,#N/A,TRUE,"S 1b Komm";#N/A,#N/A,TRUE,"S  2 DBR";#N/A,#N/A,TRUE,"S  3 Sparten";#N/A,#N/A,TRUE,"S 4  Betr. K.";#N/A,#N/A,TRUE,"6 Bilanz";#N/A,#N/A,TRUE,"6a Bilanz ";#N/A,#N/A,TRUE,"6b Bilanz ";#N/A,#N/A,TRUE,"7 GS I";#N/A,#N/A,TRUE,"S 8 EQ-GuV"}</definedName>
    <definedName name="Inbound2" localSheetId="12" hidden="1">{#N/A,#N/A,FALSE,"Forecasts"}</definedName>
    <definedName name="Inbound2" localSheetId="8" hidden="1">{#N/A,#N/A,FALSE,"Forecasts"}</definedName>
    <definedName name="Inbound2" localSheetId="4" hidden="1">{#N/A,#N/A,FALSE,"Forecasts"}</definedName>
    <definedName name="Inbound2" localSheetId="2" hidden="1">{#N/A,#N/A,FALSE,"Forecasts"}</definedName>
    <definedName name="Inbound2" localSheetId="19" hidden="1">{#N/A,#N/A,FALSE,"Forecasts"}</definedName>
    <definedName name="Inbound2" hidden="1">{#N/A,#N/A,FALSE,"Forecasts"}</definedName>
    <definedName name="Inbound3" localSheetId="12" hidden="1">{#N/A,#N/A,FALSE,"Forecasts"}</definedName>
    <definedName name="Inbound3" localSheetId="8" hidden="1">{#N/A,#N/A,FALSE,"Forecasts"}</definedName>
    <definedName name="Inbound3" localSheetId="4" hidden="1">{#N/A,#N/A,FALSE,"Forecasts"}</definedName>
    <definedName name="Inbound3" localSheetId="2" hidden="1">{#N/A,#N/A,FALSE,"Forecasts"}</definedName>
    <definedName name="Inbound3" localSheetId="19" hidden="1">{#N/A,#N/A,FALSE,"Forecasts"}</definedName>
    <definedName name="Inbound3" hidden="1">{#N/A,#N/A,FALSE,"Forecasts"}</definedName>
    <definedName name="Inbound4" localSheetId="12" hidden="1">{#N/A,#N/A,FALSE,"Forecasts"}</definedName>
    <definedName name="Inbound4" localSheetId="8" hidden="1">{#N/A,#N/A,FALSE,"Forecasts"}</definedName>
    <definedName name="Inbound4" localSheetId="4" hidden="1">{#N/A,#N/A,FALSE,"Forecasts"}</definedName>
    <definedName name="Inbound4" localSheetId="2" hidden="1">{#N/A,#N/A,FALSE,"Forecasts"}</definedName>
    <definedName name="Inbound4" localSheetId="19" hidden="1">{#N/A,#N/A,FALSE,"Forecasts"}</definedName>
    <definedName name="Inbound4" hidden="1">{#N/A,#N/A,FALSE,"Forecasts"}</definedName>
    <definedName name="Inputs_Basecase_Capex">Inputs!$M$79:$AD$79</definedName>
    <definedName name="Inputs_Basecase_Eurobor">Inputs!$M$257:$AD$257</definedName>
    <definedName name="Inputs_Basecase_Intangible_Additions">Inputs!$M$86:$AD$86</definedName>
    <definedName name="Inputs_Basecase_Intangible_Amortization">Inputs!$M$87:$AD$87</definedName>
    <definedName name="Inputs_Basecase_PPE_Depreciation">Inputs!$M$81:$AD$81</definedName>
    <definedName name="Inputs_Basecase_TL1_Arrangement_Fee">Inputs!$M$102</definedName>
    <definedName name="Inputs_Basecase_TL1_Availability_Start_Date">Inputs!$M$100</definedName>
    <definedName name="Inputs_Basecase_TL1_Cap_Date">Inputs!$M$101</definedName>
    <definedName name="Inputs_Basecase_TL1_Commitment_Fee">Inputs!$M$103</definedName>
    <definedName name="Inputs_Basecase_TL1_Drawdown">Inputs!$M$109:$AD$109</definedName>
    <definedName name="Inputs_Basecase_TL1_Margin">Inputs!$M$104:$AD$104</definedName>
    <definedName name="Inputs_Basecase_TL1_Maximum_Facility">Inputs!$M$99</definedName>
    <definedName name="Inputs_Basecase_TL1_Months_Oustanding">Inputs!$M$105:$AD$105</definedName>
    <definedName name="Inputs_Basecase_TL1_Repayment_Principal">Inputs!$M$110:$AD$110</definedName>
    <definedName name="Inputs_Basecase_TL2_Arrangement_Fee">Inputs!$M$116</definedName>
    <definedName name="Inputs_Basecase_TL2_Availability_Start_Date">Inputs!$M$114</definedName>
    <definedName name="Inputs_Basecase_TL2_Cap_Date">Inputs!$M$115</definedName>
    <definedName name="Inputs_Basecase_TL2_Commitment_Fee">Inputs!$M$117</definedName>
    <definedName name="Inputs_Basecase_TL2_Drawdown">Inputs!$M$123:$AD$123</definedName>
    <definedName name="Inputs_Basecase_TL2_Margin">Inputs!$M$118:$AD$118</definedName>
    <definedName name="Inputs_Basecase_TL2_Maximum_Facility">Inputs!$M$113</definedName>
    <definedName name="Inputs_Basecase_TL2_Months_Oustanding">Inputs!$M$119:$AD$119</definedName>
    <definedName name="Inputs_Basecase_TL2_Repayment_Principal">Inputs!$M$124:$AD$124</definedName>
    <definedName name="Inputs_Basecase_TL3_Arrangement_Fee">Inputs!$M$130</definedName>
    <definedName name="Inputs_Basecase_TL3_Availability_Start_Date">Inputs!$M$128</definedName>
    <definedName name="Inputs_Basecase_TL3_Cap_Date">Inputs!$M$129</definedName>
    <definedName name="Inputs_Basecase_TL3_Commitment_Fee">Inputs!$M$131</definedName>
    <definedName name="Inputs_Basecase_TL3_Drawdown">Inputs!$M$137:$AD$137</definedName>
    <definedName name="Inputs_Basecase_TL3_Margin">Inputs!$M$132:$AD$132</definedName>
    <definedName name="Inputs_Basecase_TL3_Maximum_Facility">Inputs!$M$127</definedName>
    <definedName name="Inputs_Basecase_TL3_Months_Oustanding">Inputs!$M$133:$AD$133</definedName>
    <definedName name="Inputs_Basecase_TL3_Repayment_Principal">Inputs!$M$138:$AD$138</definedName>
    <definedName name="Inputs_Basecase_TL4_Arrangement_Fee">Inputs!$M$144</definedName>
    <definedName name="Inputs_Basecase_TL4_Availability_Start_Date">Inputs!$M$142</definedName>
    <definedName name="Inputs_Basecase_TL4_Cap_Date">Inputs!$M$143</definedName>
    <definedName name="Inputs_Basecase_TL4_Commitment_Fee">Inputs!$M$145</definedName>
    <definedName name="Inputs_Basecase_TL4_Drawdown">Inputs!$M$151:$AD$151</definedName>
    <definedName name="Inputs_Basecase_TL4_Margin">Inputs!$M$146:$AD$146</definedName>
    <definedName name="Inputs_Basecase_TL4_Maximum_Facility">Inputs!$M$141</definedName>
    <definedName name="Inputs_Basecase_TL4_Months_Oustanding">Inputs!$M$147:$AD$147</definedName>
    <definedName name="Inputs_Basecase_TL4_Repayment_Principal">Inputs!$M$152:$AD$152</definedName>
    <definedName name="Inputs_Basecase_TL5_Arrangement_Fee">Inputs!$M$158</definedName>
    <definedName name="Inputs_Basecase_TL5_Availability_Start_Date">Inputs!$M$156</definedName>
    <definedName name="Inputs_Basecase_TL5_Cap_Date">Inputs!$M$157</definedName>
    <definedName name="Inputs_Basecase_TL5_Commitment_Fee">Inputs!$M$159</definedName>
    <definedName name="Inputs_Basecase_TL5_Drawdown">Inputs!$M$165:$AD$165</definedName>
    <definedName name="Inputs_Basecase_TL5_Margin">Inputs!$M$160:$AD$160</definedName>
    <definedName name="Inputs_Basecase_TL5_Maximum_Facility">Inputs!$M$155</definedName>
    <definedName name="Inputs_Basecase_TL5_Months_Oustanding">Inputs!$M$161:$AD$161</definedName>
    <definedName name="Inputs_Basecase_TL5_Repayment_Principal">Inputs!$M$166:$AD$166</definedName>
    <definedName name="Inputs_Contract_Current_Days">Inputs!$M$71:$AF$71</definedName>
    <definedName name="Inputs_Contract_Days">Inputs!$M$68:$AD$68</definedName>
    <definedName name="Inputs_Contract_NonCurrent_Days">Inputs!$M$72:$AF$72</definedName>
    <definedName name="Inputs_Costs_COR">Inputs!$M$52:$AD$52</definedName>
    <definedName name="Inputs_Costs_Other_Expense">Inputs!$M$59:$AD$59</definedName>
    <definedName name="Inputs_Costs_Other_Income">Inputs!$M$58:$AD$58</definedName>
    <definedName name="Inputs_Costs_RD">Inputs!$M$53:$AD$53</definedName>
    <definedName name="Inputs_Costs_SGA">Inputs!$M$54:$AD$54</definedName>
    <definedName name="Inputs_Inventory_Days">Inputs!$M$67:$AD$67</definedName>
    <definedName name="Inputs_OCL_Days">Inputs!$M$73:$AF$73</definedName>
    <definedName name="Inputs_Payables_Days">Inputs!$M$70:$AD$70</definedName>
    <definedName name="Inputs_Prepaid_Days">Inputs!$M$69:$AD$69</definedName>
    <definedName name="Inputs_Proposed_Dividends">Inputs!$M$267:$AD$267</definedName>
    <definedName name="Inputs_Receivables_Days">Inputs!$M$66:$AD$66</definedName>
    <definedName name="Inputs_Rev_Exc_FTE">Inputs!$M$34:$AD$34</definedName>
    <definedName name="Inputs_Rev_Exc_Licence">Inputs!$M$38:$AD$38</definedName>
    <definedName name="Inputs_Rev_Exc_Milestone">Inputs!$M$37:$AD$37</definedName>
    <definedName name="Inputs_Rev_Exc_Recharges">Inputs!$M$35:$AD$35</definedName>
    <definedName name="Inputs_Rev_Exc_Tech">Inputs!$M$36:$AD$36</definedName>
    <definedName name="Inputs_Rev_Group_Transition">Inputs!$M$47:$AD$47</definedName>
    <definedName name="Inputs_Rev_Inno_FTE">Inputs!$M$41:$AD$41</definedName>
    <definedName name="Inputs_Rev_Inno_Licence">Inputs!$M$45:$AD$45</definedName>
    <definedName name="Inputs_Rev_Inno_Milestone">Inputs!$M$44:$AD$44</definedName>
    <definedName name="Inputs_Rev_Inno_Recharges">Inputs!$M$42:$AD$42</definedName>
    <definedName name="Inputs_Rev_Inno_Tech">Inputs!$M$43:$AD$43</definedName>
    <definedName name="Inputs_Tax_Rate">Inputs!$M$269:$AD$269</definedName>
    <definedName name="Inputs_Thousand">Inputs!$M$15</definedName>
    <definedName name="Inputs_TL10_Arrangement_Fee">Inputs!$M$231</definedName>
    <definedName name="Inputs_TL10_Availability_Start_Date">Inputs!$M$229</definedName>
    <definedName name="Inputs_TL10_Cap_Date">Inputs!$M$230</definedName>
    <definedName name="Inputs_TL10_Commitment_Fee">Inputs!$M$232</definedName>
    <definedName name="Inputs_TL10_Drawdown">Inputs!$M$238:$AD$238</definedName>
    <definedName name="Inputs_TL10_Margin">Inputs!$M$233:$AD$233</definedName>
    <definedName name="Inputs_TL10_Maximum_Facility">Inputs!$M$228</definedName>
    <definedName name="Inputs_TL10_Months_Oustanding">Inputs!$M$234:$AD$234</definedName>
    <definedName name="Inputs_TL10_Repayment">Inputs!$M$239:$AD$239</definedName>
    <definedName name="Inputs_TL11_Arrangement_Fee">Inputs!$M$245</definedName>
    <definedName name="Inputs_TL11_Availability_Start_Date">Inputs!$M$243</definedName>
    <definedName name="Inputs_TL11_Cap_Date">Inputs!$M$244</definedName>
    <definedName name="Inputs_TL11_Commitment_Fee">Inputs!$M$246</definedName>
    <definedName name="Inputs_TL11_Drawdown">Inputs!$M$252:$AD$252</definedName>
    <definedName name="Inputs_TL11_Margin">Inputs!$M$247:$AD$247</definedName>
    <definedName name="Inputs_TL11_Maximum_Facility">Inputs!$M$242</definedName>
    <definedName name="Inputs_TL11_Months_Oustanding">Inputs!$M$248:$AD$248</definedName>
    <definedName name="Inputs_TL11_Repayment_Principal">Inputs!$M$253:$AD$253</definedName>
    <definedName name="Inputs_TL6_Arrangement_Fee">Inputs!$M$172</definedName>
    <definedName name="Inputs_TL6_Availability_Start_Date">Inputs!$M$170</definedName>
    <definedName name="Inputs_TL6_Cap_Date">Inputs!$M$171</definedName>
    <definedName name="Inputs_TL6_Commitment_Fee">Inputs!$M$173</definedName>
    <definedName name="Inputs_TL6_Drawdown">Inputs!$M$179:$AD$179</definedName>
    <definedName name="Inputs_TL6_Margin">Inputs!$M$174:$AF$174</definedName>
    <definedName name="Inputs_TL6_Maximum_Facility">Inputs!$M$169</definedName>
    <definedName name="Inputs_TL6_Months_Oustanding">Inputs!$M$175:$AF$175</definedName>
    <definedName name="Inputs_TL6_Repayment">Inputs!$M$180:$AD$180</definedName>
    <definedName name="Inputs_TL7_Arrangement_Fee">Inputs!$M$186</definedName>
    <definedName name="Inputs_TL7_Availability_Start_Date">Inputs!$M$184</definedName>
    <definedName name="Inputs_TL7_Cap_Date">Inputs!$M$185</definedName>
    <definedName name="Inputs_TL7_Commitment_Fee">Inputs!$M$187</definedName>
    <definedName name="Inputs_TL7_Drawdown">Inputs!$M$193:$AD$193</definedName>
    <definedName name="Inputs_TL7_Margin">Inputs!$M$188:$AD$188</definedName>
    <definedName name="Inputs_TL7_Maximum_Facility">Inputs!$M$183</definedName>
    <definedName name="Inputs_TL7_Months_Oustanding">Inputs!$M$189:$AD$189</definedName>
    <definedName name="Inputs_TL7_Repayment">Inputs!$M$194:$AD$194</definedName>
    <definedName name="Inputs_TL8_Arrangement_Fee">Inputs!$M$200</definedName>
    <definedName name="Inputs_TL8_Availability_Start_Date">Inputs!$M$198</definedName>
    <definedName name="Inputs_TL8_Cap_Date">Inputs!$M$199</definedName>
    <definedName name="Inputs_TL8_Commitment_Fee">Inputs!$M$201</definedName>
    <definedName name="Inputs_TL8_Drawdown">Inputs!$M$207:$AD$207</definedName>
    <definedName name="Inputs_TL8_Margin">Inputs!$M$202:$AD$202</definedName>
    <definedName name="Inputs_TL8_Maximum_Facility">Inputs!$M$197</definedName>
    <definedName name="Inputs_TL8_Months_Oustanding">Inputs!$M$203:$AD$203</definedName>
    <definedName name="Inputs_TL8_Repayment">Inputs!$M$208:$AD$208</definedName>
    <definedName name="Inputs_TL9_Arrangement_Fee">Inputs!$M$217</definedName>
    <definedName name="Inputs_TL9_Availability_Start_Date">Inputs!$M$215</definedName>
    <definedName name="Inputs_TL9_Cap_Date">Inputs!$M$216</definedName>
    <definedName name="Inputs_TL9_Commitment_Fee">Inputs!$M$218</definedName>
    <definedName name="Inputs_TL9_Margin">Inputs!$M$219:$AD$219</definedName>
    <definedName name="Inputs_TL9_Maximum_Facility">Inputs!$M$214</definedName>
    <definedName name="Inputs_TL9_Months_Oustanding">Inputs!$M$220:$AD$220</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ACT_OR_EST_REUT" hidden="1">"c5471"</definedName>
    <definedName name="IQ_BV_ACT_OR_EST_THOM" hidden="1">"c5308"</definedName>
    <definedName name="IQ_BV_EST_REUT" hidden="1">"c5403"</definedName>
    <definedName name="IQ_BV_EST_THOM" hidden="1">"c5147"</definedName>
    <definedName name="IQ_BV_HIGH_EST_REUT" hidden="1">"c5405"</definedName>
    <definedName name="IQ_BV_HIGH_EST_THOM" hidden="1">"c5149"</definedName>
    <definedName name="IQ_BV_LOW_EST_REUT" hidden="1">"c5406"</definedName>
    <definedName name="IQ_BV_LOW_EST_THOM" hidden="1">"c5150"</definedName>
    <definedName name="IQ_BV_MEDIAN_EST_REUT" hidden="1">"c5404"</definedName>
    <definedName name="IQ_BV_MEDIAN_EST_THOM" hidden="1">"c5148"</definedName>
    <definedName name="IQ_BV_NUM_EST_REUT" hidden="1">"c5407"</definedName>
    <definedName name="IQ_BV_NUM_EST_THOM" hidden="1">"c5151"</definedName>
    <definedName name="IQ_BV_OVER_SHARES" hidden="1">"c1349"</definedName>
    <definedName name="IQ_BV_SHARE" hidden="1">"c100"</definedName>
    <definedName name="IQ_BV_STDDEV_EST_REUT" hidden="1">"c5408"</definedName>
    <definedName name="IQ_BV_STDDEV_EST_THOM" hidden="1">"c5152"</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"c1630"</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ASSB_OUTSTANDING_BS_DATE" hidden="1">"c1972"</definedName>
    <definedName name="IQ_CLASSB_OUTSTANDING_FILING_DATE" hidden="1">"c1974"</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TRACTS_OTHER_COMMODITIES_EQUITIES_FDIC" hidden="1">"c6522"</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 hidden="1">"c2801"</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BV_REUT" hidden="1">"c5409"</definedName>
    <definedName name="IQ_EST_ACT_BV_THOM" hidden="1">"c5153"</definedName>
    <definedName name="IQ_EST_ACT_EPS" hidden="1">"c1648"</definedName>
    <definedName name="IQ_EST_ACT_FFO_REUT" hidden="1">"c3843"</definedName>
    <definedName name="IQ_EST_ACT_FFO_THOM" hidden="1">"c4005"</definedName>
    <definedName name="IQ_EST_BV_DIFF_REUT" hidden="1">"c5433"</definedName>
    <definedName name="IQ_EST_BV_DIFF_THOM" hidden="1">"c5204"</definedName>
    <definedName name="IQ_EST_BV_SURPRISE_PERCENT_REUT" hidden="1">"c5434"</definedName>
    <definedName name="IQ_EST_BV_SURPRISE_PERCENT_THOM" hidden="1">"c5205"</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"019802400"</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EBT" hidden="1">"c423"</definedName>
    <definedName name="IQ_FHLB_DUE_AFTER_FIVE" hidden="1">"c2086"</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LT_DEBT" hidden="1">"c2086"</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_CURRENCY" hidden="1">"c2156"</definedName>
    <definedName name="IQ_ISSUE_NAME" hidden="1">"c2142"</definedName>
    <definedName name="IQ_ISSUED_GUARANTEED_US_FDIC" hidden="1">"c6404"</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ISTING_CURRENCY" hidden="1">"c2127"</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localSheetId="19" hidden="1">"04/14/2013 05:51:31"</definedName>
    <definedName name="IQ_NAMES_REVISION_DATE_" hidden="1">40452.4179861111</definedName>
    <definedName name="IQ_NAV_ACT_OR_EST" hidden="1">"c2225"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_OFFIC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CLASSB" hidden="1">"c1969"</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 hidden="1">"c1999"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CERCISED" hidden="1">"c2116"</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"c2127"</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OWNERSHIP" hidden="1">"c2160"</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EPS_TYPE_THOM" hidden="1">"c5297"</definedName>
    <definedName name="IQ_PRIMARY_INDUSTRY" hidden="1">"c1070"</definedName>
    <definedName name="IQ_PRINCIPAL_AMT" hidden="1">"c2157"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ALUATION_GAINS_FDIC" hidden="1">"c6428"</definedName>
    <definedName name="IQ_REVALUATION_LOSSES_FDIC" hidden="1">"c6429"</definedName>
    <definedName name="IQ_REVENUE" hidden="1">"c1422"</definedName>
    <definedName name="IQ_REVISION_DATE_" hidden="1">38745.3122453704</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ISSUE_LC_ACTION" hidden="1">"c2644"</definedName>
    <definedName name="IQ_SP_ISSUE_LC_DATE" hidden="1">"c2643"</definedName>
    <definedName name="IQ_SP_ISSUE_LC_LT" hidden="1">"c2645"</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GS_FIN" hidden="1">"c2998"</definedName>
    <definedName name="IQ_STOCK_BASED_COGS_UTIL" hidden="1">"c2997"</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LASTCLOSE" hidden="1">"c1855"</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DUE" hidden="1">"c2509"</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ADVISORS" hidden="1">"c2387"</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ADVISORS" hidden="1">"c2388"</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BDEBT" hidden="1">"c2370"</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ADVISORS" hidden="1">"c2386"</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 hidden="1">"c2930"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 hidden="1">"c2932"</definedName>
    <definedName name="IQ_US_GAAP_CL_ADJ" hidden="1">"c2927"</definedName>
    <definedName name="IQ_US_GAAP_COST_REV" hidden="1">"c2965"</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 hidden="1">"c2973"</definedName>
    <definedName name="IQ_US_GAAP_DO_ADJ" hidden="1">"c2959"</definedName>
    <definedName name="IQ_US_GAAP_EXTRA_ACC_ITEMS" hidden="1">"c2972"</definedName>
    <definedName name="IQ_US_GAAP_EXTRA_ACC_ITEMS_ADJ" hidden="1">"c2958"</definedName>
    <definedName name="IQ_US_GAAP_INC_TAX" hidden="1">"c2975"</definedName>
    <definedName name="IQ_US_GAAP_INC_TAX_ADJ" hidden="1">"c2961"</definedName>
    <definedName name="IQ_US_GAAP_INTEREST_EXP" hidden="1">"c2971"</definedName>
    <definedName name="IQ_US_GAAP_INTEREST_EXP_ADJ" hidden="1">"c2957"</definedName>
    <definedName name="IQ_US_GAAP_LIAB_LT" hidden="1">"c2933"</definedName>
    <definedName name="IQ_US_GAAP_LIAB_LT_ADJ" hidden="1">"c2928"</definedName>
    <definedName name="IQ_US_GAAP_LIAB_TOTAL_LIAB" hidden="1">"c2933"</definedName>
    <definedName name="IQ_US_GAAP_MINORITY_INTEREST_IS" hidden="1">"c2974"</definedName>
    <definedName name="IQ_US_GAAP_MINORITY_INTEREST_IS_ADJ" hidden="1">"c2960"</definedName>
    <definedName name="IQ_US_GAAP_NCA" hidden="1">"c2931"</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EXCL" hidden="1">"c2977"</definedName>
    <definedName name="IQ_US_GAAP_NI_AVAIL_INCL" hidden="1">"c2978"</definedName>
    <definedName name="IQ_US_GAAP_OTHER_ADJ_ADJ" hidden="1">"c2962"</definedName>
    <definedName name="IQ_US_GAAP_OTHER_NON_OPER" hidden="1">"c2969"</definedName>
    <definedName name="IQ_US_GAAP_OTHER_NON_OPER_ADJ" hidden="1">"c2955"</definedName>
    <definedName name="IQ_US_GAAP_OTHER_OPER" hidden="1">"c2968"</definedName>
    <definedName name="IQ_US_GAAP_OTHER_OPER_ADJ" hidden="1">"c2954"</definedName>
    <definedName name="IQ_US_GAAP_RD" hidden="1">"c2967"</definedName>
    <definedName name="IQ_US_GAAP_RD_ADJ" hidden="1">"c2953"</definedName>
    <definedName name="IQ_US_GAAP_SGA" hidden="1">"c2966"</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 hidden="1">"c2964"</definedName>
    <definedName name="IQ_US_GAAP_TOTAL_REV_ADJ" hidden="1">"c2950"</definedName>
    <definedName name="IQ_US_GAAP_TOTAL_UNUSUAL" hidden="1">"c2970"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RA10" hidden="1">"$A$11:$A$22"</definedName>
    <definedName name="IQRA100" hidden="1">"$A$101:$A$353"</definedName>
    <definedName name="IQRA101" hidden="1">"$A$102:$A$354"</definedName>
    <definedName name="IQRA134" hidden="1">"$A$135:$A$387"</definedName>
    <definedName name="IQRA50" hidden="1">"$A$51:$A$102"</definedName>
    <definedName name="IQRA52" hidden="1">"$A$53:$A$304"</definedName>
    <definedName name="IQRA53" hidden="1">"$A$54:$A$105"</definedName>
    <definedName name="IQRA54" hidden="1">"$A$55:$A$106"</definedName>
    <definedName name="IQRA55" hidden="1">"$A$56:$A$107"</definedName>
    <definedName name="IQRA56" hidden="1">"$A$57:$A$108"</definedName>
    <definedName name="IQRA57" hidden="1">"$A$58:$A$109"</definedName>
    <definedName name="IQRA58" hidden="1">"$A$59:$A$110"</definedName>
    <definedName name="IQRAdanaCimentoSanayiiTASBD21" localSheetId="15" hidden="1">#REF!</definedName>
    <definedName name="IQRAdanaCimentoSanayiiTASBD21" localSheetId="7" hidden="1">#REF!</definedName>
    <definedName name="IQRAdanaCimentoSanayiiTASBD21" localSheetId="0" hidden="1">#REF!</definedName>
    <definedName name="IQRAdanaCimentoSanayiiTASBD21" localSheetId="12" hidden="1">#REF!</definedName>
    <definedName name="IQRAdanaCimentoSanayiiTASBD21" localSheetId="8" hidden="1">#REF!</definedName>
    <definedName name="IQRAdanaCimentoSanayiiTASBD21" localSheetId="5" hidden="1">#REF!</definedName>
    <definedName name="IQRAdanaCimentoSanayiiTASBD21" localSheetId="2" hidden="1">#REF!</definedName>
    <definedName name="IQRAdanaCimentoSanayiiTASBD21" localSheetId="17" hidden="1">#REF!</definedName>
    <definedName name="IQRAdanaCimentoSanayiiTASBD21" localSheetId="19" hidden="1">#REF!</definedName>
    <definedName name="IQRAdanaCimentoSanayiiTASBD21" hidden="1">#REF!</definedName>
    <definedName name="IQRAkcansaCimentoASBD21" localSheetId="15" hidden="1">#REF!</definedName>
    <definedName name="IQRAkcansaCimentoASBD21" localSheetId="7" hidden="1">#REF!</definedName>
    <definedName name="IQRAkcansaCimentoASBD21" localSheetId="0" hidden="1">#REF!</definedName>
    <definedName name="IQRAkcansaCimentoASBD21" localSheetId="12" hidden="1">#REF!</definedName>
    <definedName name="IQRAkcansaCimentoASBD21" localSheetId="8" hidden="1">#REF!</definedName>
    <definedName name="IQRAkcansaCimentoASBD21" localSheetId="5" hidden="1">#REF!</definedName>
    <definedName name="IQRAkcansaCimentoASBD21" localSheetId="2" hidden="1">#REF!</definedName>
    <definedName name="IQRAkcansaCimentoASBD21" localSheetId="17" hidden="1">#REF!</definedName>
    <definedName name="IQRAkcansaCimentoASBD21" localSheetId="19" hidden="1">#REF!</definedName>
    <definedName name="IQRAkcansaCimentoASBD21" hidden="1">#REF!</definedName>
    <definedName name="IQRAppleIncBD21" localSheetId="15" hidden="1">#REF!</definedName>
    <definedName name="IQRAppleIncBD21" localSheetId="7" hidden="1">#REF!</definedName>
    <definedName name="IQRAppleIncBD21" localSheetId="0" hidden="1">#REF!</definedName>
    <definedName name="IQRAppleIncBD21" localSheetId="12" hidden="1">#REF!</definedName>
    <definedName name="IQRAppleIncBD21" localSheetId="8" hidden="1">#REF!</definedName>
    <definedName name="IQRAppleIncBD21" localSheetId="5" hidden="1">#REF!</definedName>
    <definedName name="IQRAppleIncBD21" localSheetId="2" hidden="1">#REF!</definedName>
    <definedName name="IQRAppleIncBD21" localSheetId="17" hidden="1">#REF!</definedName>
    <definedName name="IQRAppleIncBD21" localSheetId="19" hidden="1">#REF!</definedName>
    <definedName name="IQRAppleIncBD21" hidden="1">#REF!</definedName>
    <definedName name="IQRArabtecHoldingPJSCBD21" localSheetId="15" hidden="1">#REF!</definedName>
    <definedName name="IQRArabtecHoldingPJSCBD21" localSheetId="7" hidden="1">#REF!</definedName>
    <definedName name="IQRArabtecHoldingPJSCBD21" localSheetId="0" hidden="1">#REF!</definedName>
    <definedName name="IQRArabtecHoldingPJSCBD21" localSheetId="12" hidden="1">#REF!</definedName>
    <definedName name="IQRArabtecHoldingPJSCBD21" localSheetId="8" hidden="1">#REF!</definedName>
    <definedName name="IQRArabtecHoldingPJSCBD21" localSheetId="5" hidden="1">#REF!</definedName>
    <definedName name="IQRArabtecHoldingPJSCBD21" localSheetId="2" hidden="1">#REF!</definedName>
    <definedName name="IQRArabtecHoldingPJSCBD21" localSheetId="17" hidden="1">#REF!</definedName>
    <definedName name="IQRArabtecHoldingPJSCBD21" localSheetId="19" hidden="1">#REF!</definedName>
    <definedName name="IQRArabtecHoldingPJSCBD21" hidden="1">#REF!</definedName>
    <definedName name="IQRBA10" hidden="1">"$BA$11:$BA$22"</definedName>
    <definedName name="IQRBA27" hidden="1">"$BA$28:$BA$780"</definedName>
    <definedName name="IQRBA28" hidden="1">"$BA$29:$BA$454"</definedName>
    <definedName name="IQRBD21" hidden="1">"$BD$22:$BD$265"</definedName>
    <definedName name="IQRBloominBrandsIncBD21" localSheetId="15" hidden="1">#REF!</definedName>
    <definedName name="IQRBloominBrandsIncBD21" localSheetId="7" hidden="1">#REF!</definedName>
    <definedName name="IQRBloominBrandsIncBD21" localSheetId="0" hidden="1">#REF!</definedName>
    <definedName name="IQRBloominBrandsIncBD21" localSheetId="12" hidden="1">#REF!</definedName>
    <definedName name="IQRBloominBrandsIncBD21" localSheetId="8" hidden="1">#REF!</definedName>
    <definedName name="IQRBloominBrandsIncBD21" localSheetId="5" hidden="1">#REF!</definedName>
    <definedName name="IQRBloominBrandsIncBD21" localSheetId="2" hidden="1">#REF!</definedName>
    <definedName name="IQRBloominBrandsIncBD21" localSheetId="17" hidden="1">#REF!</definedName>
    <definedName name="IQRBloominBrandsIncBD21" localSheetId="19" hidden="1">#REF!</definedName>
    <definedName name="IQRBloominBrandsIncBD21" hidden="1">#REF!</definedName>
    <definedName name="IQRBrinkerInternationalIncBD21" localSheetId="15" hidden="1">#REF!</definedName>
    <definedName name="IQRBrinkerInternationalIncBD21" localSheetId="7" hidden="1">#REF!</definedName>
    <definedName name="IQRBrinkerInternationalIncBD21" localSheetId="0" hidden="1">#REF!</definedName>
    <definedName name="IQRBrinkerInternationalIncBD21" localSheetId="12" hidden="1">#REF!</definedName>
    <definedName name="IQRBrinkerInternationalIncBD21" localSheetId="8" hidden="1">#REF!</definedName>
    <definedName name="IQRBrinkerInternationalIncBD21" localSheetId="5" hidden="1">#REF!</definedName>
    <definedName name="IQRBrinkerInternationalIncBD21" localSheetId="2" hidden="1">#REF!</definedName>
    <definedName name="IQRBrinkerInternationalIncBD21" localSheetId="17" hidden="1">#REF!</definedName>
    <definedName name="IQRBrinkerInternationalIncBD21" localSheetId="19" hidden="1">#REF!</definedName>
    <definedName name="IQRBrinkerInternationalIncBD21" hidden="1">#REF!</definedName>
    <definedName name="IQRBurgerKingWorldwideIncBD21" localSheetId="15" hidden="1">#REF!</definedName>
    <definedName name="IQRBurgerKingWorldwideIncBD21" localSheetId="7" hidden="1">#REF!</definedName>
    <definedName name="IQRBurgerKingWorldwideIncBD21" localSheetId="0" hidden="1">#REF!</definedName>
    <definedName name="IQRBurgerKingWorldwideIncBD21" localSheetId="12" hidden="1">#REF!</definedName>
    <definedName name="IQRBurgerKingWorldwideIncBD21" localSheetId="8" hidden="1">#REF!</definedName>
    <definedName name="IQRBurgerKingWorldwideIncBD21" localSheetId="5" hidden="1">#REF!</definedName>
    <definedName name="IQRBurgerKingWorldwideIncBD21" localSheetId="2" hidden="1">#REF!</definedName>
    <definedName name="IQRBurgerKingWorldwideIncBD21" localSheetId="17" hidden="1">#REF!</definedName>
    <definedName name="IQRBurgerKingWorldwideIncBD21" localSheetId="19" hidden="1">#REF!</definedName>
    <definedName name="IQRBurgerKingWorldwideIncBD21" hidden="1">#REF!</definedName>
    <definedName name="IQRChipotleMexicanGrillIncBD21" localSheetId="15" hidden="1">#REF!</definedName>
    <definedName name="IQRChipotleMexicanGrillIncBD21" localSheetId="7" hidden="1">#REF!</definedName>
    <definedName name="IQRChipotleMexicanGrillIncBD21" localSheetId="0" hidden="1">#REF!</definedName>
    <definedName name="IQRChipotleMexicanGrillIncBD21" localSheetId="12" hidden="1">#REF!</definedName>
    <definedName name="IQRChipotleMexicanGrillIncBD21" localSheetId="8" hidden="1">#REF!</definedName>
    <definedName name="IQRChipotleMexicanGrillIncBD21" localSheetId="5" hidden="1">#REF!</definedName>
    <definedName name="IQRChipotleMexicanGrillIncBD21" localSheetId="2" hidden="1">#REF!</definedName>
    <definedName name="IQRChipotleMexicanGrillIncBD21" localSheetId="17" hidden="1">#REF!</definedName>
    <definedName name="IQRChipotleMexicanGrillIncBD21" localSheetId="19" hidden="1">#REF!</definedName>
    <definedName name="IQRChipotleMexicanGrillIncBD21" hidden="1">#REF!</definedName>
    <definedName name="IQRCimentasIzmirCimentoFabrBD21" localSheetId="15" hidden="1">#REF!</definedName>
    <definedName name="IQRCimentasIzmirCimentoFabrBD21" localSheetId="7" hidden="1">#REF!</definedName>
    <definedName name="IQRCimentasIzmirCimentoFabrBD21" localSheetId="0" hidden="1">#REF!</definedName>
    <definedName name="IQRCimentasIzmirCimentoFabrBD21" localSheetId="12" hidden="1">#REF!</definedName>
    <definedName name="IQRCimentasIzmirCimentoFabrBD21" localSheetId="8" hidden="1">#REF!</definedName>
    <definedName name="IQRCimentasIzmirCimentoFabrBD21" localSheetId="5" hidden="1">#REF!</definedName>
    <definedName name="IQRCimentasIzmirCimentoFabrBD21" localSheetId="2" hidden="1">#REF!</definedName>
    <definedName name="IQRCimentasIzmirCimentoFabrBD21" localSheetId="17" hidden="1">#REF!</definedName>
    <definedName name="IQRCimentasIzmirCimentoFabrBD21" localSheetId="19" hidden="1">#REF!</definedName>
    <definedName name="IQRCimentasIzmirCimentoFabrBD21" hidden="1">#REF!</definedName>
    <definedName name="IQRCimsaCimentoSanayiveTicBD21" localSheetId="15" hidden="1">#REF!</definedName>
    <definedName name="IQRCimsaCimentoSanayiveTicBD21" localSheetId="7" hidden="1">#REF!</definedName>
    <definedName name="IQRCimsaCimentoSanayiveTicBD21" localSheetId="0" hidden="1">#REF!</definedName>
    <definedName name="IQRCimsaCimentoSanayiveTicBD21" localSheetId="12" hidden="1">#REF!</definedName>
    <definedName name="IQRCimsaCimentoSanayiveTicBD21" localSheetId="8" hidden="1">#REF!</definedName>
    <definedName name="IQRCimsaCimentoSanayiveTicBD21" localSheetId="5" hidden="1">#REF!</definedName>
    <definedName name="IQRCimsaCimentoSanayiveTicBD21" localSheetId="2" hidden="1">#REF!</definedName>
    <definedName name="IQRCimsaCimentoSanayiveTicBD21" localSheetId="17" hidden="1">#REF!</definedName>
    <definedName name="IQRCimsaCimentoSanayiveTicBD21" localSheetId="19" hidden="1">#REF!</definedName>
    <definedName name="IQRCimsaCimentoSanayiveTicBD21" hidden="1">#REF!</definedName>
    <definedName name="IQRCitigroupIncBD21" localSheetId="15" hidden="1">#REF!</definedName>
    <definedName name="IQRCitigroupIncBD21" localSheetId="7" hidden="1">#REF!</definedName>
    <definedName name="IQRCitigroupIncBD21" localSheetId="0" hidden="1">#REF!</definedName>
    <definedName name="IQRCitigroupIncBD21" localSheetId="12" hidden="1">#REF!</definedName>
    <definedName name="IQRCitigroupIncBD21" localSheetId="8" hidden="1">#REF!</definedName>
    <definedName name="IQRCitigroupIncBD21" localSheetId="5" hidden="1">#REF!</definedName>
    <definedName name="IQRCitigroupIncBD21" localSheetId="2" hidden="1">#REF!</definedName>
    <definedName name="IQRCitigroupIncBD21" localSheetId="17" hidden="1">#REF!</definedName>
    <definedName name="IQRCitigroupIncBD21" localSheetId="19" hidden="1">#REF!</definedName>
    <definedName name="IQRCitigroupIncBD21" hidden="1">#REF!</definedName>
    <definedName name="IQRCrackerBarrelOldCountryBD21" localSheetId="15" hidden="1">#REF!</definedName>
    <definedName name="IQRCrackerBarrelOldCountryBD21" localSheetId="7" hidden="1">#REF!</definedName>
    <definedName name="IQRCrackerBarrelOldCountryBD21" localSheetId="0" hidden="1">#REF!</definedName>
    <definedName name="IQRCrackerBarrelOldCountryBD21" localSheetId="12" hidden="1">#REF!</definedName>
    <definedName name="IQRCrackerBarrelOldCountryBD21" localSheetId="8" hidden="1">#REF!</definedName>
    <definedName name="IQRCrackerBarrelOldCountryBD21" localSheetId="5" hidden="1">#REF!</definedName>
    <definedName name="IQRCrackerBarrelOldCountryBD21" localSheetId="2" hidden="1">#REF!</definedName>
    <definedName name="IQRCrackerBarrelOldCountryBD21" localSheetId="17" hidden="1">#REF!</definedName>
    <definedName name="IQRCrackerBarrelOldCountryBD21" localSheetId="19" hidden="1">#REF!</definedName>
    <definedName name="IQRCrackerBarrelOldCountryBD21" hidden="1">#REF!</definedName>
    <definedName name="IQRDardenRestaurantsIncBD21" localSheetId="15" hidden="1">#REF!</definedName>
    <definedName name="IQRDardenRestaurantsIncBD21" localSheetId="7" hidden="1">#REF!</definedName>
    <definedName name="IQRDardenRestaurantsIncBD21" localSheetId="0" hidden="1">#REF!</definedName>
    <definedName name="IQRDardenRestaurantsIncBD21" localSheetId="12" hidden="1">#REF!</definedName>
    <definedName name="IQRDardenRestaurantsIncBD21" localSheetId="8" hidden="1">#REF!</definedName>
    <definedName name="IQRDardenRestaurantsIncBD21" localSheetId="5" hidden="1">#REF!</definedName>
    <definedName name="IQRDardenRestaurantsIncBD21" localSheetId="2" hidden="1">#REF!</definedName>
    <definedName name="IQRDardenRestaurantsIncBD21" localSheetId="17" hidden="1">#REF!</definedName>
    <definedName name="IQRDardenRestaurantsIncBD21" localSheetId="19" hidden="1">#REF!</definedName>
    <definedName name="IQRDardenRestaurantsIncBD21" hidden="1">#REF!</definedName>
    <definedName name="IQRDellIncBD21" localSheetId="15" hidden="1">#REF!</definedName>
    <definedName name="IQRDellIncBD21" localSheetId="7" hidden="1">#REF!</definedName>
    <definedName name="IQRDellIncBD21" localSheetId="0" hidden="1">#REF!</definedName>
    <definedName name="IQRDellIncBD21" localSheetId="12" hidden="1">#REF!</definedName>
    <definedName name="IQRDellIncBD21" localSheetId="8" hidden="1">#REF!</definedName>
    <definedName name="IQRDellIncBD21" localSheetId="5" hidden="1">#REF!</definedName>
    <definedName name="IQRDellIncBD21" localSheetId="2" hidden="1">#REF!</definedName>
    <definedName name="IQRDellIncBD21" localSheetId="17" hidden="1">#REF!</definedName>
    <definedName name="IQRDellIncBD21" localSheetId="19" hidden="1">#REF!</definedName>
    <definedName name="IQRDellIncBD21" hidden="1">#REF!</definedName>
    <definedName name="IQRDFMARTCBD21" localSheetId="15" hidden="1">#REF!</definedName>
    <definedName name="IQRDFMARTCBD21" localSheetId="7" hidden="1">#REF!</definedName>
    <definedName name="IQRDFMARTCBD21" localSheetId="0" hidden="1">#REF!</definedName>
    <definedName name="IQRDFMARTCBD21" localSheetId="12" hidden="1">#REF!</definedName>
    <definedName name="IQRDFMARTCBD21" localSheetId="8" hidden="1">#REF!</definedName>
    <definedName name="IQRDFMARTCBD21" localSheetId="5" hidden="1">#REF!</definedName>
    <definedName name="IQRDFMARTCBD21" localSheetId="2" hidden="1">#REF!</definedName>
    <definedName name="IQRDFMARTCBD21" localSheetId="17" hidden="1">#REF!</definedName>
    <definedName name="IQRDFMARTCBD21" localSheetId="19" hidden="1">#REF!</definedName>
    <definedName name="IQRDFMARTCBD21" hidden="1">#REF!</definedName>
    <definedName name="IQRDrakeScullInternationalBD21" localSheetId="15" hidden="1">#REF!</definedName>
    <definedName name="IQRDrakeScullInternationalBD21" localSheetId="7" hidden="1">#REF!</definedName>
    <definedName name="IQRDrakeScullInternationalBD21" localSheetId="0" hidden="1">#REF!</definedName>
    <definedName name="IQRDrakeScullInternationalBD21" localSheetId="12" hidden="1">#REF!</definedName>
    <definedName name="IQRDrakeScullInternationalBD21" localSheetId="8" hidden="1">#REF!</definedName>
    <definedName name="IQRDrakeScullInternationalBD21" localSheetId="5" hidden="1">#REF!</definedName>
    <definedName name="IQRDrakeScullInternationalBD21" localSheetId="2" hidden="1">#REF!</definedName>
    <definedName name="IQRDrakeScullInternationalBD21" localSheetId="17" hidden="1">#REF!</definedName>
    <definedName name="IQRDrakeScullInternationalBD21" localSheetId="19" hidden="1">#REF!</definedName>
    <definedName name="IQRDrakeScullInternationalBD21" hidden="1">#REF!</definedName>
    <definedName name="IQREmaarPropertiesPJSCBD21" localSheetId="15" hidden="1">#REF!</definedName>
    <definedName name="IQREmaarPropertiesPJSCBD21" localSheetId="7" hidden="1">#REF!</definedName>
    <definedName name="IQREmaarPropertiesPJSCBD21" localSheetId="0" hidden="1">#REF!</definedName>
    <definedName name="IQREmaarPropertiesPJSCBD21" localSheetId="12" hidden="1">#REF!</definedName>
    <definedName name="IQREmaarPropertiesPJSCBD21" localSheetId="8" hidden="1">#REF!</definedName>
    <definedName name="IQREmaarPropertiesPJSCBD21" localSheetId="5" hidden="1">#REF!</definedName>
    <definedName name="IQREmaarPropertiesPJSCBD21" localSheetId="2" hidden="1">#REF!</definedName>
    <definedName name="IQREmaarPropertiesPJSCBD21" localSheetId="17" hidden="1">#REF!</definedName>
    <definedName name="IQREmaarPropertiesPJSCBD21" localSheetId="19" hidden="1">#REF!</definedName>
    <definedName name="IQREmaarPropertiesPJSCBD21" hidden="1">#REF!</definedName>
    <definedName name="IQRFordMotorCoBD21" localSheetId="15" hidden="1">#REF!</definedName>
    <definedName name="IQRFordMotorCoBD21" localSheetId="7" hidden="1">#REF!</definedName>
    <definedName name="IQRFordMotorCoBD21" localSheetId="0" hidden="1">#REF!</definedName>
    <definedName name="IQRFordMotorCoBD21" localSheetId="12" hidden="1">#REF!</definedName>
    <definedName name="IQRFordMotorCoBD21" localSheetId="8" hidden="1">#REF!</definedName>
    <definedName name="IQRFordMotorCoBD21" localSheetId="5" hidden="1">#REF!</definedName>
    <definedName name="IQRFordMotorCoBD21" localSheetId="2" hidden="1">#REF!</definedName>
    <definedName name="IQRFordMotorCoBD21" localSheetId="17" hidden="1">#REF!</definedName>
    <definedName name="IQRFordMotorCoBD21" localSheetId="19" hidden="1">#REF!</definedName>
    <definedName name="IQRFordMotorCoBD21" hidden="1">#REF!</definedName>
    <definedName name="IQRGalfarEngineeringContraBD21" localSheetId="15" hidden="1">#REF!</definedName>
    <definedName name="IQRGalfarEngineeringContraBD21" localSheetId="7" hidden="1">#REF!</definedName>
    <definedName name="IQRGalfarEngineeringContraBD21" localSheetId="0" hidden="1">#REF!</definedName>
    <definedName name="IQRGalfarEngineeringContraBD21" localSheetId="12" hidden="1">#REF!</definedName>
    <definedName name="IQRGalfarEngineeringContraBD21" localSheetId="8" hidden="1">#REF!</definedName>
    <definedName name="IQRGalfarEngineeringContraBD21" localSheetId="5" hidden="1">#REF!</definedName>
    <definedName name="IQRGalfarEngineeringContraBD21" localSheetId="2" hidden="1">#REF!</definedName>
    <definedName name="IQRGalfarEngineeringContraBD21" localSheetId="17" hidden="1">#REF!</definedName>
    <definedName name="IQRGalfarEngineeringContraBD21" localSheetId="19" hidden="1">#REF!</definedName>
    <definedName name="IQRGalfarEngineeringContraBD21" hidden="1">#REF!</definedName>
    <definedName name="IQRGeneralElectricCompanyBD21" localSheetId="15" hidden="1">#REF!</definedName>
    <definedName name="IQRGeneralElectricCompanyBD21" localSheetId="7" hidden="1">#REF!</definedName>
    <definedName name="IQRGeneralElectricCompanyBD21" localSheetId="0" hidden="1">#REF!</definedName>
    <definedName name="IQRGeneralElectricCompanyBD21" localSheetId="12" hidden="1">#REF!</definedName>
    <definedName name="IQRGeneralElectricCompanyBD21" localSheetId="8" hidden="1">#REF!</definedName>
    <definedName name="IQRGeneralElectricCompanyBD21" localSheetId="5" hidden="1">#REF!</definedName>
    <definedName name="IQRGeneralElectricCompanyBD21" localSheetId="2" hidden="1">#REF!</definedName>
    <definedName name="IQRGeneralElectricCompanyBD21" localSheetId="17" hidden="1">#REF!</definedName>
    <definedName name="IQRGeneralElectricCompanyBD21" localSheetId="19" hidden="1">#REF!</definedName>
    <definedName name="IQRGeneralElectricCompanyBD21" hidden="1">#REF!</definedName>
    <definedName name="IQRGoogleIncBD21" localSheetId="15" hidden="1">#REF!</definedName>
    <definedName name="IQRGoogleIncBD21" localSheetId="7" hidden="1">#REF!</definedName>
    <definedName name="IQRGoogleIncBD21" localSheetId="0" hidden="1">#REF!</definedName>
    <definedName name="IQRGoogleIncBD21" localSheetId="12" hidden="1">#REF!</definedName>
    <definedName name="IQRGoogleIncBD21" localSheetId="8" hidden="1">#REF!</definedName>
    <definedName name="IQRGoogleIncBD21" localSheetId="5" hidden="1">#REF!</definedName>
    <definedName name="IQRGoogleIncBD21" localSheetId="2" hidden="1">#REF!</definedName>
    <definedName name="IQRGoogleIncBD21" localSheetId="17" hidden="1">#REF!</definedName>
    <definedName name="IQRGoogleIncBD21" localSheetId="19" hidden="1">#REF!</definedName>
    <definedName name="IQRGoogleIncBD21" hidden="1">#REF!</definedName>
    <definedName name="IQRHolcimLibanSALBD21" localSheetId="15" hidden="1">#REF!</definedName>
    <definedName name="IQRHolcimLibanSALBD21" localSheetId="7" hidden="1">#REF!</definedName>
    <definedName name="IQRHolcimLibanSALBD21" localSheetId="0" hidden="1">#REF!</definedName>
    <definedName name="IQRHolcimLibanSALBD21" localSheetId="12" hidden="1">#REF!</definedName>
    <definedName name="IQRHolcimLibanSALBD21" localSheetId="8" hidden="1">#REF!</definedName>
    <definedName name="IQRHolcimLibanSALBD21" localSheetId="5" hidden="1">#REF!</definedName>
    <definedName name="IQRHolcimLibanSALBD21" localSheetId="2" hidden="1">#REF!</definedName>
    <definedName name="IQRHolcimLibanSALBD21" localSheetId="17" hidden="1">#REF!</definedName>
    <definedName name="IQRHolcimLibanSALBD21" localSheetId="19" hidden="1">#REF!</definedName>
    <definedName name="IQRHolcimLibanSALBD21" hidden="1">#REF!</definedName>
    <definedName name="IQRInternationalBusinessMachBD21" localSheetId="15" hidden="1">#REF!</definedName>
    <definedName name="IQRInternationalBusinessMachBD21" localSheetId="7" hidden="1">#REF!</definedName>
    <definedName name="IQRInternationalBusinessMachBD21" localSheetId="0" hidden="1">#REF!</definedName>
    <definedName name="IQRInternationalBusinessMachBD21" localSheetId="12" hidden="1">#REF!</definedName>
    <definedName name="IQRInternationalBusinessMachBD21" localSheetId="8" hidden="1">#REF!</definedName>
    <definedName name="IQRInternationalBusinessMachBD21" localSheetId="5" hidden="1">#REF!</definedName>
    <definedName name="IQRInternationalBusinessMachBD21" localSheetId="2" hidden="1">#REF!</definedName>
    <definedName name="IQRInternationalBusinessMachBD21" localSheetId="17" hidden="1">#REF!</definedName>
    <definedName name="IQRInternationalBusinessMachBD21" localSheetId="19" hidden="1">#REF!</definedName>
    <definedName name="IQRInternationalBusinessMachBD21" hidden="1">#REF!</definedName>
    <definedName name="IQRJackintheBoxIncBD21" localSheetId="15" hidden="1">#REF!</definedName>
    <definedName name="IQRJackintheBoxIncBD21" localSheetId="7" hidden="1">#REF!</definedName>
    <definedName name="IQRJackintheBoxIncBD21" localSheetId="0" hidden="1">#REF!</definedName>
    <definedName name="IQRJackintheBoxIncBD21" localSheetId="12" hidden="1">#REF!</definedName>
    <definedName name="IQRJackintheBoxIncBD21" localSheetId="8" hidden="1">#REF!</definedName>
    <definedName name="IQRJackintheBoxIncBD21" localSheetId="5" hidden="1">#REF!</definedName>
    <definedName name="IQRJackintheBoxIncBD21" localSheetId="2" hidden="1">#REF!</definedName>
    <definedName name="IQRJackintheBoxIncBD21" localSheetId="17" hidden="1">#REF!</definedName>
    <definedName name="IQRJackintheBoxIncBD21" localSheetId="19" hidden="1">#REF!</definedName>
    <definedName name="IQRJackintheBoxIncBD21" hidden="1">#REF!</definedName>
    <definedName name="IQRKraftFoodsIncBD21" localSheetId="15" hidden="1">#REF!</definedName>
    <definedName name="IQRKraftFoodsIncBD21" localSheetId="7" hidden="1">#REF!</definedName>
    <definedName name="IQRKraftFoodsIncBD21" localSheetId="0" hidden="1">#REF!</definedName>
    <definedName name="IQRKraftFoodsIncBD21" localSheetId="12" hidden="1">#REF!</definedName>
    <definedName name="IQRKraftFoodsIncBD21" localSheetId="8" hidden="1">#REF!</definedName>
    <definedName name="IQRKraftFoodsIncBD21" localSheetId="5" hidden="1">#REF!</definedName>
    <definedName name="IQRKraftFoodsIncBD21" localSheetId="2" hidden="1">#REF!</definedName>
    <definedName name="IQRKraftFoodsIncBD21" localSheetId="17" hidden="1">#REF!</definedName>
    <definedName name="IQRKraftFoodsIncBD21" localSheetId="19" hidden="1">#REF!</definedName>
    <definedName name="IQRKraftFoodsIncBD21" hidden="1">#REF!</definedName>
    <definedName name="IQRMardinCimentoSanayiiveTBD21" localSheetId="15" hidden="1">#REF!</definedName>
    <definedName name="IQRMardinCimentoSanayiiveTBD21" localSheetId="7" hidden="1">#REF!</definedName>
    <definedName name="IQRMardinCimentoSanayiiveTBD21" localSheetId="0" hidden="1">#REF!</definedName>
    <definedName name="IQRMardinCimentoSanayiiveTBD21" localSheetId="12" hidden="1">#REF!</definedName>
    <definedName name="IQRMardinCimentoSanayiiveTBD21" localSheetId="8" hidden="1">#REF!</definedName>
    <definedName name="IQRMardinCimentoSanayiiveTBD21" localSheetId="5" hidden="1">#REF!</definedName>
    <definedName name="IQRMardinCimentoSanayiiveTBD21" localSheetId="2" hidden="1">#REF!</definedName>
    <definedName name="IQRMardinCimentoSanayiiveTBD21" localSheetId="17" hidden="1">#REF!</definedName>
    <definedName name="IQRMardinCimentoSanayiiveTBD21" localSheetId="19" hidden="1">#REF!</definedName>
    <definedName name="IQRMardinCimentoSanayiiveTBD21" hidden="1">#REF!</definedName>
    <definedName name="IQRMcDonaldsCorpBD21" localSheetId="15" hidden="1">#REF!</definedName>
    <definedName name="IQRMcDonaldsCorpBD21" localSheetId="7" hidden="1">#REF!</definedName>
    <definedName name="IQRMcDonaldsCorpBD21" localSheetId="0" hidden="1">#REF!</definedName>
    <definedName name="IQRMcDonaldsCorpBD21" localSheetId="12" hidden="1">#REF!</definedName>
    <definedName name="IQRMcDonaldsCorpBD21" localSheetId="8" hidden="1">#REF!</definedName>
    <definedName name="IQRMcDonaldsCorpBD21" localSheetId="5" hidden="1">#REF!</definedName>
    <definedName name="IQRMcDonaldsCorpBD21" localSheetId="2" hidden="1">#REF!</definedName>
    <definedName name="IQRMcDonaldsCorpBD21" localSheetId="17" hidden="1">#REF!</definedName>
    <definedName name="IQRMcDonaldsCorpBD21" localSheetId="19" hidden="1">#REF!</definedName>
    <definedName name="IQRMcDonaldsCorpBD21" hidden="1">#REF!</definedName>
    <definedName name="IQRMicrosoftCorporationBD21" localSheetId="15" hidden="1">#REF!</definedName>
    <definedName name="IQRMicrosoftCorporationBD21" localSheetId="7" hidden="1">#REF!</definedName>
    <definedName name="IQRMicrosoftCorporationBD21" localSheetId="0" hidden="1">#REF!</definedName>
    <definedName name="IQRMicrosoftCorporationBD21" localSheetId="12" hidden="1">#REF!</definedName>
    <definedName name="IQRMicrosoftCorporationBD21" localSheetId="8" hidden="1">#REF!</definedName>
    <definedName name="IQRMicrosoftCorporationBD21" localSheetId="5" hidden="1">#REF!</definedName>
    <definedName name="IQRMicrosoftCorporationBD21" localSheetId="2" hidden="1">#REF!</definedName>
    <definedName name="IQRMicrosoftCorporationBD21" localSheetId="17" hidden="1">#REF!</definedName>
    <definedName name="IQRMicrosoftCorporationBD21" localSheetId="19" hidden="1">#REF!</definedName>
    <definedName name="IQRMicrosoftCorporationBD21" hidden="1">#REF!</definedName>
    <definedName name="IQRMohammadAlMojilGroupBD21" localSheetId="15" hidden="1">#REF!</definedName>
    <definedName name="IQRMohammadAlMojilGroupBD21" localSheetId="7" hidden="1">#REF!</definedName>
    <definedName name="IQRMohammadAlMojilGroupBD21" localSheetId="0" hidden="1">#REF!</definedName>
    <definedName name="IQRMohammadAlMojilGroupBD21" localSheetId="12" hidden="1">#REF!</definedName>
    <definedName name="IQRMohammadAlMojilGroupBD21" localSheetId="8" hidden="1">#REF!</definedName>
    <definedName name="IQRMohammadAlMojilGroupBD21" localSheetId="5" hidden="1">#REF!</definedName>
    <definedName name="IQRMohammadAlMojilGroupBD21" localSheetId="2" hidden="1">#REF!</definedName>
    <definedName name="IQRMohammadAlMojilGroupBD21" localSheetId="17" hidden="1">#REF!</definedName>
    <definedName name="IQRMohammadAlMojilGroupBD21" localSheetId="19" hidden="1">#REF!</definedName>
    <definedName name="IQRMohammadAlMojilGroupBD21" hidden="1">#REF!</definedName>
    <definedName name="IQRNasdaqGSDELLBD21" localSheetId="15" hidden="1">#REF!</definedName>
    <definedName name="IQRNasdaqGSDELLBD21" localSheetId="7" hidden="1">#REF!</definedName>
    <definedName name="IQRNasdaqGSDELLBD21" localSheetId="0" hidden="1">#REF!</definedName>
    <definedName name="IQRNasdaqGSDELLBD21" localSheetId="12" hidden="1">#REF!</definedName>
    <definedName name="IQRNasdaqGSDELLBD21" localSheetId="8" hidden="1">#REF!</definedName>
    <definedName name="IQRNasdaqGSDELLBD21" localSheetId="5" hidden="1">#REF!</definedName>
    <definedName name="IQRNasdaqGSDELLBD21" localSheetId="2" hidden="1">#REF!</definedName>
    <definedName name="IQRNasdaqGSDELLBD21" localSheetId="17" hidden="1">#REF!</definedName>
    <definedName name="IQRNasdaqGSDELLBD21" localSheetId="19" hidden="1">#REF!</definedName>
    <definedName name="IQRNasdaqGSDELLBD21" hidden="1">#REF!</definedName>
    <definedName name="IQRNassCorporationBSCBD21" localSheetId="15" hidden="1">#REF!</definedName>
    <definedName name="IQRNassCorporationBSCBD21" localSheetId="7" hidden="1">#REF!</definedName>
    <definedName name="IQRNassCorporationBSCBD21" localSheetId="0" hidden="1">#REF!</definedName>
    <definedName name="IQRNassCorporationBSCBD21" localSheetId="12" hidden="1">#REF!</definedName>
    <definedName name="IQRNassCorporationBSCBD21" localSheetId="8" hidden="1">#REF!</definedName>
    <definedName name="IQRNassCorporationBSCBD21" localSheetId="5" hidden="1">#REF!</definedName>
    <definedName name="IQRNassCorporationBSCBD21" localSheetId="2" hidden="1">#REF!</definedName>
    <definedName name="IQRNassCorporationBSCBD21" localSheetId="17" hidden="1">#REF!</definedName>
    <definedName name="IQRNassCorporationBSCBD21" localSheetId="19" hidden="1">#REF!</definedName>
    <definedName name="IQRNassCorporationBSCBD21" hidden="1">#REF!</definedName>
    <definedName name="IQRNationalIndustriesCompanyBD21" localSheetId="15" hidden="1">#REF!</definedName>
    <definedName name="IQRNationalIndustriesCompanyBD21" localSheetId="7" hidden="1">#REF!</definedName>
    <definedName name="IQRNationalIndustriesCompanyBD21" localSheetId="0" hidden="1">#REF!</definedName>
    <definedName name="IQRNationalIndustriesCompanyBD21" localSheetId="12" hidden="1">#REF!</definedName>
    <definedName name="IQRNationalIndustriesCompanyBD21" localSheetId="8" hidden="1">#REF!</definedName>
    <definedName name="IQRNationalIndustriesCompanyBD21" localSheetId="5" hidden="1">#REF!</definedName>
    <definedName name="IQRNationalIndustriesCompanyBD21" localSheetId="2" hidden="1">#REF!</definedName>
    <definedName name="IQRNationalIndustriesCompanyBD21" localSheetId="17" hidden="1">#REF!</definedName>
    <definedName name="IQRNationalIndustriesCompanyBD21" localSheetId="19" hidden="1">#REF!</definedName>
    <definedName name="IQRNationalIndustriesCompanyBD21" hidden="1">#REF!</definedName>
    <definedName name="IQRPaneraBreadCoBD21" localSheetId="15" hidden="1">#REF!</definedName>
    <definedName name="IQRPaneraBreadCoBD21" localSheetId="7" hidden="1">#REF!</definedName>
    <definedName name="IQRPaneraBreadCoBD21" localSheetId="0" hidden="1">#REF!</definedName>
    <definedName name="IQRPaneraBreadCoBD21" localSheetId="12" hidden="1">#REF!</definedName>
    <definedName name="IQRPaneraBreadCoBD21" localSheetId="8" hidden="1">#REF!</definedName>
    <definedName name="IQRPaneraBreadCoBD21" localSheetId="5" hidden="1">#REF!</definedName>
    <definedName name="IQRPaneraBreadCoBD21" localSheetId="2" hidden="1">#REF!</definedName>
    <definedName name="IQRPaneraBreadCoBD21" localSheetId="17" hidden="1">#REF!</definedName>
    <definedName name="IQRPaneraBreadCoBD21" localSheetId="19" hidden="1">#REF!</definedName>
    <definedName name="IQRPaneraBreadCoBD21" hidden="1">#REF!</definedName>
    <definedName name="IQRPepsicoIncBD21" localSheetId="15" hidden="1">#REF!</definedName>
    <definedName name="IQRPepsicoIncBD21" localSheetId="7" hidden="1">#REF!</definedName>
    <definedName name="IQRPepsicoIncBD21" localSheetId="0" hidden="1">#REF!</definedName>
    <definedName name="IQRPepsicoIncBD21" localSheetId="12" hidden="1">#REF!</definedName>
    <definedName name="IQRPepsicoIncBD21" localSheetId="8" hidden="1">#REF!</definedName>
    <definedName name="IQRPepsicoIncBD21" localSheetId="5" hidden="1">#REF!</definedName>
    <definedName name="IQRPepsicoIncBD21" localSheetId="2" hidden="1">#REF!</definedName>
    <definedName name="IQRPepsicoIncBD21" localSheetId="17" hidden="1">#REF!</definedName>
    <definedName name="IQRPepsicoIncBD21" localSheetId="19" hidden="1">#REF!</definedName>
    <definedName name="IQRPepsicoIncBD21" hidden="1">#REF!</definedName>
    <definedName name="IQRQassimCementCompanyBD21" localSheetId="15" hidden="1">#REF!</definedName>
    <definedName name="IQRQassimCementCompanyBD21" localSheetId="7" hidden="1">#REF!</definedName>
    <definedName name="IQRQassimCementCompanyBD21" localSheetId="0" hidden="1">#REF!</definedName>
    <definedName name="IQRQassimCementCompanyBD21" localSheetId="12" hidden="1">#REF!</definedName>
    <definedName name="IQRQassimCementCompanyBD21" localSheetId="8" hidden="1">#REF!</definedName>
    <definedName name="IQRQassimCementCompanyBD21" localSheetId="5" hidden="1">#REF!</definedName>
    <definedName name="IQRQassimCementCompanyBD21" localSheetId="2" hidden="1">#REF!</definedName>
    <definedName name="IQRQassimCementCompanyBD21" localSheetId="17" hidden="1">#REF!</definedName>
    <definedName name="IQRQassimCementCompanyBD21" localSheetId="19" hidden="1">#REF!</definedName>
    <definedName name="IQRQassimCementCompanyBD21" hidden="1">#REF!</definedName>
    <definedName name="IQRReadyMixConcreteandConsBD21" localSheetId="15" hidden="1">#REF!</definedName>
    <definedName name="IQRReadyMixConcreteandConsBD21" localSheetId="7" hidden="1">#REF!</definedName>
    <definedName name="IQRReadyMixConcreteandConsBD21" localSheetId="0" hidden="1">#REF!</definedName>
    <definedName name="IQRReadyMixConcreteandConsBD21" localSheetId="12" hidden="1">#REF!</definedName>
    <definedName name="IQRReadyMixConcreteandConsBD21" localSheetId="8" hidden="1">#REF!</definedName>
    <definedName name="IQRReadyMixConcreteandConsBD21" localSheetId="5" hidden="1">#REF!</definedName>
    <definedName name="IQRReadyMixConcreteandConsBD21" localSheetId="2" hidden="1">#REF!</definedName>
    <definedName name="IQRReadyMixConcreteandConsBD21" localSheetId="17" hidden="1">#REF!</definedName>
    <definedName name="IQRReadyMixConcreteandConsBD21" localSheetId="19" hidden="1">#REF!</definedName>
    <definedName name="IQRReadyMixConcreteandConsBD21" hidden="1">#REF!</definedName>
    <definedName name="IQRStarbucksCorporationBD21" localSheetId="15" hidden="1">#REF!</definedName>
    <definedName name="IQRStarbucksCorporationBD21" localSheetId="7" hidden="1">#REF!</definedName>
    <definedName name="IQRStarbucksCorporationBD21" localSheetId="0" hidden="1">#REF!</definedName>
    <definedName name="IQRStarbucksCorporationBD21" localSheetId="12" hidden="1">#REF!</definedName>
    <definedName name="IQRStarbucksCorporationBD21" localSheetId="8" hidden="1">#REF!</definedName>
    <definedName name="IQRStarbucksCorporationBD21" localSheetId="5" hidden="1">#REF!</definedName>
    <definedName name="IQRStarbucksCorporationBD21" localSheetId="2" hidden="1">#REF!</definedName>
    <definedName name="IQRStarbucksCorporationBD21" localSheetId="17" hidden="1">#REF!</definedName>
    <definedName name="IQRStarbucksCorporationBD21" localSheetId="19" hidden="1">#REF!</definedName>
    <definedName name="IQRStarbucksCorporationBD21" hidden="1">#REF!</definedName>
    <definedName name="IQRTARPA7" hidden="1">[10]TARP!$A$8:$A$13</definedName>
    <definedName name="IQRTARPB7" hidden="1">[10]TARP!$B$8:$B$13</definedName>
    <definedName name="IQRTARPC7" hidden="1">[10]TARP!$C$8:$C$13</definedName>
    <definedName name="IQRTARPD7" hidden="1">[10]TARP!$D$8:$D$13</definedName>
    <definedName name="IQRTARPE7" hidden="1">[10]TARP!$E$8:$E$13</definedName>
    <definedName name="IQRTARPF7" hidden="1">[10]TARP!$F$8:$F$13</definedName>
    <definedName name="IQRTARPG7" hidden="1">[10]TARP!$G$8:$G$13</definedName>
    <definedName name="IQRTARPH7" hidden="1">[10]TARP!$H$8:$H$13</definedName>
    <definedName name="IQRTARPI7" hidden="1">[10]TARP!$I$8:$I$13</definedName>
    <definedName name="IQRTARPJ7" hidden="1">[10]TARP!$J$8:$J$13</definedName>
    <definedName name="IQRTearsheetW11" localSheetId="15" hidden="1">#REF!</definedName>
    <definedName name="IQRTearsheetW11" localSheetId="7" hidden="1">#REF!</definedName>
    <definedName name="IQRTearsheetW11" localSheetId="0" hidden="1">#REF!</definedName>
    <definedName name="IQRTearsheetW11" localSheetId="12" hidden="1">#REF!</definedName>
    <definedName name="IQRTearsheetW11" localSheetId="8" hidden="1">#REF!</definedName>
    <definedName name="IQRTearsheetW11" localSheetId="5" hidden="1">#REF!</definedName>
    <definedName name="IQRTearsheetW11" localSheetId="2" hidden="1">#REF!</definedName>
    <definedName name="IQRTearsheetW11" localSheetId="17" hidden="1">#REF!</definedName>
    <definedName name="IQRTearsheetW11" localSheetId="19" hidden="1">#REF!</definedName>
    <definedName name="IQRTearsheetW11" hidden="1">#REF!</definedName>
    <definedName name="IQRTheCocaColaCompanyBD21" localSheetId="15" hidden="1">#REF!</definedName>
    <definedName name="IQRTheCocaColaCompanyBD21" localSheetId="7" hidden="1">#REF!</definedName>
    <definedName name="IQRTheCocaColaCompanyBD21" localSheetId="0" hidden="1">#REF!</definedName>
    <definedName name="IQRTheCocaColaCompanyBD21" localSheetId="12" hidden="1">#REF!</definedName>
    <definedName name="IQRTheCocaColaCompanyBD21" localSheetId="8" hidden="1">#REF!</definedName>
    <definedName name="IQRTheCocaColaCompanyBD21" localSheetId="5" hidden="1">#REF!</definedName>
    <definedName name="IQRTheCocaColaCompanyBD21" localSheetId="2" hidden="1">#REF!</definedName>
    <definedName name="IQRTheCocaColaCompanyBD21" localSheetId="17" hidden="1">#REF!</definedName>
    <definedName name="IQRTheCocaColaCompanyBD21" localSheetId="19" hidden="1">#REF!</definedName>
    <definedName name="IQRTheCocaColaCompanyBD21" hidden="1">#REF!</definedName>
    <definedName name="IQRTheMcGrawHillCompaniesBD21" localSheetId="15" hidden="1">#REF!</definedName>
    <definedName name="IQRTheMcGrawHillCompaniesBD21" localSheetId="7" hidden="1">#REF!</definedName>
    <definedName name="IQRTheMcGrawHillCompaniesBD21" localSheetId="0" hidden="1">#REF!</definedName>
    <definedName name="IQRTheMcGrawHillCompaniesBD21" localSheetId="12" hidden="1">#REF!</definedName>
    <definedName name="IQRTheMcGrawHillCompaniesBD21" localSheetId="8" hidden="1">#REF!</definedName>
    <definedName name="IQRTheMcGrawHillCompaniesBD21" localSheetId="5" hidden="1">#REF!</definedName>
    <definedName name="IQRTheMcGrawHillCompaniesBD21" localSheetId="2" hidden="1">#REF!</definedName>
    <definedName name="IQRTheMcGrawHillCompaniesBD21" localSheetId="17" hidden="1">#REF!</definedName>
    <definedName name="IQRTheMcGrawHillCompaniesBD21" localSheetId="19" hidden="1">#REF!</definedName>
    <definedName name="IQRTheMcGrawHillCompaniesBD21" hidden="1">#REF!</definedName>
    <definedName name="IQRTheWendysCompanyBD21" localSheetId="15" hidden="1">#REF!</definedName>
    <definedName name="IQRTheWendysCompanyBD21" localSheetId="7" hidden="1">#REF!</definedName>
    <definedName name="IQRTheWendysCompanyBD21" localSheetId="0" hidden="1">#REF!</definedName>
    <definedName name="IQRTheWendysCompanyBD21" localSheetId="12" hidden="1">#REF!</definedName>
    <definedName name="IQRTheWendysCompanyBD21" localSheetId="8" hidden="1">#REF!</definedName>
    <definedName name="IQRTheWendysCompanyBD21" localSheetId="5" hidden="1">#REF!</definedName>
    <definedName name="IQRTheWendysCompanyBD21" localSheetId="2" hidden="1">#REF!</definedName>
    <definedName name="IQRTheWendysCompanyBD21" localSheetId="17" hidden="1">#REF!</definedName>
    <definedName name="IQRTheWendysCompanyBD21" localSheetId="19" hidden="1">#REF!</definedName>
    <definedName name="IQRTheWendysCompanyBD21" hidden="1">#REF!</definedName>
    <definedName name="IQRUnyeCimentoBD21" localSheetId="15" hidden="1">#REF!</definedName>
    <definedName name="IQRUnyeCimentoBD21" localSheetId="7" hidden="1">#REF!</definedName>
    <definedName name="IQRUnyeCimentoBD21" localSheetId="0" hidden="1">#REF!</definedName>
    <definedName name="IQRUnyeCimentoBD21" localSheetId="12" hidden="1">#REF!</definedName>
    <definedName name="IQRUnyeCimentoBD21" localSheetId="8" hidden="1">#REF!</definedName>
    <definedName name="IQRUnyeCimentoBD21" localSheetId="5" hidden="1">#REF!</definedName>
    <definedName name="IQRUnyeCimentoBD21" localSheetId="2" hidden="1">#REF!</definedName>
    <definedName name="IQRUnyeCimentoBD21" localSheetId="17" hidden="1">#REF!</definedName>
    <definedName name="IQRUnyeCimentoBD21" localSheetId="19" hidden="1">#REF!</definedName>
    <definedName name="IQRUnyeCimentoBD21" hidden="1">#REF!</definedName>
    <definedName name="IQRW21" hidden="1">"$W$22:$W$149"</definedName>
    <definedName name="IQRWalMartStoresIncBD21" localSheetId="15" hidden="1">#REF!</definedName>
    <definedName name="IQRWalMartStoresIncBD21" localSheetId="7" hidden="1">#REF!</definedName>
    <definedName name="IQRWalMartStoresIncBD21" localSheetId="0" hidden="1">#REF!</definedName>
    <definedName name="IQRWalMartStoresIncBD21" localSheetId="12" hidden="1">#REF!</definedName>
    <definedName name="IQRWalMartStoresIncBD21" localSheetId="8" hidden="1">#REF!</definedName>
    <definedName name="IQRWalMartStoresIncBD21" localSheetId="5" hidden="1">#REF!</definedName>
    <definedName name="IQRWalMartStoresIncBD21" localSheetId="2" hidden="1">#REF!</definedName>
    <definedName name="IQRWalMartStoresIncBD21" localSheetId="17" hidden="1">#REF!</definedName>
    <definedName name="IQRWalMartStoresIncBD21" localSheetId="19" hidden="1">#REF!</definedName>
    <definedName name="IQRWalMartStoresIncBD21" hidden="1">#REF!</definedName>
    <definedName name="IQRYumBrandsIncBD21" localSheetId="15" hidden="1">#REF!</definedName>
    <definedName name="IQRYumBrandsIncBD21" localSheetId="7" hidden="1">#REF!</definedName>
    <definedName name="IQRYumBrandsIncBD21" localSheetId="0" hidden="1">#REF!</definedName>
    <definedName name="IQRYumBrandsIncBD21" localSheetId="12" hidden="1">#REF!</definedName>
    <definedName name="IQRYumBrandsIncBD21" localSheetId="8" hidden="1">#REF!</definedName>
    <definedName name="IQRYumBrandsIncBD21" localSheetId="5" hidden="1">#REF!</definedName>
    <definedName name="IQRYumBrandsIncBD21" localSheetId="2" hidden="1">#REF!</definedName>
    <definedName name="IQRYumBrandsIncBD21" localSheetId="17" hidden="1">#REF!</definedName>
    <definedName name="IQRYumBrandsIncBD21" localSheetId="19" hidden="1">#REF!</definedName>
    <definedName name="IQRYumBrandsIncBD21" hidden="1">#REF!</definedName>
    <definedName name="IQSCTAA6" hidden="1">"$A$7:$A$15"</definedName>
    <definedName name="IQSCTAB4" hidden="1">"$B$5:$B$16"</definedName>
    <definedName name="IQSCTArawdataA6" hidden="1">"$A$7:$A$16"</definedName>
    <definedName name="IQSInputTabB12" hidden="1">"$B$13:$B$20"</definedName>
    <definedName name="IQSInputTabB4" hidden="1">"$B$5:$B$24"</definedName>
    <definedName name="IQSInternationalB4" hidden="1">"$B$5:$B$16"</definedName>
    <definedName name="IQSMAA6" hidden="1">"$A$7:$A$56"</definedName>
    <definedName name="IQSMAB4" hidden="1">"$B$5:$B$19"</definedName>
    <definedName name="IS_Amort">IS!$M$27:$AE$27</definedName>
    <definedName name="IS_Dep">IS!$M$26:$AE$26</definedName>
    <definedName name="IS_Direct_Costs">IS!$M$14:$AE$14</definedName>
    <definedName name="IS_EBITDA">IS!$M$24:$AE$24</definedName>
    <definedName name="IS_F_Assets">IS!$M$34:$AE$34</definedName>
    <definedName name="IS_F_Currency">IS!$M$35:$AE$35</definedName>
    <definedName name="IS_GP">IS!$M$15:$AE$15</definedName>
    <definedName name="IS_Impairement">IS!$M$29:$AE$29</definedName>
    <definedName name="IS_Income_PreTax">IS!$M$39:$AE$39</definedName>
    <definedName name="IS_Interest_Expense">IS!$M$31:$AE$31</definedName>
    <definedName name="IS_Investment_Income">IS!$M$30:$AE$30</definedName>
    <definedName name="IS_Net_Income">IS!$M$43:$AE$43</definedName>
    <definedName name="IS_Other_Expenses">IS!$M$22:$AE$22</definedName>
    <definedName name="IS_Other_Income">IS!$M$21:$AE$21</definedName>
    <definedName name="IS_Other_Income_Bargain">IS!$M$37:$AE$37</definedName>
    <definedName name="IS_Other_LT_Investments">IS!$M$32:$AE$32</definedName>
    <definedName name="IS_Other_OP_Results">IS!$M$36:$AE$36</definedName>
    <definedName name="IS_Other_SOR">IS!$M$33:$AE$33</definedName>
    <definedName name="IS_R_D">IS!$M$18:$AE$18</definedName>
    <definedName name="IS_Revenue">IS!$M$13:$AE$13</definedName>
    <definedName name="IS_SGA">IS!$M$19:$AE$19</definedName>
    <definedName name="IS_Tax">IS!$M$41:$AE$41</definedName>
    <definedName name="j" localSheetId="12" hidden="1">{#N/A,#N/A,TRUE,"0 Deckbl.";#N/A,#N/A,TRUE,"S 1 Komm";#N/A,#N/A,TRUE,"S 1a Komm";#N/A,#N/A,TRUE,"S 1b Komm";#N/A,#N/A,TRUE,"S  2 DBR";#N/A,#N/A,TRUE,"S  3 Sparten";#N/A,#N/A,TRUE,"S 4  Betr. K.";#N/A,#N/A,TRUE,"6 Bilanz";#N/A,#N/A,TRUE,"6a Bilanz ";#N/A,#N/A,TRUE,"6b Bilanz ";#N/A,#N/A,TRUE,"7 GS I";#N/A,#N/A,TRUE,"S 8 EQ-GuV"}</definedName>
    <definedName name="j" localSheetId="8" hidden="1">{#N/A,#N/A,TRUE,"0 Deckbl.";#N/A,#N/A,TRUE,"S 1 Komm";#N/A,#N/A,TRUE,"S 1a Komm";#N/A,#N/A,TRUE,"S 1b Komm";#N/A,#N/A,TRUE,"S  2 DBR";#N/A,#N/A,TRUE,"S  3 Sparten";#N/A,#N/A,TRUE,"S 4  Betr. K.";#N/A,#N/A,TRUE,"6 Bilanz";#N/A,#N/A,TRUE,"6a Bilanz ";#N/A,#N/A,TRUE,"6b Bilanz ";#N/A,#N/A,TRUE,"7 GS I";#N/A,#N/A,TRUE,"S 8 EQ-GuV"}</definedName>
    <definedName name="j" localSheetId="4" hidden="1">{#N/A,#N/A,TRUE,"0 Deckbl.";#N/A,#N/A,TRUE,"S 1 Komm";#N/A,#N/A,TRUE,"S 1a Komm";#N/A,#N/A,TRUE,"S 1b Komm";#N/A,#N/A,TRUE,"S  2 DBR";#N/A,#N/A,TRUE,"S  3 Sparten";#N/A,#N/A,TRUE,"S 4  Betr. K.";#N/A,#N/A,TRUE,"6 Bilanz";#N/A,#N/A,TRUE,"6a Bilanz ";#N/A,#N/A,TRUE,"6b Bilanz ";#N/A,#N/A,TRUE,"7 GS I";#N/A,#N/A,TRUE,"S 8 EQ-GuV"}</definedName>
    <definedName name="j" localSheetId="2" hidden="1">{#N/A,#N/A,TRUE,"0 Deckbl.";#N/A,#N/A,TRUE,"S 1 Komm";#N/A,#N/A,TRUE,"S 1a Komm";#N/A,#N/A,TRUE,"S 1b Komm";#N/A,#N/A,TRUE,"S  2 DBR";#N/A,#N/A,TRUE,"S  3 Sparten";#N/A,#N/A,TRUE,"S 4  Betr. K.";#N/A,#N/A,TRUE,"6 Bilanz";#N/A,#N/A,TRUE,"6a Bilanz ";#N/A,#N/A,TRUE,"6b Bilanz ";#N/A,#N/A,TRUE,"7 GS I";#N/A,#N/A,TRUE,"S 8 EQ-GuV"}</definedName>
    <definedName name="j" localSheetId="19" hidden="1">{#N/A,#N/A,TRUE,"0 Deckbl.";#N/A,#N/A,TRUE,"S 1 Komm";#N/A,#N/A,TRUE,"S 1a Komm";#N/A,#N/A,TRUE,"S 1b Komm";#N/A,#N/A,TRUE,"S  2 DBR";#N/A,#N/A,TRUE,"S  3 Sparten";#N/A,#N/A,TRUE,"S 4  Betr. K.";#N/A,#N/A,TRUE,"6 Bilanz";#N/A,#N/A,TRUE,"6a Bilanz ";#N/A,#N/A,TRUE,"6b Bilanz ";#N/A,#N/A,TRUE,"7 GS I";#N/A,#N/A,TRUE,"S 8 EQ-GuV"}</definedName>
    <definedName name="j" hidden="1">{#N/A,#N/A,TRUE,"0 Deckbl.";#N/A,#N/A,TRUE,"S 1 Komm";#N/A,#N/A,TRUE,"S 1a Komm";#N/A,#N/A,TRUE,"S 1b Komm";#N/A,#N/A,TRUE,"S  2 DBR";#N/A,#N/A,TRUE,"S  3 Sparten";#N/A,#N/A,TRUE,"S 4  Betr. K.";#N/A,#N/A,TRUE,"6 Bilanz";#N/A,#N/A,TRUE,"6a Bilanz ";#N/A,#N/A,TRUE,"6b Bilanz ";#N/A,#N/A,TRUE,"7 GS I";#N/A,#N/A,TRUE,"S 8 EQ-GuV"}</definedName>
    <definedName name="janis" localSheetId="12" hidden="1">{#N/A,#N/A,TRUE,"0 Deckbl.";#N/A,#N/A,TRUE,"S 1 Komm";#N/A,#N/A,TRUE,"S 1a Komm";#N/A,#N/A,TRUE,"S 1b Komm";#N/A,#N/A,TRUE,"S  2 DBR";#N/A,#N/A,TRUE,"S  3 Sparten";#N/A,#N/A,TRUE,"S 4  Betr. K.";#N/A,#N/A,TRUE,"6 Bilanz";#N/A,#N/A,TRUE,"6a Bilanz ";#N/A,#N/A,TRUE,"6b Bilanz ";#N/A,#N/A,TRUE,"7 GS I";#N/A,#N/A,TRUE,"S 8 EQ-GuV"}</definedName>
    <definedName name="janis" localSheetId="8" hidden="1">{#N/A,#N/A,TRUE,"0 Deckbl.";#N/A,#N/A,TRUE,"S 1 Komm";#N/A,#N/A,TRUE,"S 1a Komm";#N/A,#N/A,TRUE,"S 1b Komm";#N/A,#N/A,TRUE,"S  2 DBR";#N/A,#N/A,TRUE,"S  3 Sparten";#N/A,#N/A,TRUE,"S 4  Betr. K.";#N/A,#N/A,TRUE,"6 Bilanz";#N/A,#N/A,TRUE,"6a Bilanz ";#N/A,#N/A,TRUE,"6b Bilanz ";#N/A,#N/A,TRUE,"7 GS I";#N/A,#N/A,TRUE,"S 8 EQ-GuV"}</definedName>
    <definedName name="janis" localSheetId="4" hidden="1">{#N/A,#N/A,TRUE,"0 Deckbl.";#N/A,#N/A,TRUE,"S 1 Komm";#N/A,#N/A,TRUE,"S 1a Komm";#N/A,#N/A,TRUE,"S 1b Komm";#N/A,#N/A,TRUE,"S  2 DBR";#N/A,#N/A,TRUE,"S  3 Sparten";#N/A,#N/A,TRUE,"S 4  Betr. K.";#N/A,#N/A,TRUE,"6 Bilanz";#N/A,#N/A,TRUE,"6a Bilanz ";#N/A,#N/A,TRUE,"6b Bilanz ";#N/A,#N/A,TRUE,"7 GS I";#N/A,#N/A,TRUE,"S 8 EQ-GuV"}</definedName>
    <definedName name="janis" localSheetId="2" hidden="1">{#N/A,#N/A,TRUE,"0 Deckbl.";#N/A,#N/A,TRUE,"S 1 Komm";#N/A,#N/A,TRUE,"S 1a Komm";#N/A,#N/A,TRUE,"S 1b Komm";#N/A,#N/A,TRUE,"S  2 DBR";#N/A,#N/A,TRUE,"S  3 Sparten";#N/A,#N/A,TRUE,"S 4  Betr. K.";#N/A,#N/A,TRUE,"6 Bilanz";#N/A,#N/A,TRUE,"6a Bilanz ";#N/A,#N/A,TRUE,"6b Bilanz ";#N/A,#N/A,TRUE,"7 GS I";#N/A,#N/A,TRUE,"S 8 EQ-GuV"}</definedName>
    <definedName name="janis" localSheetId="19" hidden="1">{#N/A,#N/A,TRUE,"0 Deckbl.";#N/A,#N/A,TRUE,"S 1 Komm";#N/A,#N/A,TRUE,"S 1a Komm";#N/A,#N/A,TRUE,"S 1b Komm";#N/A,#N/A,TRUE,"S  2 DBR";#N/A,#N/A,TRUE,"S  3 Sparten";#N/A,#N/A,TRUE,"S 4  Betr. K.";#N/A,#N/A,TRUE,"6 Bilanz";#N/A,#N/A,TRUE,"6a Bilanz ";#N/A,#N/A,TRUE,"6b Bilanz ";#N/A,#N/A,TRUE,"7 GS I";#N/A,#N/A,TRUE,"S 8 EQ-GuV"}</definedName>
    <definedName name="janis" hidden="1">{#N/A,#N/A,TRUE,"0 Deckbl.";#N/A,#N/A,TRUE,"S 1 Komm";#N/A,#N/A,TRUE,"S 1a Komm";#N/A,#N/A,TRUE,"S 1b Komm";#N/A,#N/A,TRUE,"S  2 DBR";#N/A,#N/A,TRUE,"S  3 Sparten";#N/A,#N/A,TRUE,"S 4  Betr. K.";#N/A,#N/A,TRUE,"6 Bilanz";#N/A,#N/A,TRUE,"6a Bilanz ";#N/A,#N/A,TRUE,"6b Bilanz ";#N/A,#N/A,TRUE,"7 GS I";#N/A,#N/A,TRUE,"S 8 EQ-GuV"}</definedName>
    <definedName name="JGFH" localSheetId="19" hidden="1">#REF!</definedName>
    <definedName name="JGFH" hidden="1">#REF!</definedName>
    <definedName name="jhgjhgjghj" localSheetId="12" hidden="1">{"mgmt forecast",#N/A,FALSE,"Mgmt Forecast";"dcf table",#N/A,FALSE,"Mgmt Forecast";"sensitivity",#N/A,FALSE,"Mgmt Forecast";"table inputs",#N/A,FALSE,"Mgmt Forecast";"calculations",#N/A,FALSE,"Mgmt Forecast"}</definedName>
    <definedName name="jhgjhgjghj" localSheetId="8" hidden="1">{"mgmt forecast",#N/A,FALSE,"Mgmt Forecast";"dcf table",#N/A,FALSE,"Mgmt Forecast";"sensitivity",#N/A,FALSE,"Mgmt Forecast";"table inputs",#N/A,FALSE,"Mgmt Forecast";"calculations",#N/A,FALSE,"Mgmt Forecast"}</definedName>
    <definedName name="jhgjhgjghj" localSheetId="4" hidden="1">{"mgmt forecast",#N/A,FALSE,"Mgmt Forecast";"dcf table",#N/A,FALSE,"Mgmt Forecast";"sensitivity",#N/A,FALSE,"Mgmt Forecast";"table inputs",#N/A,FALSE,"Mgmt Forecast";"calculations",#N/A,FALSE,"Mgmt Forecast"}</definedName>
    <definedName name="jhgjhgjghj" localSheetId="2" hidden="1">{"mgmt forecast",#N/A,FALSE,"Mgmt Forecast";"dcf table",#N/A,FALSE,"Mgmt Forecast";"sensitivity",#N/A,FALSE,"Mgmt Forecast";"table inputs",#N/A,FALSE,"Mgmt Forecast";"calculations",#N/A,FALSE,"Mgmt Forecast"}</definedName>
    <definedName name="jhgjhgjghj" localSheetId="19"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kkjk" localSheetId="12" hidden="1">{"mgmt forecast",#N/A,FALSE,"Mgmt Forecast";"dcf table",#N/A,FALSE,"Mgmt Forecast";"sensitivity",#N/A,FALSE,"Mgmt Forecast";"table inputs",#N/A,FALSE,"Mgmt Forecast";"calculations",#N/A,FALSE,"Mgmt Forecast"}</definedName>
    <definedName name="jhkkjk" localSheetId="8" hidden="1">{"mgmt forecast",#N/A,FALSE,"Mgmt Forecast";"dcf table",#N/A,FALSE,"Mgmt Forecast";"sensitivity",#N/A,FALSE,"Mgmt Forecast";"table inputs",#N/A,FALSE,"Mgmt Forecast";"calculations",#N/A,FALSE,"Mgmt Forecast"}</definedName>
    <definedName name="jhkkjk" localSheetId="4" hidden="1">{"mgmt forecast",#N/A,FALSE,"Mgmt Forecast";"dcf table",#N/A,FALSE,"Mgmt Forecast";"sensitivity",#N/A,FALSE,"Mgmt Forecast";"table inputs",#N/A,FALSE,"Mgmt Forecast";"calculations",#N/A,FALSE,"Mgmt Forecast"}</definedName>
    <definedName name="jhkkjk" localSheetId="2" hidden="1">{"mgmt forecast",#N/A,FALSE,"Mgmt Forecast";"dcf table",#N/A,FALSE,"Mgmt Forecast";"sensitivity",#N/A,FALSE,"Mgmt Forecast";"table inputs",#N/A,FALSE,"Mgmt Forecast";"calculations",#N/A,FALSE,"Mgmt Forecast"}</definedName>
    <definedName name="jhkkjk" localSheetId="19"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K" localSheetId="12" hidden="1">{#N/A,#N/A,TRUE,"0 Deckbl.";#N/A,#N/A,TRUE,"S 1 Komm";#N/A,#N/A,TRUE,"S 1a Komm";#N/A,#N/A,TRUE,"S 1b Komm";#N/A,#N/A,TRUE,"S  2 DBR";#N/A,#N/A,TRUE,"S  3 Sparten";#N/A,#N/A,TRUE,"S 4  Betr. K.";#N/A,#N/A,TRUE,"6 Bilanz";#N/A,#N/A,TRUE,"6a Bilanz ";#N/A,#N/A,TRUE,"6b Bilanz ";#N/A,#N/A,TRUE,"7 GS I";#N/A,#N/A,TRUE,"S 8 EQ-GuV"}</definedName>
    <definedName name="JK" localSheetId="8" hidden="1">{#N/A,#N/A,TRUE,"0 Deckbl.";#N/A,#N/A,TRUE,"S 1 Komm";#N/A,#N/A,TRUE,"S 1a Komm";#N/A,#N/A,TRUE,"S 1b Komm";#N/A,#N/A,TRUE,"S  2 DBR";#N/A,#N/A,TRUE,"S  3 Sparten";#N/A,#N/A,TRUE,"S 4  Betr. K.";#N/A,#N/A,TRUE,"6 Bilanz";#N/A,#N/A,TRUE,"6a Bilanz ";#N/A,#N/A,TRUE,"6b Bilanz ";#N/A,#N/A,TRUE,"7 GS I";#N/A,#N/A,TRUE,"S 8 EQ-GuV"}</definedName>
    <definedName name="JK" localSheetId="4" hidden="1">{#N/A,#N/A,TRUE,"0 Deckbl.";#N/A,#N/A,TRUE,"S 1 Komm";#N/A,#N/A,TRUE,"S 1a Komm";#N/A,#N/A,TRUE,"S 1b Komm";#N/A,#N/A,TRUE,"S  2 DBR";#N/A,#N/A,TRUE,"S  3 Sparten";#N/A,#N/A,TRUE,"S 4  Betr. K.";#N/A,#N/A,TRUE,"6 Bilanz";#N/A,#N/A,TRUE,"6a Bilanz ";#N/A,#N/A,TRUE,"6b Bilanz ";#N/A,#N/A,TRUE,"7 GS I";#N/A,#N/A,TRUE,"S 8 EQ-GuV"}</definedName>
    <definedName name="JK" localSheetId="2" hidden="1">{#N/A,#N/A,TRUE,"0 Deckbl.";#N/A,#N/A,TRUE,"S 1 Komm";#N/A,#N/A,TRUE,"S 1a Komm";#N/A,#N/A,TRUE,"S 1b Komm";#N/A,#N/A,TRUE,"S  2 DBR";#N/A,#N/A,TRUE,"S  3 Sparten";#N/A,#N/A,TRUE,"S 4  Betr. K.";#N/A,#N/A,TRUE,"6 Bilanz";#N/A,#N/A,TRUE,"6a Bilanz ";#N/A,#N/A,TRUE,"6b Bilanz ";#N/A,#N/A,TRUE,"7 GS I";#N/A,#N/A,TRUE,"S 8 EQ-GuV"}</definedName>
    <definedName name="JK" localSheetId="19" hidden="1">{#N/A,#N/A,TRUE,"0 Deckbl.";#N/A,#N/A,TRUE,"S 1 Komm";#N/A,#N/A,TRUE,"S 1a Komm";#N/A,#N/A,TRUE,"S 1b Komm";#N/A,#N/A,TRUE,"S  2 DBR";#N/A,#N/A,TRUE,"S  3 Sparten";#N/A,#N/A,TRUE,"S 4  Betr. K.";#N/A,#N/A,TRUE,"6 Bilanz";#N/A,#N/A,TRUE,"6a Bilanz ";#N/A,#N/A,TRUE,"6b Bilanz ";#N/A,#N/A,TRUE,"7 GS I";#N/A,#N/A,TRUE,"S 8 EQ-GuV"}</definedName>
    <definedName name="JK" hidden="1">{#N/A,#N/A,TRUE,"0 Deckbl.";#N/A,#N/A,TRUE,"S 1 Komm";#N/A,#N/A,TRUE,"S 1a Komm";#N/A,#N/A,TRUE,"S 1b Komm";#N/A,#N/A,TRUE,"S  2 DBR";#N/A,#N/A,TRUE,"S  3 Sparten";#N/A,#N/A,TRUE,"S 4  Betr. K.";#N/A,#N/A,TRUE,"6 Bilanz";#N/A,#N/A,TRUE,"6a Bilanz ";#N/A,#N/A,TRUE,"6b Bilanz ";#N/A,#N/A,TRUE,"7 GS I";#N/A,#N/A,TRUE,"S 8 EQ-GuV"}</definedName>
    <definedName name="k" localSheetId="12" hidden="1">{#N/A,#N/A,TRUE,"0 Deckbl.";#N/A,#N/A,TRUE,"S 1 Komm";#N/A,#N/A,TRUE,"S 1a Komm";#N/A,#N/A,TRUE,"S 1b Komm";#N/A,#N/A,TRUE,"S  2 DBR";#N/A,#N/A,TRUE,"S  3 Sparten";#N/A,#N/A,TRUE,"S 4  Betr. K.";#N/A,#N/A,TRUE,"6 Bilanz";#N/A,#N/A,TRUE,"6a Bilanz ";#N/A,#N/A,TRUE,"6b Bilanz ";#N/A,#N/A,TRUE,"7 GS I";#N/A,#N/A,TRUE,"S 8 EQ-GuV"}</definedName>
    <definedName name="k" localSheetId="8" hidden="1">{#N/A,#N/A,TRUE,"0 Deckbl.";#N/A,#N/A,TRUE,"S 1 Komm";#N/A,#N/A,TRUE,"S 1a Komm";#N/A,#N/A,TRUE,"S 1b Komm";#N/A,#N/A,TRUE,"S  2 DBR";#N/A,#N/A,TRUE,"S  3 Sparten";#N/A,#N/A,TRUE,"S 4  Betr. K.";#N/A,#N/A,TRUE,"6 Bilanz";#N/A,#N/A,TRUE,"6a Bilanz ";#N/A,#N/A,TRUE,"6b Bilanz ";#N/A,#N/A,TRUE,"7 GS I";#N/A,#N/A,TRUE,"S 8 EQ-GuV"}</definedName>
    <definedName name="k" localSheetId="4" hidden="1">{#N/A,#N/A,TRUE,"0 Deckbl.";#N/A,#N/A,TRUE,"S 1 Komm";#N/A,#N/A,TRUE,"S 1a Komm";#N/A,#N/A,TRUE,"S 1b Komm";#N/A,#N/A,TRUE,"S  2 DBR";#N/A,#N/A,TRUE,"S  3 Sparten";#N/A,#N/A,TRUE,"S 4  Betr. K.";#N/A,#N/A,TRUE,"6 Bilanz";#N/A,#N/A,TRUE,"6a Bilanz ";#N/A,#N/A,TRUE,"6b Bilanz ";#N/A,#N/A,TRUE,"7 GS I";#N/A,#N/A,TRUE,"S 8 EQ-GuV"}</definedName>
    <definedName name="k" localSheetId="2" hidden="1">{#N/A,#N/A,TRUE,"0 Deckbl.";#N/A,#N/A,TRUE,"S 1 Komm";#N/A,#N/A,TRUE,"S 1a Komm";#N/A,#N/A,TRUE,"S 1b Komm";#N/A,#N/A,TRUE,"S  2 DBR";#N/A,#N/A,TRUE,"S  3 Sparten";#N/A,#N/A,TRUE,"S 4  Betr. K.";#N/A,#N/A,TRUE,"6 Bilanz";#N/A,#N/A,TRUE,"6a Bilanz ";#N/A,#N/A,TRUE,"6b Bilanz ";#N/A,#N/A,TRUE,"7 GS I";#N/A,#N/A,TRUE,"S 8 EQ-GuV"}</definedName>
    <definedName name="k" localSheetId="19" hidden="1">{#N/A,#N/A,TRUE,"0 Deckbl.";#N/A,#N/A,TRUE,"S 1 Komm";#N/A,#N/A,TRUE,"S 1a Komm";#N/A,#N/A,TRUE,"S 1b Komm";#N/A,#N/A,TRUE,"S  2 DBR";#N/A,#N/A,TRUE,"S  3 Sparten";#N/A,#N/A,TRUE,"S 4  Betr. K.";#N/A,#N/A,TRUE,"6 Bilanz";#N/A,#N/A,TRUE,"6a Bilanz ";#N/A,#N/A,TRUE,"6b Bilanz ";#N/A,#N/A,TRUE,"7 GS I";#N/A,#N/A,TRUE,"S 8 EQ-GuV"}</definedName>
    <definedName name="k" hidden="1">{#N/A,#N/A,TRUE,"0 Deckbl.";#N/A,#N/A,TRUE,"S 1 Komm";#N/A,#N/A,TRUE,"S 1a Komm";#N/A,#N/A,TRUE,"S 1b Komm";#N/A,#N/A,TRUE,"S  2 DBR";#N/A,#N/A,TRUE,"S  3 Sparten";#N/A,#N/A,TRUE,"S 4  Betr. K.";#N/A,#N/A,TRUE,"6 Bilanz";#N/A,#N/A,TRUE,"6a Bilanz ";#N/A,#N/A,TRUE,"6b Bilanz ";#N/A,#N/A,TRUE,"7 GS I";#N/A,#N/A,TRUE,"S 8 EQ-GuV"}</definedName>
    <definedName name="kj"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kj" hidden="1">{#N/A,#N/A,FALSE,"Cover";#N/A,#N/A,FALSE,"Sensit";#N/A,#N/A,FALSE,"HEW";#N/A,#N/A,FALSE,"Bilanz";#N/A,#N/A,FALSE,"Aufbringung";#N/A,#N/A,FALSE,"Absatz";#N/A,#N/A,FALSE,"Durchleitung";#N/A,#N/A,FALSE,"Konzession";#N/A,#N/A,FALSE,"Personal";#N/A,#N/A,FALSE,"WC ";#N/A,#N/A,FALSE,"Capex Deprec ";#N/A,#N/A,FALSE,"Steuern";#N/A,#N/A,FALSE," Rente";#N/A,#N/A,FALSE," EBITDA"}</definedName>
    <definedName name="L" localSheetId="12" hidden="1">{#N/A,#N/A,TRUE,"0 Deckbl.";#N/A,#N/A,TRUE,"S 1 Komm";#N/A,#N/A,TRUE,"S 1a Komm";#N/A,#N/A,TRUE,"S 1b Komm";#N/A,#N/A,TRUE,"S  2 DBR";#N/A,#N/A,TRUE,"S  3 Sparten";#N/A,#N/A,TRUE,"S 4  Betr. K.";#N/A,#N/A,TRUE,"6 Bilanz";#N/A,#N/A,TRUE,"6a Bilanz ";#N/A,#N/A,TRUE,"6b Bilanz ";#N/A,#N/A,TRUE,"7 GS I";#N/A,#N/A,TRUE,"S 8 EQ-GuV"}</definedName>
    <definedName name="L" localSheetId="8" hidden="1">{#N/A,#N/A,TRUE,"0 Deckbl.";#N/A,#N/A,TRUE,"S 1 Komm";#N/A,#N/A,TRUE,"S 1a Komm";#N/A,#N/A,TRUE,"S 1b Komm";#N/A,#N/A,TRUE,"S  2 DBR";#N/A,#N/A,TRUE,"S  3 Sparten";#N/A,#N/A,TRUE,"S 4  Betr. K.";#N/A,#N/A,TRUE,"6 Bilanz";#N/A,#N/A,TRUE,"6a Bilanz ";#N/A,#N/A,TRUE,"6b Bilanz ";#N/A,#N/A,TRUE,"7 GS I";#N/A,#N/A,TRUE,"S 8 EQ-GuV"}</definedName>
    <definedName name="L" localSheetId="4" hidden="1">{#N/A,#N/A,TRUE,"0 Deckbl.";#N/A,#N/A,TRUE,"S 1 Komm";#N/A,#N/A,TRUE,"S 1a Komm";#N/A,#N/A,TRUE,"S 1b Komm";#N/A,#N/A,TRUE,"S  2 DBR";#N/A,#N/A,TRUE,"S  3 Sparten";#N/A,#N/A,TRUE,"S 4  Betr. K.";#N/A,#N/A,TRUE,"6 Bilanz";#N/A,#N/A,TRUE,"6a Bilanz ";#N/A,#N/A,TRUE,"6b Bilanz ";#N/A,#N/A,TRUE,"7 GS I";#N/A,#N/A,TRUE,"S 8 EQ-GuV"}</definedName>
    <definedName name="L" localSheetId="2" hidden="1">{#N/A,#N/A,TRUE,"0 Deckbl.";#N/A,#N/A,TRUE,"S 1 Komm";#N/A,#N/A,TRUE,"S 1a Komm";#N/A,#N/A,TRUE,"S 1b Komm";#N/A,#N/A,TRUE,"S  2 DBR";#N/A,#N/A,TRUE,"S  3 Sparten";#N/A,#N/A,TRUE,"S 4  Betr. K.";#N/A,#N/A,TRUE,"6 Bilanz";#N/A,#N/A,TRUE,"6a Bilanz ";#N/A,#N/A,TRUE,"6b Bilanz ";#N/A,#N/A,TRUE,"7 GS I";#N/A,#N/A,TRUE,"S 8 EQ-GuV"}</definedName>
    <definedName name="L" localSheetId="19" hidden="1">{#N/A,#N/A,TRUE,"0 Deckbl.";#N/A,#N/A,TRUE,"S 1 Komm";#N/A,#N/A,TRUE,"S 1a Komm";#N/A,#N/A,TRUE,"S 1b Komm";#N/A,#N/A,TRUE,"S  2 DBR";#N/A,#N/A,TRUE,"S  3 Sparten";#N/A,#N/A,TRUE,"S 4  Betr. K.";#N/A,#N/A,TRUE,"6 Bilanz";#N/A,#N/A,TRUE,"6a Bilanz ";#N/A,#N/A,TRUE,"6b Bilanz ";#N/A,#N/A,TRUE,"7 GS I";#N/A,#N/A,TRUE,"S 8 EQ-GuV"}</definedName>
    <definedName name="L" hidden="1">{#N/A,#N/A,TRUE,"0 Deckbl.";#N/A,#N/A,TRUE,"S 1 Komm";#N/A,#N/A,TRUE,"S 1a Komm";#N/A,#N/A,TRUE,"S 1b Komm";#N/A,#N/A,TRUE,"S  2 DBR";#N/A,#N/A,TRUE,"S  3 Sparten";#N/A,#N/A,TRUE,"S 4  Betr. K.";#N/A,#N/A,TRUE,"6 Bilanz";#N/A,#N/A,TRUE,"6a Bilanz ";#N/A,#N/A,TRUE,"6b Bilanz ";#N/A,#N/A,TRUE,"7 GS I";#N/A,#N/A,TRUE,"S 8 EQ-GuV"}</definedName>
    <definedName name="lgjksdlfgjksdlfgj" localSheetId="15" hidden="1">#REF!</definedName>
    <definedName name="lgjksdlfgjksdlfgj" localSheetId="7" hidden="1">#REF!</definedName>
    <definedName name="lgjksdlfgjksdlfgj" localSheetId="0" hidden="1">#REF!</definedName>
    <definedName name="lgjksdlfgjksdlfgj" localSheetId="12" hidden="1">#REF!</definedName>
    <definedName name="lgjksdlfgjksdlfgj" localSheetId="8" hidden="1">#REF!</definedName>
    <definedName name="lgjksdlfgjksdlfgj" localSheetId="5" hidden="1">#REF!</definedName>
    <definedName name="lgjksdlfgjksdlfgj" localSheetId="2" hidden="1">#REF!</definedName>
    <definedName name="lgjksdlfgjksdlfgj" localSheetId="17" hidden="1">#REF!</definedName>
    <definedName name="lgjksdlfgjksdlfgj" localSheetId="19" hidden="1">#REF!</definedName>
    <definedName name="lgjksdlfgjksdlfgj" hidden="1">#REF!</definedName>
    <definedName name="limcount" hidden="1">1</definedName>
    <definedName name="LLL" localSheetId="12" hidden="1">{#N/A,#N/A,FALSE,"Assessment";#N/A,#N/A,FALSE,"Staffing";#N/A,#N/A,FALSE,"Hires";#N/A,#N/A,FALSE,"Assumptions"}</definedName>
    <definedName name="LLL" localSheetId="8" hidden="1">{#N/A,#N/A,FALSE,"Assessment";#N/A,#N/A,FALSE,"Staffing";#N/A,#N/A,FALSE,"Hires";#N/A,#N/A,FALSE,"Assumptions"}</definedName>
    <definedName name="LLL" localSheetId="4" hidden="1">{#N/A,#N/A,FALSE,"Assessment";#N/A,#N/A,FALSE,"Staffing";#N/A,#N/A,FALSE,"Hires";#N/A,#N/A,FALSE,"Assumptions"}</definedName>
    <definedName name="LLL" localSheetId="2" hidden="1">{#N/A,#N/A,FALSE,"Assessment";#N/A,#N/A,FALSE,"Staffing";#N/A,#N/A,FALSE,"Hires";#N/A,#N/A,FALSE,"Assumptions"}</definedName>
    <definedName name="LLL" localSheetId="19" hidden="1">{#N/A,#N/A,FALSE,"Assessment";#N/A,#N/A,FALSE,"Staffing";#N/A,#N/A,FALSE,"Hires";#N/A,#N/A,FALSE,"Assumptions"}</definedName>
    <definedName name="LLL" hidden="1">{#N/A,#N/A,FALSE,"Assessment";#N/A,#N/A,FALSE,"Staffing";#N/A,#N/A,FALSE,"Hires";#N/A,#N/A,FALSE,"Assumptions"}</definedName>
    <definedName name="lowsulfurdiesel" localSheetId="12" hidden="1">{"PAGE1",#N/A,FALSE,"YIELDS";"PAGE2",#N/A,FALSE,"YIELDS";"PAGE3",#N/A,FALSE,"YIELDS"}</definedName>
    <definedName name="lowsulfurdiesel" localSheetId="8" hidden="1">{"PAGE1",#N/A,FALSE,"YIELDS";"PAGE2",#N/A,FALSE,"YIELDS";"PAGE3",#N/A,FALSE,"YIELDS"}</definedName>
    <definedName name="lowsulfurdiesel" localSheetId="4" hidden="1">{"PAGE1",#N/A,FALSE,"YIELDS";"PAGE2",#N/A,FALSE,"YIELDS";"PAGE3",#N/A,FALSE,"YIELDS"}</definedName>
    <definedName name="lowsulfurdiesel" localSheetId="2" hidden="1">{"PAGE1",#N/A,FALSE,"YIELDS";"PAGE2",#N/A,FALSE,"YIELDS";"PAGE3",#N/A,FALSE,"YIELDS"}</definedName>
    <definedName name="lowsulfurdiesel" localSheetId="19" hidden="1">{"PAGE1",#N/A,FALSE,"YIELDS";"PAGE2",#N/A,FALSE,"YIELDS";"PAGE3",#N/A,FALSE,"YIELDS"}</definedName>
    <definedName name="lowsulfurdiesel" hidden="1">{"PAGE1",#N/A,FALSE,"YIELDS";"PAGE2",#N/A,FALSE,"YIELDS";"PAGE3",#N/A,FALSE,"YIELDS"}</definedName>
    <definedName name="lowsulphurdiesel" localSheetId="12" hidden="1">{"PAGE1",#N/A,FALSE,"YIELDS";"PAGE2",#N/A,FALSE,"YIELDS";"PAGE3",#N/A,FALSE,"YIELDS"}</definedName>
    <definedName name="lowsulphurdiesel" localSheetId="8" hidden="1">{"PAGE1",#N/A,FALSE,"YIELDS";"PAGE2",#N/A,FALSE,"YIELDS";"PAGE3",#N/A,FALSE,"YIELDS"}</definedName>
    <definedName name="lowsulphurdiesel" localSheetId="4" hidden="1">{"PAGE1",#N/A,FALSE,"YIELDS";"PAGE2",#N/A,FALSE,"YIELDS";"PAGE3",#N/A,FALSE,"YIELDS"}</definedName>
    <definedName name="lowsulphurdiesel" localSheetId="2" hidden="1">{"PAGE1",#N/A,FALSE,"YIELDS";"PAGE2",#N/A,FALSE,"YIELDS";"PAGE3",#N/A,FALSE,"YIELDS"}</definedName>
    <definedName name="lowsulphurdiesel" localSheetId="19" hidden="1">{"PAGE1",#N/A,FALSE,"YIELDS";"PAGE2",#N/A,FALSE,"YIELDS";"PAGE3",#N/A,FALSE,"YIELDS"}</definedName>
    <definedName name="lowsulphurdiesel" hidden="1">{"PAGE1",#N/A,FALSE,"YIELDS";"PAGE2",#N/A,FALSE,"YIELDS";"PAGE3",#N/A,FALSE,"YIELDS"}</definedName>
    <definedName name="M" localSheetId="12" hidden="1">{#N/A,#N/A,TRUE,"0 Deckbl.";#N/A,#N/A,TRUE,"S 1 Komm";#N/A,#N/A,TRUE,"S 1a Komm";#N/A,#N/A,TRUE,"S 1b Komm";#N/A,#N/A,TRUE,"S  2 DBR";#N/A,#N/A,TRUE,"S  3 Sparten";#N/A,#N/A,TRUE,"S 4  Betr. K.";#N/A,#N/A,TRUE,"6 Bilanz";#N/A,#N/A,TRUE,"6a Bilanz ";#N/A,#N/A,TRUE,"6b Bilanz ";#N/A,#N/A,TRUE,"7 GS I";#N/A,#N/A,TRUE,"S 8 EQ-GuV"}</definedName>
    <definedName name="M" localSheetId="8" hidden="1">{#N/A,#N/A,TRUE,"0 Deckbl.";#N/A,#N/A,TRUE,"S 1 Komm";#N/A,#N/A,TRUE,"S 1a Komm";#N/A,#N/A,TRUE,"S 1b Komm";#N/A,#N/A,TRUE,"S  2 DBR";#N/A,#N/A,TRUE,"S  3 Sparten";#N/A,#N/A,TRUE,"S 4  Betr. K.";#N/A,#N/A,TRUE,"6 Bilanz";#N/A,#N/A,TRUE,"6a Bilanz ";#N/A,#N/A,TRUE,"6b Bilanz ";#N/A,#N/A,TRUE,"7 GS I";#N/A,#N/A,TRUE,"S 8 EQ-GuV"}</definedName>
    <definedName name="M" localSheetId="4" hidden="1">{#N/A,#N/A,TRUE,"0 Deckbl.";#N/A,#N/A,TRUE,"S 1 Komm";#N/A,#N/A,TRUE,"S 1a Komm";#N/A,#N/A,TRUE,"S 1b Komm";#N/A,#N/A,TRUE,"S  2 DBR";#N/A,#N/A,TRUE,"S  3 Sparten";#N/A,#N/A,TRUE,"S 4  Betr. K.";#N/A,#N/A,TRUE,"6 Bilanz";#N/A,#N/A,TRUE,"6a Bilanz ";#N/A,#N/A,TRUE,"6b Bilanz ";#N/A,#N/A,TRUE,"7 GS I";#N/A,#N/A,TRUE,"S 8 EQ-GuV"}</definedName>
    <definedName name="M" localSheetId="2" hidden="1">{#N/A,#N/A,TRUE,"0 Deckbl.";#N/A,#N/A,TRUE,"S 1 Komm";#N/A,#N/A,TRUE,"S 1a Komm";#N/A,#N/A,TRUE,"S 1b Komm";#N/A,#N/A,TRUE,"S  2 DBR";#N/A,#N/A,TRUE,"S  3 Sparten";#N/A,#N/A,TRUE,"S 4  Betr. K.";#N/A,#N/A,TRUE,"6 Bilanz";#N/A,#N/A,TRUE,"6a Bilanz ";#N/A,#N/A,TRUE,"6b Bilanz ";#N/A,#N/A,TRUE,"7 GS I";#N/A,#N/A,TRUE,"S 8 EQ-GuV"}</definedName>
    <definedName name="M" localSheetId="19" hidden="1">{#N/A,#N/A,TRUE,"0 Deckbl.";#N/A,#N/A,TRUE,"S 1 Komm";#N/A,#N/A,TRUE,"S 1a Komm";#N/A,#N/A,TRUE,"S 1b Komm";#N/A,#N/A,TRUE,"S  2 DBR";#N/A,#N/A,TRUE,"S  3 Sparten";#N/A,#N/A,TRUE,"S 4  Betr. K.";#N/A,#N/A,TRUE,"6 Bilanz";#N/A,#N/A,TRUE,"6a Bilanz ";#N/A,#N/A,TRUE,"6b Bilanz ";#N/A,#N/A,TRUE,"7 GS I";#N/A,#N/A,TRUE,"S 8 EQ-GuV"}</definedName>
    <definedName name="M" hidden="1">{#N/A,#N/A,TRUE,"0 Deckbl.";#N/A,#N/A,TRUE,"S 1 Komm";#N/A,#N/A,TRUE,"S 1a Komm";#N/A,#N/A,TRUE,"S 1b Komm";#N/A,#N/A,TRUE,"S  2 DBR";#N/A,#N/A,TRUE,"S  3 Sparten";#N/A,#N/A,TRUE,"S 4  Betr. K.";#N/A,#N/A,TRUE,"6 Bilanz";#N/A,#N/A,TRUE,"6a Bilanz ";#N/A,#N/A,TRUE,"6b Bilanz ";#N/A,#N/A,TRUE,"7 GS I";#N/A,#N/A,TRUE,"S 8 EQ-GuV"}</definedName>
    <definedName name="market" localSheetId="12" hidden="1">{#N/A,#N/A,TRUE,"0 Deckbl.";#N/A,#N/A,TRUE,"S 1 Komm";#N/A,#N/A,TRUE,"S 1a Komm";#N/A,#N/A,TRUE,"S 1b Komm";#N/A,#N/A,TRUE,"S  2 DBR";#N/A,#N/A,TRUE,"S  3 Sparten";#N/A,#N/A,TRUE,"S 4  Betr. K.";#N/A,#N/A,TRUE,"6 Bilanz";#N/A,#N/A,TRUE,"6a Bilanz ";#N/A,#N/A,TRUE,"6b Bilanz ";#N/A,#N/A,TRUE,"7 GS I";#N/A,#N/A,TRUE,"S 8 EQ-GuV"}</definedName>
    <definedName name="market" localSheetId="8" hidden="1">{#N/A,#N/A,TRUE,"0 Deckbl.";#N/A,#N/A,TRUE,"S 1 Komm";#N/A,#N/A,TRUE,"S 1a Komm";#N/A,#N/A,TRUE,"S 1b Komm";#N/A,#N/A,TRUE,"S  2 DBR";#N/A,#N/A,TRUE,"S  3 Sparten";#N/A,#N/A,TRUE,"S 4  Betr. K.";#N/A,#N/A,TRUE,"6 Bilanz";#N/A,#N/A,TRUE,"6a Bilanz ";#N/A,#N/A,TRUE,"6b Bilanz ";#N/A,#N/A,TRUE,"7 GS I";#N/A,#N/A,TRUE,"S 8 EQ-GuV"}</definedName>
    <definedName name="market" localSheetId="4" hidden="1">{#N/A,#N/A,TRUE,"0 Deckbl.";#N/A,#N/A,TRUE,"S 1 Komm";#N/A,#N/A,TRUE,"S 1a Komm";#N/A,#N/A,TRUE,"S 1b Komm";#N/A,#N/A,TRUE,"S  2 DBR";#N/A,#N/A,TRUE,"S  3 Sparten";#N/A,#N/A,TRUE,"S 4  Betr. K.";#N/A,#N/A,TRUE,"6 Bilanz";#N/A,#N/A,TRUE,"6a Bilanz ";#N/A,#N/A,TRUE,"6b Bilanz ";#N/A,#N/A,TRUE,"7 GS I";#N/A,#N/A,TRUE,"S 8 EQ-GuV"}</definedName>
    <definedName name="market" localSheetId="2" hidden="1">{#N/A,#N/A,TRUE,"0 Deckbl.";#N/A,#N/A,TRUE,"S 1 Komm";#N/A,#N/A,TRUE,"S 1a Komm";#N/A,#N/A,TRUE,"S 1b Komm";#N/A,#N/A,TRUE,"S  2 DBR";#N/A,#N/A,TRUE,"S  3 Sparten";#N/A,#N/A,TRUE,"S 4  Betr. K.";#N/A,#N/A,TRUE,"6 Bilanz";#N/A,#N/A,TRUE,"6a Bilanz ";#N/A,#N/A,TRUE,"6b Bilanz ";#N/A,#N/A,TRUE,"7 GS I";#N/A,#N/A,TRUE,"S 8 EQ-GuV"}</definedName>
    <definedName name="market" localSheetId="19" hidden="1">{#N/A,#N/A,TRUE,"0 Deckbl.";#N/A,#N/A,TRUE,"S 1 Komm";#N/A,#N/A,TRUE,"S 1a Komm";#N/A,#N/A,TRUE,"S 1b Komm";#N/A,#N/A,TRUE,"S  2 DBR";#N/A,#N/A,TRUE,"S  3 Sparten";#N/A,#N/A,TRUE,"S 4  Betr. K.";#N/A,#N/A,TRUE,"6 Bilanz";#N/A,#N/A,TRUE,"6a Bilanz ";#N/A,#N/A,TRUE,"6b Bilanz ";#N/A,#N/A,TRUE,"7 GS I";#N/A,#N/A,TRUE,"S 8 EQ-GuV"}</definedName>
    <definedName name="market" hidden="1">{#N/A,#N/A,TRUE,"0 Deckbl.";#N/A,#N/A,TRUE,"S 1 Komm";#N/A,#N/A,TRUE,"S 1a Komm";#N/A,#N/A,TRUE,"S 1b Komm";#N/A,#N/A,TRUE,"S  2 DBR";#N/A,#N/A,TRUE,"S  3 Sparten";#N/A,#N/A,TRUE,"S 4  Betr. K.";#N/A,#N/A,TRUE,"6 Bilanz";#N/A,#N/A,TRUE,"6a Bilanz ";#N/A,#N/A,TRUE,"6b Bilanz ";#N/A,#N/A,TRUE,"7 GS I";#N/A,#N/A,TRUE,"S 8 EQ-GuV"}</definedName>
    <definedName name="max"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max" hidden="1">{#N/A,#N/A,FALSE,"Cover";#N/A,#N/A,FALSE,"Sensit";#N/A,#N/A,FALSE,"HEW";#N/A,#N/A,FALSE,"Bilanz";#N/A,#N/A,FALSE,"Aufbringung";#N/A,#N/A,FALSE,"Absatz";#N/A,#N/A,FALSE,"Durchleitung";#N/A,#N/A,FALSE,"Konzession";#N/A,#N/A,FALSE,"Personal";#N/A,#N/A,FALSE,"WC ";#N/A,#N/A,FALSE,"Capex Deprec ";#N/A,#N/A,FALSE,"Steuern";#N/A,#N/A,FALSE," Rente";#N/A,#N/A,FALSE," EBITDA"}</definedName>
    <definedName name="MM" localSheetId="15" hidden="1">#REF!</definedName>
    <definedName name="MM" localSheetId="7" hidden="1">#REF!</definedName>
    <definedName name="MM" localSheetId="0" hidden="1">#REF!</definedName>
    <definedName name="MM" localSheetId="12" hidden="1">#REF!</definedName>
    <definedName name="MM" localSheetId="8" hidden="1">#REF!</definedName>
    <definedName name="MM" localSheetId="5" hidden="1">#REF!</definedName>
    <definedName name="MM" localSheetId="2" hidden="1">#REF!</definedName>
    <definedName name="MM" localSheetId="17" hidden="1">#REF!</definedName>
    <definedName name="MM" localSheetId="19" hidden="1">#REF!</definedName>
    <definedName name="MM" hidden="1">#REF!</definedName>
    <definedName name="mmm" localSheetId="12" hidden="1">{"orixcsc",#N/A,FALSE,"ORIX CSC";"orixcsc2",#N/A,FALSE,"ORIX CSC"}</definedName>
    <definedName name="mmm" localSheetId="8" hidden="1">{"orixcsc",#N/A,FALSE,"ORIX CSC";"orixcsc2",#N/A,FALSE,"ORIX CSC"}</definedName>
    <definedName name="mmm" localSheetId="4" hidden="1">{"orixcsc",#N/A,FALSE,"ORIX CSC";"orixcsc2",#N/A,FALSE,"ORIX CSC"}</definedName>
    <definedName name="mmm" localSheetId="2" hidden="1">{"orixcsc",#N/A,FALSE,"ORIX CSC";"orixcsc2",#N/A,FALSE,"ORIX CSC"}</definedName>
    <definedName name="mmm" localSheetId="19" hidden="1">{"orixcsc",#N/A,FALSE,"ORIX CSC";"orixcsc2",#N/A,FALSE,"ORIX CSC"}</definedName>
    <definedName name="mmm" hidden="1">{"orixcsc",#N/A,FALSE,"ORIX CSC";"orixcsc2",#N/A,FALSE,"ORIX CSC"}</definedName>
    <definedName name="mmmm" localSheetId="12" hidden="1">{"orixcsc",#N/A,FALSE,"ORIX CSC";"orixcsc2",#N/A,FALSE,"ORIX CSC"}</definedName>
    <definedName name="mmmm" localSheetId="8" hidden="1">{"orixcsc",#N/A,FALSE,"ORIX CSC";"orixcsc2",#N/A,FALSE,"ORIX CSC"}</definedName>
    <definedName name="mmmm" localSheetId="4" hidden="1">{"orixcsc",#N/A,FALSE,"ORIX CSC";"orixcsc2",#N/A,FALSE,"ORIX CSC"}</definedName>
    <definedName name="mmmm" localSheetId="2" hidden="1">{"orixcsc",#N/A,FALSE,"ORIX CSC";"orixcsc2",#N/A,FALSE,"ORIX CSC"}</definedName>
    <definedName name="mmmm" localSheetId="19" hidden="1">{"orixcsc",#N/A,FALSE,"ORIX CSC";"orixcsc2",#N/A,FALSE,"ORIX CSC"}</definedName>
    <definedName name="mmmm" hidden="1">{"orixcsc",#N/A,FALSE,"ORIX CSC";"orixcsc2",#N/A,FALSE,"ORIX CSC"}</definedName>
    <definedName name="mmmmm" localSheetId="12" hidden="1">{"mgmt forecast",#N/A,FALSE,"Mgmt Forecast";"dcf table",#N/A,FALSE,"Mgmt Forecast";"sensitivity",#N/A,FALSE,"Mgmt Forecast";"table inputs",#N/A,FALSE,"Mgmt Forecast";"calculations",#N/A,FALSE,"Mgmt Forecast"}</definedName>
    <definedName name="mmmmm" localSheetId="8" hidden="1">{"mgmt forecast",#N/A,FALSE,"Mgmt Forecast";"dcf table",#N/A,FALSE,"Mgmt Forecast";"sensitivity",#N/A,FALSE,"Mgmt Forecast";"table inputs",#N/A,FALSE,"Mgmt Forecast";"calculations",#N/A,FALSE,"Mgmt Forecast"}</definedName>
    <definedName name="mmmmm" localSheetId="4" hidden="1">{"mgmt forecast",#N/A,FALSE,"Mgmt Forecast";"dcf table",#N/A,FALSE,"Mgmt Forecast";"sensitivity",#N/A,FALSE,"Mgmt Forecast";"table inputs",#N/A,FALSE,"Mgmt Forecast";"calculations",#N/A,FALSE,"Mgmt Forecast"}</definedName>
    <definedName name="mmmmm" localSheetId="2" hidden="1">{"mgmt forecast",#N/A,FALSE,"Mgmt Forecast";"dcf table",#N/A,FALSE,"Mgmt Forecast";"sensitivity",#N/A,FALSE,"Mgmt Forecast";"table inputs",#N/A,FALSE,"Mgmt Forecast";"calculations",#N/A,FALSE,"Mgmt Forecast"}</definedName>
    <definedName name="mmmmm" localSheetId="19"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2" hidden="1">{#N/A,#N/A,FALSE,"Contribution Analysis"}</definedName>
    <definedName name="mmmmmm" localSheetId="8" hidden="1">{#N/A,#N/A,FALSE,"Contribution Analysis"}</definedName>
    <definedName name="mmmmmm" localSheetId="4" hidden="1">{#N/A,#N/A,FALSE,"Contribution Analysis"}</definedName>
    <definedName name="mmmmmm" localSheetId="2" hidden="1">{#N/A,#N/A,FALSE,"Contribution Analysis"}</definedName>
    <definedName name="mmmmmm" localSheetId="19" hidden="1">{#N/A,#N/A,FALSE,"Contribution Analysis"}</definedName>
    <definedName name="mmmmmm" hidden="1">{#N/A,#N/A,FALSE,"Contribution Analysis"}</definedName>
    <definedName name="mmmmmmmhm" localSheetId="12" hidden="1">{"mgmt forecast",#N/A,FALSE,"Mgmt Forecast";"dcf table",#N/A,FALSE,"Mgmt Forecast";"sensitivity",#N/A,FALSE,"Mgmt Forecast";"table inputs",#N/A,FALSE,"Mgmt Forecast";"calculations",#N/A,FALSE,"Mgmt Forecast"}</definedName>
    <definedName name="mmmmmmmhm" localSheetId="8" hidden="1">{"mgmt forecast",#N/A,FALSE,"Mgmt Forecast";"dcf table",#N/A,FALSE,"Mgmt Forecast";"sensitivity",#N/A,FALSE,"Mgmt Forecast";"table inputs",#N/A,FALSE,"Mgmt Forecast";"calculations",#N/A,FALSE,"Mgmt Forecast"}</definedName>
    <definedName name="mmmmmmmhm" localSheetId="4" hidden="1">{"mgmt forecast",#N/A,FALSE,"Mgmt Forecast";"dcf table",#N/A,FALSE,"Mgmt Forecast";"sensitivity",#N/A,FALSE,"Mgmt Forecast";"table inputs",#N/A,FALSE,"Mgmt Forecast";"calculations",#N/A,FALSE,"Mgmt Forecast"}</definedName>
    <definedName name="mmmmmmmhm" localSheetId="2" hidden="1">{"mgmt forecast",#N/A,FALSE,"Mgmt Forecast";"dcf table",#N/A,FALSE,"Mgmt Forecast";"sensitivity",#N/A,FALSE,"Mgmt Forecast";"table inputs",#N/A,FALSE,"Mgmt Forecast";"calculations",#N/A,FALSE,"Mgmt Forecast"}</definedName>
    <definedName name="mmmmmmmhm" localSheetId="19"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2" hidden="1">{#N/A,#N/A,FALSE,"ORIX CSC"}</definedName>
    <definedName name="mmmmmmmm" localSheetId="8" hidden="1">{#N/A,#N/A,FALSE,"ORIX CSC"}</definedName>
    <definedName name="mmmmmmmm" localSheetId="4" hidden="1">{#N/A,#N/A,FALSE,"ORIX CSC"}</definedName>
    <definedName name="mmmmmmmm" localSheetId="2" hidden="1">{#N/A,#N/A,FALSE,"ORIX CSC"}</definedName>
    <definedName name="mmmmmmmm" localSheetId="19" hidden="1">{#N/A,#N/A,FALSE,"ORIX CSC"}</definedName>
    <definedName name="mmmmmmmm" hidden="1">{#N/A,#N/A,FALSE,"ORIX CSC"}</definedName>
    <definedName name="O" localSheetId="12" hidden="1">{#N/A,#N/A,TRUE,"0 Deckbl.";#N/A,#N/A,TRUE,"S 1 Komm";#N/A,#N/A,TRUE,"S 1a Komm";#N/A,#N/A,TRUE,"S 1b Komm";#N/A,#N/A,TRUE,"S  2 DBR";#N/A,#N/A,TRUE,"S  3 Sparten";#N/A,#N/A,TRUE,"S 4  Betr. K.";#N/A,#N/A,TRUE,"6 Bilanz";#N/A,#N/A,TRUE,"6a Bilanz ";#N/A,#N/A,TRUE,"6b Bilanz ";#N/A,#N/A,TRUE,"7 GS I";#N/A,#N/A,TRUE,"S 8 EQ-GuV"}</definedName>
    <definedName name="O" localSheetId="8" hidden="1">{#N/A,#N/A,TRUE,"0 Deckbl.";#N/A,#N/A,TRUE,"S 1 Komm";#N/A,#N/A,TRUE,"S 1a Komm";#N/A,#N/A,TRUE,"S 1b Komm";#N/A,#N/A,TRUE,"S  2 DBR";#N/A,#N/A,TRUE,"S  3 Sparten";#N/A,#N/A,TRUE,"S 4  Betr. K.";#N/A,#N/A,TRUE,"6 Bilanz";#N/A,#N/A,TRUE,"6a Bilanz ";#N/A,#N/A,TRUE,"6b Bilanz ";#N/A,#N/A,TRUE,"7 GS I";#N/A,#N/A,TRUE,"S 8 EQ-GuV"}</definedName>
    <definedName name="O" localSheetId="4" hidden="1">{#N/A,#N/A,TRUE,"0 Deckbl.";#N/A,#N/A,TRUE,"S 1 Komm";#N/A,#N/A,TRUE,"S 1a Komm";#N/A,#N/A,TRUE,"S 1b Komm";#N/A,#N/A,TRUE,"S  2 DBR";#N/A,#N/A,TRUE,"S  3 Sparten";#N/A,#N/A,TRUE,"S 4  Betr. K.";#N/A,#N/A,TRUE,"6 Bilanz";#N/A,#N/A,TRUE,"6a Bilanz ";#N/A,#N/A,TRUE,"6b Bilanz ";#N/A,#N/A,TRUE,"7 GS I";#N/A,#N/A,TRUE,"S 8 EQ-GuV"}</definedName>
    <definedName name="O" localSheetId="2" hidden="1">{#N/A,#N/A,TRUE,"0 Deckbl.";#N/A,#N/A,TRUE,"S 1 Komm";#N/A,#N/A,TRUE,"S 1a Komm";#N/A,#N/A,TRUE,"S 1b Komm";#N/A,#N/A,TRUE,"S  2 DBR";#N/A,#N/A,TRUE,"S  3 Sparten";#N/A,#N/A,TRUE,"S 4  Betr. K.";#N/A,#N/A,TRUE,"6 Bilanz";#N/A,#N/A,TRUE,"6a Bilanz ";#N/A,#N/A,TRUE,"6b Bilanz ";#N/A,#N/A,TRUE,"7 GS I";#N/A,#N/A,TRUE,"S 8 EQ-GuV"}</definedName>
    <definedName name="O" localSheetId="19" hidden="1">{#N/A,#N/A,TRUE,"0 Deckbl.";#N/A,#N/A,TRUE,"S 1 Komm";#N/A,#N/A,TRUE,"S 1a Komm";#N/A,#N/A,TRUE,"S 1b Komm";#N/A,#N/A,TRUE,"S  2 DBR";#N/A,#N/A,TRUE,"S  3 Sparten";#N/A,#N/A,TRUE,"S 4  Betr. K.";#N/A,#N/A,TRUE,"6 Bilanz";#N/A,#N/A,TRUE,"6a Bilanz ";#N/A,#N/A,TRUE,"6b Bilanz ";#N/A,#N/A,TRUE,"7 GS I";#N/A,#N/A,TRUE,"S 8 EQ-GuV"}</definedName>
    <definedName name="O" hidden="1">{#N/A,#N/A,TRUE,"0 Deckbl.";#N/A,#N/A,TRUE,"S 1 Komm";#N/A,#N/A,TRUE,"S 1a Komm";#N/A,#N/A,TRUE,"S 1b Komm";#N/A,#N/A,TRUE,"S  2 DBR";#N/A,#N/A,TRUE,"S  3 Sparten";#N/A,#N/A,TRUE,"S 4  Betr. K.";#N/A,#N/A,TRUE,"6 Bilanz";#N/A,#N/A,TRUE,"6a Bilanz ";#N/A,#N/A,TRUE,"6b Bilanz ";#N/A,#N/A,TRUE,"7 GS I";#N/A,#N/A,TRUE,"S 8 EQ-GuV"}</definedName>
    <definedName name="Oasda" localSheetId="12" hidden="1">{"Operating Data",#N/A,TRUE,"Sheet1";"Valuation Matrix",#N/A,TRUE,"Sheet1";"Sales Analysis",#N/A,TRUE,"Sheet1";"Closed Remodelled New",#N/A,TRUE,"Sheet1";"Competitive and FSP",#N/A,TRUE,"Sheet1";"Working Capital and Capex",#N/A,TRUE,"Sheet1";"depreciation",#N/A,TRUE,"Sheet1"}</definedName>
    <definedName name="Oasda" localSheetId="8" hidden="1">{"Operating Data",#N/A,TRUE,"Sheet1";"Valuation Matrix",#N/A,TRUE,"Sheet1";"Sales Analysis",#N/A,TRUE,"Sheet1";"Closed Remodelled New",#N/A,TRUE,"Sheet1";"Competitive and FSP",#N/A,TRUE,"Sheet1";"Working Capital and Capex",#N/A,TRUE,"Sheet1";"depreciation",#N/A,TRUE,"Sheet1"}</definedName>
    <definedName name="Oasda" localSheetId="4" hidden="1">{"Operating Data",#N/A,TRUE,"Sheet1";"Valuation Matrix",#N/A,TRUE,"Sheet1";"Sales Analysis",#N/A,TRUE,"Sheet1";"Closed Remodelled New",#N/A,TRUE,"Sheet1";"Competitive and FSP",#N/A,TRUE,"Sheet1";"Working Capital and Capex",#N/A,TRUE,"Sheet1";"depreciation",#N/A,TRUE,"Sheet1"}</definedName>
    <definedName name="Oasda" localSheetId="2" hidden="1">{"Operating Data",#N/A,TRUE,"Sheet1";"Valuation Matrix",#N/A,TRUE,"Sheet1";"Sales Analysis",#N/A,TRUE,"Sheet1";"Closed Remodelled New",#N/A,TRUE,"Sheet1";"Competitive and FSP",#N/A,TRUE,"Sheet1";"Working Capital and Capex",#N/A,TRUE,"Sheet1";"depreciation",#N/A,TRUE,"Sheet1"}</definedName>
    <definedName name="Oasda" localSheetId="19" hidden="1">{"Operating Data",#N/A,TRUE,"Sheet1";"Valuation Matrix",#N/A,TRUE,"Sheet1";"Sales Analysis",#N/A,TRUE,"Sheet1";"Closed Remodelled New",#N/A,TRUE,"Sheet1";"Competitive and FSP",#N/A,TRUE,"Sheet1";"Working Capital and Capex",#N/A,TRUE,"Sheet1";"depreciation",#N/A,TRUE,"Sheet1"}</definedName>
    <definedName name="Oasda" hidden="1">{"Operating Data",#N/A,TRUE,"Sheet1";"Valuation Matrix",#N/A,TRUE,"Sheet1";"Sales Analysis",#N/A,TRUE,"Sheet1";"Closed Remodelled New",#N/A,TRUE,"Sheet1";"Competitive and FSP",#N/A,TRUE,"Sheet1";"Working Capital and Capex",#N/A,TRUE,"Sheet1";"depreciation",#N/A,TRUE,"Sheet1"}</definedName>
    <definedName name="OL" localSheetId="12" hidden="1">{#N/A,#N/A,TRUE,"0 Deckbl.";#N/A,#N/A,TRUE,"S 1 Komm";#N/A,#N/A,TRUE,"S 1a Komm";#N/A,#N/A,TRUE,"S 1b Komm";#N/A,#N/A,TRUE,"S  2 DBR";#N/A,#N/A,TRUE,"S  3 Sparten";#N/A,#N/A,TRUE,"S 4  Betr. K.";#N/A,#N/A,TRUE,"6 Bilanz";#N/A,#N/A,TRUE,"6a Bilanz ";#N/A,#N/A,TRUE,"6b Bilanz ";#N/A,#N/A,TRUE,"7 GS I";#N/A,#N/A,TRUE,"S 8 EQ-GuV"}</definedName>
    <definedName name="OL" localSheetId="8" hidden="1">{#N/A,#N/A,TRUE,"0 Deckbl.";#N/A,#N/A,TRUE,"S 1 Komm";#N/A,#N/A,TRUE,"S 1a Komm";#N/A,#N/A,TRUE,"S 1b Komm";#N/A,#N/A,TRUE,"S  2 DBR";#N/A,#N/A,TRUE,"S  3 Sparten";#N/A,#N/A,TRUE,"S 4  Betr. K.";#N/A,#N/A,TRUE,"6 Bilanz";#N/A,#N/A,TRUE,"6a Bilanz ";#N/A,#N/A,TRUE,"6b Bilanz ";#N/A,#N/A,TRUE,"7 GS I";#N/A,#N/A,TRUE,"S 8 EQ-GuV"}</definedName>
    <definedName name="OL" localSheetId="4" hidden="1">{#N/A,#N/A,TRUE,"0 Deckbl.";#N/A,#N/A,TRUE,"S 1 Komm";#N/A,#N/A,TRUE,"S 1a Komm";#N/A,#N/A,TRUE,"S 1b Komm";#N/A,#N/A,TRUE,"S  2 DBR";#N/A,#N/A,TRUE,"S  3 Sparten";#N/A,#N/A,TRUE,"S 4  Betr. K.";#N/A,#N/A,TRUE,"6 Bilanz";#N/A,#N/A,TRUE,"6a Bilanz ";#N/A,#N/A,TRUE,"6b Bilanz ";#N/A,#N/A,TRUE,"7 GS I";#N/A,#N/A,TRUE,"S 8 EQ-GuV"}</definedName>
    <definedName name="OL" localSheetId="2" hidden="1">{#N/A,#N/A,TRUE,"0 Deckbl.";#N/A,#N/A,TRUE,"S 1 Komm";#N/A,#N/A,TRUE,"S 1a Komm";#N/A,#N/A,TRUE,"S 1b Komm";#N/A,#N/A,TRUE,"S  2 DBR";#N/A,#N/A,TRUE,"S  3 Sparten";#N/A,#N/A,TRUE,"S 4  Betr. K.";#N/A,#N/A,TRUE,"6 Bilanz";#N/A,#N/A,TRUE,"6a Bilanz ";#N/A,#N/A,TRUE,"6b Bilanz ";#N/A,#N/A,TRUE,"7 GS I";#N/A,#N/A,TRUE,"S 8 EQ-GuV"}</definedName>
    <definedName name="OL" localSheetId="19" hidden="1">{#N/A,#N/A,TRUE,"0 Deckbl.";#N/A,#N/A,TRUE,"S 1 Komm";#N/A,#N/A,TRUE,"S 1a Komm";#N/A,#N/A,TRUE,"S 1b Komm";#N/A,#N/A,TRUE,"S  2 DBR";#N/A,#N/A,TRUE,"S  3 Sparten";#N/A,#N/A,TRUE,"S 4  Betr. K.";#N/A,#N/A,TRUE,"6 Bilanz";#N/A,#N/A,TRUE,"6a Bilanz ";#N/A,#N/A,TRUE,"6b Bilanz ";#N/A,#N/A,TRUE,"7 GS I";#N/A,#N/A,TRUE,"S 8 EQ-GuV"}</definedName>
    <definedName name="OL" hidden="1">{#N/A,#N/A,TRUE,"0 Deckbl.";#N/A,#N/A,TRUE,"S 1 Komm";#N/A,#N/A,TRUE,"S 1a Komm";#N/A,#N/A,TRUE,"S 1b Komm";#N/A,#N/A,TRUE,"S  2 DBR";#N/A,#N/A,TRUE,"S  3 Sparten";#N/A,#N/A,TRUE,"S 4  Betr. K.";#N/A,#N/A,TRUE,"6 Bilanz";#N/A,#N/A,TRUE,"6a Bilanz ";#N/A,#N/A,TRUE,"6b Bilanz ";#N/A,#N/A,TRUE,"7 GS I";#N/A,#N/A,TRUE,"S 8 EQ-GuV"}</definedName>
    <definedName name="P" localSheetId="12" hidden="1">{#N/A,#N/A,TRUE,"0 Deckbl.";#N/A,#N/A,TRUE,"S 1 Komm";#N/A,#N/A,TRUE,"S 1a Komm";#N/A,#N/A,TRUE,"S 1b Komm";#N/A,#N/A,TRUE,"S  2 DBR";#N/A,#N/A,TRUE,"S  3 Sparten";#N/A,#N/A,TRUE,"S 4  Betr. K.";#N/A,#N/A,TRUE,"6 Bilanz";#N/A,#N/A,TRUE,"6a Bilanz ";#N/A,#N/A,TRUE,"6b Bilanz ";#N/A,#N/A,TRUE,"7 GS I";#N/A,#N/A,TRUE,"S 8 EQ-GuV"}</definedName>
    <definedName name="P" localSheetId="8" hidden="1">{#N/A,#N/A,TRUE,"0 Deckbl.";#N/A,#N/A,TRUE,"S 1 Komm";#N/A,#N/A,TRUE,"S 1a Komm";#N/A,#N/A,TRUE,"S 1b Komm";#N/A,#N/A,TRUE,"S  2 DBR";#N/A,#N/A,TRUE,"S  3 Sparten";#N/A,#N/A,TRUE,"S 4  Betr. K.";#N/A,#N/A,TRUE,"6 Bilanz";#N/A,#N/A,TRUE,"6a Bilanz ";#N/A,#N/A,TRUE,"6b Bilanz ";#N/A,#N/A,TRUE,"7 GS I";#N/A,#N/A,TRUE,"S 8 EQ-GuV"}</definedName>
    <definedName name="P" localSheetId="4" hidden="1">{#N/A,#N/A,TRUE,"0 Deckbl.";#N/A,#N/A,TRUE,"S 1 Komm";#N/A,#N/A,TRUE,"S 1a Komm";#N/A,#N/A,TRUE,"S 1b Komm";#N/A,#N/A,TRUE,"S  2 DBR";#N/A,#N/A,TRUE,"S  3 Sparten";#N/A,#N/A,TRUE,"S 4  Betr. K.";#N/A,#N/A,TRUE,"6 Bilanz";#N/A,#N/A,TRUE,"6a Bilanz ";#N/A,#N/A,TRUE,"6b Bilanz ";#N/A,#N/A,TRUE,"7 GS I";#N/A,#N/A,TRUE,"S 8 EQ-GuV"}</definedName>
    <definedName name="P" localSheetId="2" hidden="1">{#N/A,#N/A,TRUE,"0 Deckbl.";#N/A,#N/A,TRUE,"S 1 Komm";#N/A,#N/A,TRUE,"S 1a Komm";#N/A,#N/A,TRUE,"S 1b Komm";#N/A,#N/A,TRUE,"S  2 DBR";#N/A,#N/A,TRUE,"S  3 Sparten";#N/A,#N/A,TRUE,"S 4  Betr. K.";#N/A,#N/A,TRUE,"6 Bilanz";#N/A,#N/A,TRUE,"6a Bilanz ";#N/A,#N/A,TRUE,"6b Bilanz ";#N/A,#N/A,TRUE,"7 GS I";#N/A,#N/A,TRUE,"S 8 EQ-GuV"}</definedName>
    <definedName name="P" localSheetId="19" hidden="1">{#N/A,#N/A,TRUE,"0 Deckbl.";#N/A,#N/A,TRUE,"S 1 Komm";#N/A,#N/A,TRUE,"S 1a Komm";#N/A,#N/A,TRUE,"S 1b Komm";#N/A,#N/A,TRUE,"S  2 DBR";#N/A,#N/A,TRUE,"S  3 Sparten";#N/A,#N/A,TRUE,"S 4  Betr. K.";#N/A,#N/A,TRUE,"6 Bilanz";#N/A,#N/A,TRUE,"6a Bilanz ";#N/A,#N/A,TRUE,"6b Bilanz ";#N/A,#N/A,TRUE,"7 GS I";#N/A,#N/A,TRUE,"S 8 EQ-GuV"}</definedName>
    <definedName name="P" hidden="1">{#N/A,#N/A,TRUE,"0 Deckbl.";#N/A,#N/A,TRUE,"S 1 Komm";#N/A,#N/A,TRUE,"S 1a Komm";#N/A,#N/A,TRUE,"S 1b Komm";#N/A,#N/A,TRUE,"S  2 DBR";#N/A,#N/A,TRUE,"S  3 Sparten";#N/A,#N/A,TRUE,"S 4  Betr. K.";#N/A,#N/A,TRUE,"6 Bilanz";#N/A,#N/A,TRUE,"6a Bilanz ";#N/A,#N/A,TRUE,"6b Bilanz ";#N/A,#N/A,TRUE,"7 GS I";#N/A,#N/A,TRUE,"S 8 EQ-GuV"}</definedName>
    <definedName name="parvendra" localSheetId="12" hidden="1">{"'INVOICE'!$A$2793:$D$2815"}</definedName>
    <definedName name="parvendra" localSheetId="8" hidden="1">{"'INVOICE'!$A$2793:$D$2815"}</definedName>
    <definedName name="parvendra" localSheetId="4" hidden="1">{"'INVOICE'!$A$2793:$D$2815"}</definedName>
    <definedName name="parvendra" localSheetId="2" hidden="1">{"'INVOICE'!$A$2793:$D$2815"}</definedName>
    <definedName name="parvendra" localSheetId="19" hidden="1">{"'INVOICE'!$A$2793:$D$2815"}</definedName>
    <definedName name="parvendra" hidden="1">{"'INVOICE'!$A$2793:$D$2815"}</definedName>
    <definedName name="perbolag" localSheetId="12" hidden="1">{#N/A,#N/A,FALSE,"intag";#N/A,#N/A,FALSE,"budg";#N/A,#N/A,FALSE,"samtl"}</definedName>
    <definedName name="perbolag" localSheetId="8" hidden="1">{#N/A,#N/A,FALSE,"intag";#N/A,#N/A,FALSE,"budg";#N/A,#N/A,FALSE,"samtl"}</definedName>
    <definedName name="perbolag" localSheetId="4" hidden="1">{#N/A,#N/A,FALSE,"intag";#N/A,#N/A,FALSE,"budg";#N/A,#N/A,FALSE,"samtl"}</definedName>
    <definedName name="perbolag" localSheetId="2" hidden="1">{#N/A,#N/A,FALSE,"intag";#N/A,#N/A,FALSE,"budg";#N/A,#N/A,FALSE,"samtl"}</definedName>
    <definedName name="perbolag" localSheetId="19" hidden="1">{#N/A,#N/A,FALSE,"intag";#N/A,#N/A,FALSE,"budg";#N/A,#N/A,FALSE,"samtl"}</definedName>
    <definedName name="perbolag" hidden="1">{#N/A,#N/A,FALSE,"intag";#N/A,#N/A,FALSE,"budg";#N/A,#N/A,FALSE,"samtl"}</definedName>
    <definedName name="perbolagneu" localSheetId="12" hidden="1">{#N/A,#N/A,FALSE,"intag";#N/A,#N/A,FALSE,"budg";#N/A,#N/A,FALSE,"samtl"}</definedName>
    <definedName name="perbolagneu" localSheetId="8" hidden="1">{#N/A,#N/A,FALSE,"intag";#N/A,#N/A,FALSE,"budg";#N/A,#N/A,FALSE,"samtl"}</definedName>
    <definedName name="perbolagneu" localSheetId="4" hidden="1">{#N/A,#N/A,FALSE,"intag";#N/A,#N/A,FALSE,"budg";#N/A,#N/A,FALSE,"samtl"}</definedName>
    <definedName name="perbolagneu" localSheetId="2" hidden="1">{#N/A,#N/A,FALSE,"intag";#N/A,#N/A,FALSE,"budg";#N/A,#N/A,FALSE,"samtl"}</definedName>
    <definedName name="perbolagneu" localSheetId="19" hidden="1">{#N/A,#N/A,FALSE,"intag";#N/A,#N/A,FALSE,"budg";#N/A,#N/A,FALSE,"samtl"}</definedName>
    <definedName name="perbolagneu" hidden="1">{#N/A,#N/A,FALSE,"intag";#N/A,#N/A,FALSE,"budg";#N/A,#N/A,FALSE,"samtl"}</definedName>
    <definedName name="PO" localSheetId="12" hidden="1">{#N/A,#N/A,TRUE,"0 Deckbl.";#N/A,#N/A,TRUE,"S 1 Komm";#N/A,#N/A,TRUE,"S 1a Komm";#N/A,#N/A,TRUE,"S 1b Komm";#N/A,#N/A,TRUE,"S  2 DBR";#N/A,#N/A,TRUE,"S  3 Sparten";#N/A,#N/A,TRUE,"S 4  Betr. K.";#N/A,#N/A,TRUE,"6 Bilanz";#N/A,#N/A,TRUE,"6a Bilanz ";#N/A,#N/A,TRUE,"6b Bilanz ";#N/A,#N/A,TRUE,"7 GS I";#N/A,#N/A,TRUE,"S 8 EQ-GuV"}</definedName>
    <definedName name="PO" localSheetId="8" hidden="1">{#N/A,#N/A,TRUE,"0 Deckbl.";#N/A,#N/A,TRUE,"S 1 Komm";#N/A,#N/A,TRUE,"S 1a Komm";#N/A,#N/A,TRUE,"S 1b Komm";#N/A,#N/A,TRUE,"S  2 DBR";#N/A,#N/A,TRUE,"S  3 Sparten";#N/A,#N/A,TRUE,"S 4  Betr. K.";#N/A,#N/A,TRUE,"6 Bilanz";#N/A,#N/A,TRUE,"6a Bilanz ";#N/A,#N/A,TRUE,"6b Bilanz ";#N/A,#N/A,TRUE,"7 GS I";#N/A,#N/A,TRUE,"S 8 EQ-GuV"}</definedName>
    <definedName name="PO" localSheetId="4" hidden="1">{#N/A,#N/A,TRUE,"0 Deckbl.";#N/A,#N/A,TRUE,"S 1 Komm";#N/A,#N/A,TRUE,"S 1a Komm";#N/A,#N/A,TRUE,"S 1b Komm";#N/A,#N/A,TRUE,"S  2 DBR";#N/A,#N/A,TRUE,"S  3 Sparten";#N/A,#N/A,TRUE,"S 4  Betr. K.";#N/A,#N/A,TRUE,"6 Bilanz";#N/A,#N/A,TRUE,"6a Bilanz ";#N/A,#N/A,TRUE,"6b Bilanz ";#N/A,#N/A,TRUE,"7 GS I";#N/A,#N/A,TRUE,"S 8 EQ-GuV"}</definedName>
    <definedName name="PO" localSheetId="2" hidden="1">{#N/A,#N/A,TRUE,"0 Deckbl.";#N/A,#N/A,TRUE,"S 1 Komm";#N/A,#N/A,TRUE,"S 1a Komm";#N/A,#N/A,TRUE,"S 1b Komm";#N/A,#N/A,TRUE,"S  2 DBR";#N/A,#N/A,TRUE,"S  3 Sparten";#N/A,#N/A,TRUE,"S 4  Betr. K.";#N/A,#N/A,TRUE,"6 Bilanz";#N/A,#N/A,TRUE,"6a Bilanz ";#N/A,#N/A,TRUE,"6b Bilanz ";#N/A,#N/A,TRUE,"7 GS I";#N/A,#N/A,TRUE,"S 8 EQ-GuV"}</definedName>
    <definedName name="PO" localSheetId="19" hidden="1">{#N/A,#N/A,TRUE,"0 Deckbl.";#N/A,#N/A,TRUE,"S 1 Komm";#N/A,#N/A,TRUE,"S 1a Komm";#N/A,#N/A,TRUE,"S 1b Komm";#N/A,#N/A,TRUE,"S  2 DBR";#N/A,#N/A,TRUE,"S  3 Sparten";#N/A,#N/A,TRUE,"S 4  Betr. K.";#N/A,#N/A,TRUE,"6 Bilanz";#N/A,#N/A,TRUE,"6a Bilanz ";#N/A,#N/A,TRUE,"6b Bilanz ";#N/A,#N/A,TRUE,"7 GS I";#N/A,#N/A,TRUE,"S 8 EQ-GuV"}</definedName>
    <definedName name="PO" hidden="1">{#N/A,#N/A,TRUE,"0 Deckbl.";#N/A,#N/A,TRUE,"S 1 Komm";#N/A,#N/A,TRUE,"S 1a Komm";#N/A,#N/A,TRUE,"S 1b Komm";#N/A,#N/A,TRUE,"S  2 DBR";#N/A,#N/A,TRUE,"S  3 Sparten";#N/A,#N/A,TRUE,"S 4  Betr. K.";#N/A,#N/A,TRUE,"6 Bilanz";#N/A,#N/A,TRUE,"6a Bilanz ";#N/A,#N/A,TRUE,"6b Bilanz ";#N/A,#N/A,TRUE,"7 GS I";#N/A,#N/A,TRUE,"S 8 EQ-GuV"}</definedName>
    <definedName name="PP" localSheetId="19" hidden="1">#REF!</definedName>
    <definedName name="PP" hidden="1">#REF!</definedName>
    <definedName name="PPPPPPPPPP" localSheetId="19" hidden="1">#REF!</definedName>
    <definedName name="PPPPPPPPPP" hidden="1">#REF!</definedName>
    <definedName name="prinallnew" localSheetId="12" hidden="1">{"sterling",#N/A,FALSE,"£";"USdollar",#N/A,FALSE,"USA$";"mark",#N/A,FALSE,"DM";"peseta",#N/A,FALSE,"Pta";"lira",#N/A,FALSE,"LIRA";"euro",#N/A,FALSE,"Euro";"Ausdollar",#N/A,FALSE,"Aus$";"other",#N/A,FALSE,"Other"}</definedName>
    <definedName name="prinallnew" localSheetId="8" hidden="1">{"sterling",#N/A,FALSE,"£";"USdollar",#N/A,FALSE,"USA$";"mark",#N/A,FALSE,"DM";"peseta",#N/A,FALSE,"Pta";"lira",#N/A,FALSE,"LIRA";"euro",#N/A,FALSE,"Euro";"Ausdollar",#N/A,FALSE,"Aus$";"other",#N/A,FALSE,"Other"}</definedName>
    <definedName name="prinallnew" localSheetId="4" hidden="1">{"sterling",#N/A,FALSE,"£";"USdollar",#N/A,FALSE,"USA$";"mark",#N/A,FALSE,"DM";"peseta",#N/A,FALSE,"Pta";"lira",#N/A,FALSE,"LIRA";"euro",#N/A,FALSE,"Euro";"Ausdollar",#N/A,FALSE,"Aus$";"other",#N/A,FALSE,"Other"}</definedName>
    <definedName name="prinallnew" localSheetId="2" hidden="1">{"sterling",#N/A,FALSE,"£";"USdollar",#N/A,FALSE,"USA$";"mark",#N/A,FALSE,"DM";"peseta",#N/A,FALSE,"Pta";"lira",#N/A,FALSE,"LIRA";"euro",#N/A,FALSE,"Euro";"Ausdollar",#N/A,FALSE,"Aus$";"other",#N/A,FALSE,"Other"}</definedName>
    <definedName name="prinallnew" localSheetId="19" hidden="1">{"sterling",#N/A,FALSE,"£";"USdollar",#N/A,FALSE,"USA$";"mark",#N/A,FALSE,"DM";"peseta",#N/A,FALSE,"Pta";"lira",#N/A,FALSE,"LIRA";"euro",#N/A,FALSE,"Euro";"Ausdollar",#N/A,FALSE,"Aus$";"other",#N/A,FALSE,"Other"}</definedName>
    <definedName name="prinallnew" hidden="1">{"sterling",#N/A,FALSE,"£";"USdollar",#N/A,FALSE,"USA$";"mark",#N/A,FALSE,"DM";"peseta",#N/A,FALSE,"Pta";"lira",#N/A,FALSE,"LIRA";"euro",#N/A,FALSE,"Euro";"Ausdollar",#N/A,FALSE,"Aus$";"other",#N/A,FALSE,"Other"}</definedName>
    <definedName name="_xlnm.Print_Area" localSheetId="1">Contents!$A$1:$E$19</definedName>
    <definedName name="_xlnm.Print_Area" localSheetId="0">Cover!$F$1:$K$31</definedName>
    <definedName name="_xlnm.Print_Area" localSheetId="2">Scenarios!$B$1:$AE$39</definedName>
    <definedName name="_xlnm.Print_Titles" localSheetId="24">Aggregates!$1:$3</definedName>
    <definedName name="_xlnm.Print_Titles" localSheetId="25">'Screen Criteria'!$1:$3</definedName>
    <definedName name="_xlnm.Print_Titles" localSheetId="23">Screening!$1:$3</definedName>
    <definedName name="q" localSheetId="12" hidden="1">{#N/A,#N/A,TRUE,"0 Deckbl.";#N/A,#N/A,TRUE,"S 1 Komm";#N/A,#N/A,TRUE,"S 1a Komm";#N/A,#N/A,TRUE,"S 1b Komm";#N/A,#N/A,TRUE,"S  2 DBR";#N/A,#N/A,TRUE,"S  3 Sparten";#N/A,#N/A,TRUE,"S 4  Betr. K.";#N/A,#N/A,TRUE,"6 Bilanz";#N/A,#N/A,TRUE,"6a Bilanz ";#N/A,#N/A,TRUE,"6b Bilanz ";#N/A,#N/A,TRUE,"7 GS I";#N/A,#N/A,TRUE,"S 8 EQ-GuV"}</definedName>
    <definedName name="q" localSheetId="8" hidden="1">{#N/A,#N/A,TRUE,"0 Deckbl.";#N/A,#N/A,TRUE,"S 1 Komm";#N/A,#N/A,TRUE,"S 1a Komm";#N/A,#N/A,TRUE,"S 1b Komm";#N/A,#N/A,TRUE,"S  2 DBR";#N/A,#N/A,TRUE,"S  3 Sparten";#N/A,#N/A,TRUE,"S 4  Betr. K.";#N/A,#N/A,TRUE,"6 Bilanz";#N/A,#N/A,TRUE,"6a Bilanz ";#N/A,#N/A,TRUE,"6b Bilanz ";#N/A,#N/A,TRUE,"7 GS I";#N/A,#N/A,TRUE,"S 8 EQ-GuV"}</definedName>
    <definedName name="q" localSheetId="4" hidden="1">{#N/A,#N/A,TRUE,"0 Deckbl.";#N/A,#N/A,TRUE,"S 1 Komm";#N/A,#N/A,TRUE,"S 1a Komm";#N/A,#N/A,TRUE,"S 1b Komm";#N/A,#N/A,TRUE,"S  2 DBR";#N/A,#N/A,TRUE,"S  3 Sparten";#N/A,#N/A,TRUE,"S 4  Betr. K.";#N/A,#N/A,TRUE,"6 Bilanz";#N/A,#N/A,TRUE,"6a Bilanz ";#N/A,#N/A,TRUE,"6b Bilanz ";#N/A,#N/A,TRUE,"7 GS I";#N/A,#N/A,TRUE,"S 8 EQ-GuV"}</definedName>
    <definedName name="q" localSheetId="2" hidden="1">{#N/A,#N/A,TRUE,"0 Deckbl.";#N/A,#N/A,TRUE,"S 1 Komm";#N/A,#N/A,TRUE,"S 1a Komm";#N/A,#N/A,TRUE,"S 1b Komm";#N/A,#N/A,TRUE,"S  2 DBR";#N/A,#N/A,TRUE,"S  3 Sparten";#N/A,#N/A,TRUE,"S 4  Betr. K.";#N/A,#N/A,TRUE,"6 Bilanz";#N/A,#N/A,TRUE,"6a Bilanz ";#N/A,#N/A,TRUE,"6b Bilanz ";#N/A,#N/A,TRUE,"7 GS I";#N/A,#N/A,TRUE,"S 8 EQ-GuV"}</definedName>
    <definedName name="q" localSheetId="19" hidden="1">{#N/A,#N/A,TRUE,"0 Deckbl.";#N/A,#N/A,TRUE,"S 1 Komm";#N/A,#N/A,TRUE,"S 1a Komm";#N/A,#N/A,TRUE,"S 1b Komm";#N/A,#N/A,TRUE,"S  2 DBR";#N/A,#N/A,TRUE,"S  3 Sparten";#N/A,#N/A,TRUE,"S 4  Betr. K.";#N/A,#N/A,TRUE,"6 Bilanz";#N/A,#N/A,TRUE,"6a Bilanz ";#N/A,#N/A,TRUE,"6b Bilanz ";#N/A,#N/A,TRUE,"7 GS I";#N/A,#N/A,TRUE,"S 8 EQ-GuV"}</definedName>
    <definedName name="q" hidden="1">{#N/A,#N/A,TRUE,"0 Deckbl.";#N/A,#N/A,TRUE,"S 1 Komm";#N/A,#N/A,TRUE,"S 1a Komm";#N/A,#N/A,TRUE,"S 1b Komm";#N/A,#N/A,TRUE,"S  2 DBR";#N/A,#N/A,TRUE,"S  3 Sparten";#N/A,#N/A,TRUE,"S 4  Betr. K.";#N/A,#N/A,TRUE,"6 Bilanz";#N/A,#N/A,TRUE,"6a Bilanz ";#N/A,#N/A,TRUE,"6b Bilanz ";#N/A,#N/A,TRUE,"7 GS I";#N/A,#N/A,TRUE,"S 8 EQ-GuV"}</definedName>
    <definedName name="qer" localSheetId="12" hidden="1">{"mgmt forecast",#N/A,FALSE,"Mgmt Forecast";"dcf table",#N/A,FALSE,"Mgmt Forecast";"sensitivity",#N/A,FALSE,"Mgmt Forecast";"table inputs",#N/A,FALSE,"Mgmt Forecast";"calculations",#N/A,FALSE,"Mgmt Forecast"}</definedName>
    <definedName name="qer" localSheetId="8" hidden="1">{"mgmt forecast",#N/A,FALSE,"Mgmt Forecast";"dcf table",#N/A,FALSE,"Mgmt Forecast";"sensitivity",#N/A,FALSE,"Mgmt Forecast";"table inputs",#N/A,FALSE,"Mgmt Forecast";"calculations",#N/A,FALSE,"Mgmt Forecast"}</definedName>
    <definedName name="qer" localSheetId="4" hidden="1">{"mgmt forecast",#N/A,FALSE,"Mgmt Forecast";"dcf table",#N/A,FALSE,"Mgmt Forecast";"sensitivity",#N/A,FALSE,"Mgmt Forecast";"table inputs",#N/A,FALSE,"Mgmt Forecast";"calculations",#N/A,FALSE,"Mgmt Forecast"}</definedName>
    <definedName name="qer" localSheetId="2" hidden="1">{"mgmt forecast",#N/A,FALSE,"Mgmt Forecast";"dcf table",#N/A,FALSE,"Mgmt Forecast";"sensitivity",#N/A,FALSE,"Mgmt Forecast";"table inputs",#N/A,FALSE,"Mgmt Forecast";"calculations",#N/A,FALSE,"Mgmt Forecast"}</definedName>
    <definedName name="qer" localSheetId="19"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qq" hidden="1">'[7]97Budget'!#REF!</definedName>
    <definedName name="qweqweqwe" localSheetId="12" hidden="1">{#N/A,#N/A,TRUE,"0 Deckbl.";#N/A,#N/A,TRUE,"S 1 Komm";#N/A,#N/A,TRUE,"S 1a Komm";#N/A,#N/A,TRUE,"S 1b Komm";#N/A,#N/A,TRUE,"S  2 DBR";#N/A,#N/A,TRUE,"S  3 Sparten";#N/A,#N/A,TRUE,"S 4  Betr. K.";#N/A,#N/A,TRUE,"6 Bilanz";#N/A,#N/A,TRUE,"6a Bilanz ";#N/A,#N/A,TRUE,"6b Bilanz ";#N/A,#N/A,TRUE,"7 GS I";#N/A,#N/A,TRUE,"S 8 EQ-GuV"}</definedName>
    <definedName name="qweqweqwe" localSheetId="8" hidden="1">{#N/A,#N/A,TRUE,"0 Deckbl.";#N/A,#N/A,TRUE,"S 1 Komm";#N/A,#N/A,TRUE,"S 1a Komm";#N/A,#N/A,TRUE,"S 1b Komm";#N/A,#N/A,TRUE,"S  2 DBR";#N/A,#N/A,TRUE,"S  3 Sparten";#N/A,#N/A,TRUE,"S 4  Betr. K.";#N/A,#N/A,TRUE,"6 Bilanz";#N/A,#N/A,TRUE,"6a Bilanz ";#N/A,#N/A,TRUE,"6b Bilanz ";#N/A,#N/A,TRUE,"7 GS I";#N/A,#N/A,TRUE,"S 8 EQ-GuV"}</definedName>
    <definedName name="qweqweqwe" localSheetId="4" hidden="1">{#N/A,#N/A,TRUE,"0 Deckbl.";#N/A,#N/A,TRUE,"S 1 Komm";#N/A,#N/A,TRUE,"S 1a Komm";#N/A,#N/A,TRUE,"S 1b Komm";#N/A,#N/A,TRUE,"S  2 DBR";#N/A,#N/A,TRUE,"S  3 Sparten";#N/A,#N/A,TRUE,"S 4  Betr. K.";#N/A,#N/A,TRUE,"6 Bilanz";#N/A,#N/A,TRUE,"6a Bilanz ";#N/A,#N/A,TRUE,"6b Bilanz ";#N/A,#N/A,TRUE,"7 GS I";#N/A,#N/A,TRUE,"S 8 EQ-GuV"}</definedName>
    <definedName name="qweqweqwe" localSheetId="2" hidden="1">{#N/A,#N/A,TRUE,"0 Deckbl.";#N/A,#N/A,TRUE,"S 1 Komm";#N/A,#N/A,TRUE,"S 1a Komm";#N/A,#N/A,TRUE,"S 1b Komm";#N/A,#N/A,TRUE,"S  2 DBR";#N/A,#N/A,TRUE,"S  3 Sparten";#N/A,#N/A,TRUE,"S 4  Betr. K.";#N/A,#N/A,TRUE,"6 Bilanz";#N/A,#N/A,TRUE,"6a Bilanz ";#N/A,#N/A,TRUE,"6b Bilanz ";#N/A,#N/A,TRUE,"7 GS I";#N/A,#N/A,TRUE,"S 8 EQ-GuV"}</definedName>
    <definedName name="qweqweqwe" localSheetId="19" hidden="1">{#N/A,#N/A,TRUE,"0 Deckbl.";#N/A,#N/A,TRUE,"S 1 Komm";#N/A,#N/A,TRUE,"S 1a Komm";#N/A,#N/A,TRUE,"S 1b Komm";#N/A,#N/A,TRUE,"S  2 DBR";#N/A,#N/A,TRUE,"S  3 Sparten";#N/A,#N/A,TRUE,"S 4  Betr. K.";#N/A,#N/A,TRUE,"6 Bilanz";#N/A,#N/A,TRUE,"6a Bilanz ";#N/A,#N/A,TRUE,"6b Bilanz ";#N/A,#N/A,TRUE,"7 GS I";#N/A,#N/A,TRUE,"S 8 EQ-GuV"}</definedName>
    <definedName name="qweqweqwe" hidden="1">{#N/A,#N/A,TRUE,"0 Deckbl.";#N/A,#N/A,TRUE,"S 1 Komm";#N/A,#N/A,TRUE,"S 1a Komm";#N/A,#N/A,TRUE,"S 1b Komm";#N/A,#N/A,TRUE,"S  2 DBR";#N/A,#N/A,TRUE,"S  3 Sparten";#N/A,#N/A,TRUE,"S 4  Betr. K.";#N/A,#N/A,TRUE,"6 Bilanz";#N/A,#N/A,TRUE,"6a Bilanz ";#N/A,#N/A,TRUE,"6b Bilanz ";#N/A,#N/A,TRUE,"7 GS I";#N/A,#N/A,TRUE,"S 8 EQ-GuV"}</definedName>
    <definedName name="qwerqew" localSheetId="12" hidden="1">{"mgmt forecast",#N/A,FALSE,"Mgmt Forecast";"dcf table",#N/A,FALSE,"Mgmt Forecast";"sensitivity",#N/A,FALSE,"Mgmt Forecast";"table inputs",#N/A,FALSE,"Mgmt Forecast";"calculations",#N/A,FALSE,"Mgmt Forecast"}</definedName>
    <definedName name="qwerqew" localSheetId="8" hidden="1">{"mgmt forecast",#N/A,FALSE,"Mgmt Forecast";"dcf table",#N/A,FALSE,"Mgmt Forecast";"sensitivity",#N/A,FALSE,"Mgmt Forecast";"table inputs",#N/A,FALSE,"Mgmt Forecast";"calculations",#N/A,FALSE,"Mgmt Forecast"}</definedName>
    <definedName name="qwerqew" localSheetId="4" hidden="1">{"mgmt forecast",#N/A,FALSE,"Mgmt Forecast";"dcf table",#N/A,FALSE,"Mgmt Forecast";"sensitivity",#N/A,FALSE,"Mgmt Forecast";"table inputs",#N/A,FALSE,"Mgmt Forecast";"calculations",#N/A,FALSE,"Mgmt Forecast"}</definedName>
    <definedName name="qwerqew" localSheetId="2" hidden="1">{"mgmt forecast",#N/A,FALSE,"Mgmt Forecast";"dcf table",#N/A,FALSE,"Mgmt Forecast";"sensitivity",#N/A,FALSE,"Mgmt Forecast";"table inputs",#N/A,FALSE,"Mgmt Forecast";"calculations",#N/A,FALSE,"Mgmt Forecast"}</definedName>
    <definedName name="qwerqew" localSheetId="19"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2" hidden="1">{"orixcsc",#N/A,FALSE,"ORIX CSC";"orixcsc2",#N/A,FALSE,"ORIX CSC"}</definedName>
    <definedName name="qwerqwerqwe" localSheetId="8" hidden="1">{"orixcsc",#N/A,FALSE,"ORIX CSC";"orixcsc2",#N/A,FALSE,"ORIX CSC"}</definedName>
    <definedName name="qwerqwerqwe" localSheetId="4" hidden="1">{"orixcsc",#N/A,FALSE,"ORIX CSC";"orixcsc2",#N/A,FALSE,"ORIX CSC"}</definedName>
    <definedName name="qwerqwerqwe" localSheetId="2" hidden="1">{"orixcsc",#N/A,FALSE,"ORIX CSC";"orixcsc2",#N/A,FALSE,"ORIX CSC"}</definedName>
    <definedName name="qwerqwerqwe" localSheetId="19" hidden="1">{"orixcsc",#N/A,FALSE,"ORIX CSC";"orixcsc2",#N/A,FALSE,"ORIX CSC"}</definedName>
    <definedName name="qwerqwerqwe" hidden="1">{"orixcsc",#N/A,FALSE,"ORIX CSC";"orixcsc2",#N/A,FALSE,"ORIX CSC"}</definedName>
    <definedName name="rabota" localSheetId="12" hidden="1">{#N/A,#N/A,TRUE,"0 Deckbl.";#N/A,#N/A,TRUE,"S 1 Komm";#N/A,#N/A,TRUE,"S 1a Komm";#N/A,#N/A,TRUE,"S 1b Komm";#N/A,#N/A,TRUE,"S  2 DBR";#N/A,#N/A,TRUE,"S  3 Sparten";#N/A,#N/A,TRUE,"S 4  Betr. K.";#N/A,#N/A,TRUE,"6 Bilanz";#N/A,#N/A,TRUE,"6a Bilanz ";#N/A,#N/A,TRUE,"6b Bilanz ";#N/A,#N/A,TRUE,"7 GS I";#N/A,#N/A,TRUE,"S 8 EQ-GuV"}</definedName>
    <definedName name="rabota" localSheetId="8" hidden="1">{#N/A,#N/A,TRUE,"0 Deckbl.";#N/A,#N/A,TRUE,"S 1 Komm";#N/A,#N/A,TRUE,"S 1a Komm";#N/A,#N/A,TRUE,"S 1b Komm";#N/A,#N/A,TRUE,"S  2 DBR";#N/A,#N/A,TRUE,"S  3 Sparten";#N/A,#N/A,TRUE,"S 4  Betr. K.";#N/A,#N/A,TRUE,"6 Bilanz";#N/A,#N/A,TRUE,"6a Bilanz ";#N/A,#N/A,TRUE,"6b Bilanz ";#N/A,#N/A,TRUE,"7 GS I";#N/A,#N/A,TRUE,"S 8 EQ-GuV"}</definedName>
    <definedName name="rabota" localSheetId="4" hidden="1">{#N/A,#N/A,TRUE,"0 Deckbl.";#N/A,#N/A,TRUE,"S 1 Komm";#N/A,#N/A,TRUE,"S 1a Komm";#N/A,#N/A,TRUE,"S 1b Komm";#N/A,#N/A,TRUE,"S  2 DBR";#N/A,#N/A,TRUE,"S  3 Sparten";#N/A,#N/A,TRUE,"S 4  Betr. K.";#N/A,#N/A,TRUE,"6 Bilanz";#N/A,#N/A,TRUE,"6a Bilanz ";#N/A,#N/A,TRUE,"6b Bilanz ";#N/A,#N/A,TRUE,"7 GS I";#N/A,#N/A,TRUE,"S 8 EQ-GuV"}</definedName>
    <definedName name="rabota" localSheetId="2" hidden="1">{#N/A,#N/A,TRUE,"0 Deckbl.";#N/A,#N/A,TRUE,"S 1 Komm";#N/A,#N/A,TRUE,"S 1a Komm";#N/A,#N/A,TRUE,"S 1b Komm";#N/A,#N/A,TRUE,"S  2 DBR";#N/A,#N/A,TRUE,"S  3 Sparten";#N/A,#N/A,TRUE,"S 4  Betr. K.";#N/A,#N/A,TRUE,"6 Bilanz";#N/A,#N/A,TRUE,"6a Bilanz ";#N/A,#N/A,TRUE,"6b Bilanz ";#N/A,#N/A,TRUE,"7 GS I";#N/A,#N/A,TRUE,"S 8 EQ-GuV"}</definedName>
    <definedName name="rabota" localSheetId="19" hidden="1">{#N/A,#N/A,TRUE,"0 Deckbl.";#N/A,#N/A,TRUE,"S 1 Komm";#N/A,#N/A,TRUE,"S 1a Komm";#N/A,#N/A,TRUE,"S 1b Komm";#N/A,#N/A,TRUE,"S  2 DBR";#N/A,#N/A,TRUE,"S  3 Sparten";#N/A,#N/A,TRUE,"S 4  Betr. K.";#N/A,#N/A,TRUE,"6 Bilanz";#N/A,#N/A,TRUE,"6a Bilanz ";#N/A,#N/A,TRUE,"6b Bilanz ";#N/A,#N/A,TRUE,"7 GS I";#N/A,#N/A,TRUE,"S 8 EQ-GuV"}</definedName>
    <definedName name="rabota" hidden="1">{#N/A,#N/A,TRUE,"0 Deckbl.";#N/A,#N/A,TRUE,"S 1 Komm";#N/A,#N/A,TRUE,"S 1a Komm";#N/A,#N/A,TRUE,"S 1b Komm";#N/A,#N/A,TRUE,"S  2 DBR";#N/A,#N/A,TRUE,"S  3 Sparten";#N/A,#N/A,TRUE,"S 4  Betr. K.";#N/A,#N/A,TRUE,"6 Bilanz";#N/A,#N/A,TRUE,"6a Bilanz ";#N/A,#N/A,TRUE,"6b Bilanz ";#N/A,#N/A,TRUE,"7 GS I";#N/A,#N/A,TRUE,"S 8 EQ-GuV"}</definedName>
    <definedName name="Range">Inputs!$M$4:$AD$4</definedName>
    <definedName name="READ" hidden="1">FALSE</definedName>
    <definedName name="rere" localSheetId="12" hidden="1">{#N/A,#N/A,FALSE,"ORIX CSC"}</definedName>
    <definedName name="rere" localSheetId="8" hidden="1">{#N/A,#N/A,FALSE,"ORIX CSC"}</definedName>
    <definedName name="rere" localSheetId="4" hidden="1">{#N/A,#N/A,FALSE,"ORIX CSC"}</definedName>
    <definedName name="rere" localSheetId="2" hidden="1">{#N/A,#N/A,FALSE,"ORIX CSC"}</definedName>
    <definedName name="rere" localSheetId="19" hidden="1">{#N/A,#N/A,FALSE,"ORIX CSC"}</definedName>
    <definedName name="rere" hidden="1">{#N/A,#N/A,FALSE,"ORIX CSC"}</definedName>
    <definedName name="rerere" localSheetId="12" hidden="1">{"mgmt forecast",#N/A,FALSE,"Mgmt Forecast";"dcf table",#N/A,FALSE,"Mgmt Forecast";"sensitivity",#N/A,FALSE,"Mgmt Forecast";"table inputs",#N/A,FALSE,"Mgmt Forecast";"calculations",#N/A,FALSE,"Mgmt Forecast"}</definedName>
    <definedName name="rerere" localSheetId="8" hidden="1">{"mgmt forecast",#N/A,FALSE,"Mgmt Forecast";"dcf table",#N/A,FALSE,"Mgmt Forecast";"sensitivity",#N/A,FALSE,"Mgmt Forecast";"table inputs",#N/A,FALSE,"Mgmt Forecast";"calculations",#N/A,FALSE,"Mgmt Forecast"}</definedName>
    <definedName name="rerere" localSheetId="4" hidden="1">{"mgmt forecast",#N/A,FALSE,"Mgmt Forecast";"dcf table",#N/A,FALSE,"Mgmt Forecast";"sensitivity",#N/A,FALSE,"Mgmt Forecast";"table inputs",#N/A,FALSE,"Mgmt Forecast";"calculations",#N/A,FALSE,"Mgmt Forecast"}</definedName>
    <definedName name="rerere" localSheetId="2" hidden="1">{"mgmt forecast",#N/A,FALSE,"Mgmt Forecast";"dcf table",#N/A,FALSE,"Mgmt Forecast";"sensitivity",#N/A,FALSE,"Mgmt Forecast";"table inputs",#N/A,FALSE,"Mgmt Forecast";"calculations",#N/A,FALSE,"Mgmt Forecast"}</definedName>
    <definedName name="rerere" localSheetId="19"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sources" localSheetId="12" hidden="1">{#N/A,#N/A,FALSE,"Assessment";#N/A,#N/A,FALSE,"Staffing";#N/A,#N/A,FALSE,"Hires";#N/A,#N/A,FALSE,"Assumptions"}</definedName>
    <definedName name="resources" localSheetId="8" hidden="1">{#N/A,#N/A,FALSE,"Assessment";#N/A,#N/A,FALSE,"Staffing";#N/A,#N/A,FALSE,"Hires";#N/A,#N/A,FALSE,"Assumptions"}</definedName>
    <definedName name="resources" localSheetId="4" hidden="1">{#N/A,#N/A,FALSE,"Assessment";#N/A,#N/A,FALSE,"Staffing";#N/A,#N/A,FALSE,"Hires";#N/A,#N/A,FALSE,"Assumptions"}</definedName>
    <definedName name="resources" localSheetId="2" hidden="1">{#N/A,#N/A,FALSE,"Assessment";#N/A,#N/A,FALSE,"Staffing";#N/A,#N/A,FALSE,"Hires";#N/A,#N/A,FALSE,"Assumptions"}</definedName>
    <definedName name="resources" localSheetId="19" hidden="1">{#N/A,#N/A,FALSE,"Assessment";#N/A,#N/A,FALSE,"Staffing";#N/A,#N/A,FALSE,"Hires";#N/A,#N/A,FALSE,"Assumptions"}</definedName>
    <definedName name="resources" hidden="1">{#N/A,#N/A,FALSE,"Assessment";#N/A,#N/A,FALSE,"Staffing";#N/A,#N/A,FALSE,"Hires";#N/A,#N/A,FALSE,"Assumptions"}</definedName>
    <definedName name="rev" localSheetId="12" hidden="1">{"'INVOICE'!$A$2793:$D$2815"}</definedName>
    <definedName name="rev" localSheetId="8" hidden="1">{"'INVOICE'!$A$2793:$D$2815"}</definedName>
    <definedName name="rev" localSheetId="4" hidden="1">{"'INVOICE'!$A$2793:$D$2815"}</definedName>
    <definedName name="rev" localSheetId="2" hidden="1">{"'INVOICE'!$A$2793:$D$2815"}</definedName>
    <definedName name="rev" localSheetId="19" hidden="1">{"'INVOICE'!$A$2793:$D$2815"}</definedName>
    <definedName name="rev" hidden="1">{"'INVOICE'!$A$2793:$D$2815"}</definedName>
    <definedName name="Revenue_Total_Revenue">'Revenue &amp; Costs'!$M$32:$AD$32</definedName>
    <definedName name="Robert2" localSheetId="12" hidden="1">{"DCF",#N/A,FALSE,"CF"}</definedName>
    <definedName name="Robert2" localSheetId="8" hidden="1">{"DCF",#N/A,FALSE,"CF"}</definedName>
    <definedName name="Robert2" localSheetId="4" hidden="1">{"DCF",#N/A,FALSE,"CF"}</definedName>
    <definedName name="Robert2" localSheetId="2" hidden="1">{"DCF",#N/A,FALSE,"CF"}</definedName>
    <definedName name="Robert2" localSheetId="19" hidden="1">{"DCF",#N/A,FALSE,"CF"}</definedName>
    <definedName name="Robert2" hidden="1">{"DCF",#N/A,FALSE,"CF"}</definedName>
    <definedName name="sadf" localSheetId="12" hidden="1">{"mgmt forecast",#N/A,FALSE,"Mgmt Forecast";"dcf table",#N/A,FALSE,"Mgmt Forecast";"sensitivity",#N/A,FALSE,"Mgmt Forecast";"table inputs",#N/A,FALSE,"Mgmt Forecast";"calculations",#N/A,FALSE,"Mgmt Forecast"}</definedName>
    <definedName name="sadf" localSheetId="8" hidden="1">{"mgmt forecast",#N/A,FALSE,"Mgmt Forecast";"dcf table",#N/A,FALSE,"Mgmt Forecast";"sensitivity",#N/A,FALSE,"Mgmt Forecast";"table inputs",#N/A,FALSE,"Mgmt Forecast";"calculations",#N/A,FALSE,"Mgmt Forecast"}</definedName>
    <definedName name="sadf" localSheetId="4" hidden="1">{"mgmt forecast",#N/A,FALSE,"Mgmt Forecast";"dcf table",#N/A,FALSE,"Mgmt Forecast";"sensitivity",#N/A,FALSE,"Mgmt Forecast";"table inputs",#N/A,FALSE,"Mgmt Forecast";"calculations",#N/A,FALSE,"Mgmt Forecast"}</definedName>
    <definedName name="sadf" localSheetId="2" hidden="1">{"mgmt forecast",#N/A,FALSE,"Mgmt Forecast";"dcf table",#N/A,FALSE,"Mgmt Forecast";"sensitivity",#N/A,FALSE,"Mgmt Forecast";"table inputs",#N/A,FALSE,"Mgmt Forecast";"calculations",#N/A,FALSE,"Mgmt Forecast"}</definedName>
    <definedName name="sadf" localSheetId="19"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PBEXrevision" hidden="1">1</definedName>
    <definedName name="SAPBEXsysID" hidden="1">"BWP"</definedName>
    <definedName name="SAPBEXwbID" hidden="1">"3MZNM3C23R632FL2DM4ZHU39I"</definedName>
    <definedName name="SAPFuncF4Help" localSheetId="19" hidden="1">Main.SAPF4Help()</definedName>
    <definedName name="SAPFuncF4Help" hidden="1">Main.SAPF4Help()</definedName>
    <definedName name="SD" localSheetId="12" hidden="1">{#N/A,#N/A,TRUE,"0 Deckbl.";#N/A,#N/A,TRUE,"S 1 Komm";#N/A,#N/A,TRUE,"S 1a Komm";#N/A,#N/A,TRUE,"S 1b Komm";#N/A,#N/A,TRUE,"S  2 DBR";#N/A,#N/A,TRUE,"S  3 Sparten";#N/A,#N/A,TRUE,"S 4  Betr. K.";#N/A,#N/A,TRUE,"6 Bilanz";#N/A,#N/A,TRUE,"6a Bilanz ";#N/A,#N/A,TRUE,"6b Bilanz ";#N/A,#N/A,TRUE,"7 GS I";#N/A,#N/A,TRUE,"S 8 EQ-GuV"}</definedName>
    <definedName name="SD" localSheetId="8" hidden="1">{#N/A,#N/A,TRUE,"0 Deckbl.";#N/A,#N/A,TRUE,"S 1 Komm";#N/A,#N/A,TRUE,"S 1a Komm";#N/A,#N/A,TRUE,"S 1b Komm";#N/A,#N/A,TRUE,"S  2 DBR";#N/A,#N/A,TRUE,"S  3 Sparten";#N/A,#N/A,TRUE,"S 4  Betr. K.";#N/A,#N/A,TRUE,"6 Bilanz";#N/A,#N/A,TRUE,"6a Bilanz ";#N/A,#N/A,TRUE,"6b Bilanz ";#N/A,#N/A,TRUE,"7 GS I";#N/A,#N/A,TRUE,"S 8 EQ-GuV"}</definedName>
    <definedName name="SD" localSheetId="4" hidden="1">{#N/A,#N/A,TRUE,"0 Deckbl.";#N/A,#N/A,TRUE,"S 1 Komm";#N/A,#N/A,TRUE,"S 1a Komm";#N/A,#N/A,TRUE,"S 1b Komm";#N/A,#N/A,TRUE,"S  2 DBR";#N/A,#N/A,TRUE,"S  3 Sparten";#N/A,#N/A,TRUE,"S 4  Betr. K.";#N/A,#N/A,TRUE,"6 Bilanz";#N/A,#N/A,TRUE,"6a Bilanz ";#N/A,#N/A,TRUE,"6b Bilanz ";#N/A,#N/A,TRUE,"7 GS I";#N/A,#N/A,TRUE,"S 8 EQ-GuV"}</definedName>
    <definedName name="SD" localSheetId="2" hidden="1">{#N/A,#N/A,TRUE,"0 Deckbl.";#N/A,#N/A,TRUE,"S 1 Komm";#N/A,#N/A,TRUE,"S 1a Komm";#N/A,#N/A,TRUE,"S 1b Komm";#N/A,#N/A,TRUE,"S  2 DBR";#N/A,#N/A,TRUE,"S  3 Sparten";#N/A,#N/A,TRUE,"S 4  Betr. K.";#N/A,#N/A,TRUE,"6 Bilanz";#N/A,#N/A,TRUE,"6a Bilanz ";#N/A,#N/A,TRUE,"6b Bilanz ";#N/A,#N/A,TRUE,"7 GS I";#N/A,#N/A,TRUE,"S 8 EQ-GuV"}</definedName>
    <definedName name="sd" localSheetId="19" hidden="1">{"PAGE1",#N/A,FALSE,"YIELDS";"PAGE2",#N/A,FALSE,"YIELDS";"PAGE3",#N/A,FALSE,"YIELDS"}</definedName>
    <definedName name="SD" hidden="1">{#N/A,#N/A,TRUE,"0 Deckbl.";#N/A,#N/A,TRUE,"S 1 Komm";#N/A,#N/A,TRUE,"S 1a Komm";#N/A,#N/A,TRUE,"S 1b Komm";#N/A,#N/A,TRUE,"S  2 DBR";#N/A,#N/A,TRUE,"S  3 Sparten";#N/A,#N/A,TRUE,"S 4  Betr. K.";#N/A,#N/A,TRUE,"6 Bilanz";#N/A,#N/A,TRUE,"6a Bilanz ";#N/A,#N/A,TRUE,"6b Bilanz ";#N/A,#N/A,TRUE,"7 GS I";#N/A,#N/A,TRUE,"S 8 EQ-GuV"}</definedName>
    <definedName name="sdf" localSheetId="12" hidden="1">{#N/A,#N/A,FALSE,"ORIX CSC"}</definedName>
    <definedName name="sdf" localSheetId="8" hidden="1">{#N/A,#N/A,FALSE,"ORIX CSC"}</definedName>
    <definedName name="sdf" localSheetId="4" hidden="1">{#N/A,#N/A,FALSE,"ORIX CSC"}</definedName>
    <definedName name="sdf" localSheetId="2" hidden="1">{#N/A,#N/A,FALSE,"ORIX CSC"}</definedName>
    <definedName name="sdf" localSheetId="19" hidden="1">{#N/A,#N/A,FALSE,"ORIX CSC"}</definedName>
    <definedName name="sdf" hidden="1">{#N/A,#N/A,FALSE,"ORIX CSC"}</definedName>
    <definedName name="sencount" hidden="1">1</definedName>
    <definedName name="solver_adj" hidden="1">#N/A</definedName>
    <definedName name="solver_lhs1" hidden="1">#N/A</definedName>
    <definedName name="solver_lhs2" hidden="1">#N/A</definedName>
    <definedName name="solver_lhs3" hidden="1">#N/A</definedName>
    <definedName name="solver_lhs4" hidden="1">#N/A</definedName>
    <definedName name="solver_lhs5" hidden="1">#N/A</definedName>
    <definedName name="solver_lhs6" hidden="1">#N/A</definedName>
    <definedName name="solver_lhs7" hidden="1">#N/A</definedName>
    <definedName name="solver_lhs8" hidden="1">#N/A</definedName>
    <definedName name="solver_lhs9" hidden="1">#N/A</definedName>
    <definedName name="solver_lin" hidden="1">0</definedName>
    <definedName name="solver_num" hidden="1">9</definedName>
    <definedName name="solver_opt" hidden="1">#N/A</definedName>
    <definedName name="solver_rel1" hidden="1">3</definedName>
    <definedName name="solver_rel2" hidden="1">3</definedName>
    <definedName name="solver_rel3" hidden="1">3</definedName>
    <definedName name="solver_rel4" hidden="1">3</definedName>
    <definedName name="solver_rel5" hidden="1">3</definedName>
    <definedName name="solver_rel6" hidden="1">3</definedName>
    <definedName name="solver_rel7" hidden="1">3</definedName>
    <definedName name="solver_rel8" hidden="1">3</definedName>
    <definedName name="solver_rel9" hidden="1">3</definedName>
    <definedName name="solver_rhs1" hidden="1">0</definedName>
    <definedName name="solver_rhs2" hidden="1">0</definedName>
    <definedName name="solver_rhs3" hidden="1">0</definedName>
    <definedName name="solver_rhs4" hidden="1">0</definedName>
    <definedName name="solver_rhs5" hidden="1">0</definedName>
    <definedName name="solver_rhs6" hidden="1">0</definedName>
    <definedName name="solver_rhs7" hidden="1">0</definedName>
    <definedName name="solver_rhs8" hidden="1">0</definedName>
    <definedName name="solver_rhs9" hidden="1">0</definedName>
    <definedName name="solver_typ" hidden="1">2</definedName>
    <definedName name="solver_val" hidden="1">0</definedName>
    <definedName name="sort2" localSheetId="15" hidden="1">#REF!</definedName>
    <definedName name="sort2" localSheetId="7" hidden="1">#REF!</definedName>
    <definedName name="sort2" localSheetId="0" hidden="1">#REF!</definedName>
    <definedName name="sort2" localSheetId="12" hidden="1">#REF!</definedName>
    <definedName name="sort2" localSheetId="8" hidden="1">#REF!</definedName>
    <definedName name="sort2" localSheetId="4" hidden="1">#REF!</definedName>
    <definedName name="sort2" localSheetId="5" hidden="1">#REF!</definedName>
    <definedName name="sort2" localSheetId="2" hidden="1">#REF!</definedName>
    <definedName name="sort2" localSheetId="17" hidden="1">#REF!</definedName>
    <definedName name="sort2" localSheetId="19" hidden="1">#REF!</definedName>
    <definedName name="sort2" hidden="1">#REF!</definedName>
    <definedName name="SSS" localSheetId="15" hidden="1">#REF!</definedName>
    <definedName name="SSS" localSheetId="7" hidden="1">#REF!</definedName>
    <definedName name="SSS" localSheetId="0" hidden="1">#REF!</definedName>
    <definedName name="SSS" localSheetId="12" hidden="1">#REF!</definedName>
    <definedName name="SSS" localSheetId="8" hidden="1">#REF!</definedName>
    <definedName name="SSS" localSheetId="5" hidden="1">#REF!</definedName>
    <definedName name="SSS" localSheetId="2" hidden="1">#REF!</definedName>
    <definedName name="SSS" localSheetId="17" hidden="1">#REF!</definedName>
    <definedName name="SSS" localSheetId="19" hidden="1">#REF!</definedName>
    <definedName name="SSS" hidden="1">#REF!</definedName>
    <definedName name="ssss" localSheetId="12" hidden="1">{"divisions",#N/A,TRUE,"Drivers";"PandL_Ratios",#N/A,TRUE,"P&amp;L"}</definedName>
    <definedName name="ssss" localSheetId="8" hidden="1">{"divisions",#N/A,TRUE,"Drivers";"PandL_Ratios",#N/A,TRUE,"P&amp;L"}</definedName>
    <definedName name="ssss" localSheetId="4" hidden="1">{"divisions",#N/A,TRUE,"Drivers";"PandL_Ratios",#N/A,TRUE,"P&amp;L"}</definedName>
    <definedName name="ssss" localSheetId="2" hidden="1">{"divisions",#N/A,TRUE,"Drivers";"PandL_Ratios",#N/A,TRUE,"P&amp;L"}</definedName>
    <definedName name="ssss" localSheetId="19" hidden="1">{"divisions",#N/A,TRUE,"Drivers";"PandL_Ratios",#N/A,TRUE,"P&amp;L"}</definedName>
    <definedName name="ssss" hidden="1">{"divisions",#N/A,TRUE,"Drivers";"PandL_Ratios",#N/A,TRUE,"P&amp;L"}</definedName>
    <definedName name="staffing2" localSheetId="12" hidden="1">{#N/A,#N/A,FALSE,"Assessment";#N/A,#N/A,FALSE,"Staffing";#N/A,#N/A,FALSE,"Hires";#N/A,#N/A,FALSE,"Assumptions"}</definedName>
    <definedName name="staffing2" localSheetId="8" hidden="1">{#N/A,#N/A,FALSE,"Assessment";#N/A,#N/A,FALSE,"Staffing";#N/A,#N/A,FALSE,"Hires";#N/A,#N/A,FALSE,"Assumptions"}</definedName>
    <definedName name="staffing2" localSheetId="4" hidden="1">{#N/A,#N/A,FALSE,"Assessment";#N/A,#N/A,FALSE,"Staffing";#N/A,#N/A,FALSE,"Hires";#N/A,#N/A,FALSE,"Assumptions"}</definedName>
    <definedName name="staffing2" localSheetId="2" hidden="1">{#N/A,#N/A,FALSE,"Assessment";#N/A,#N/A,FALSE,"Staffing";#N/A,#N/A,FALSE,"Hires";#N/A,#N/A,FALSE,"Assumptions"}</definedName>
    <definedName name="staffing2" localSheetId="19" hidden="1">{#N/A,#N/A,FALSE,"Assessment";#N/A,#N/A,FALSE,"Staffing";#N/A,#N/A,FALSE,"Hires";#N/A,#N/A,FALSE,"Assumptions"}</definedName>
    <definedName name="staffing2" hidden="1">{#N/A,#N/A,FALSE,"Assessment";#N/A,#N/A,FALSE,"Staffing";#N/A,#N/A,FALSE,"Hires";#N/A,#N/A,FALSE,"Assumptions"}</definedName>
    <definedName name="Staffing3" localSheetId="12" hidden="1">{#N/A,#N/A,FALSE,"Assessment";#N/A,#N/A,FALSE,"Staffing";#N/A,#N/A,FALSE,"Hires";#N/A,#N/A,FALSE,"Assumptions"}</definedName>
    <definedName name="Staffing3" localSheetId="8" hidden="1">{#N/A,#N/A,FALSE,"Assessment";#N/A,#N/A,FALSE,"Staffing";#N/A,#N/A,FALSE,"Hires";#N/A,#N/A,FALSE,"Assumptions"}</definedName>
    <definedName name="Staffing3" localSheetId="4" hidden="1">{#N/A,#N/A,FALSE,"Assessment";#N/A,#N/A,FALSE,"Staffing";#N/A,#N/A,FALSE,"Hires";#N/A,#N/A,FALSE,"Assumptions"}</definedName>
    <definedName name="Staffing3" localSheetId="2" hidden="1">{#N/A,#N/A,FALSE,"Assessment";#N/A,#N/A,FALSE,"Staffing";#N/A,#N/A,FALSE,"Hires";#N/A,#N/A,FALSE,"Assumptions"}</definedName>
    <definedName name="Staffing3" localSheetId="19" hidden="1">{#N/A,#N/A,FALSE,"Assessment";#N/A,#N/A,FALSE,"Staffing";#N/A,#N/A,FALSE,"Hires";#N/A,#N/A,FALSE,"Assumptions"}</definedName>
    <definedName name="Staffing3" hidden="1">{#N/A,#N/A,FALSE,"Assessment";#N/A,#N/A,FALSE,"Staffing";#N/A,#N/A,FALSE,"Hires";#N/A,#N/A,FALSE,"Assumptions"}</definedName>
    <definedName name="steven"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teven"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SuleimaAbdulrahaman" localSheetId="15" hidden="1">#REF!</definedName>
    <definedName name="SuleimaAbdulrahaman" localSheetId="7" hidden="1">#REF!</definedName>
    <definedName name="SuleimaAbdulrahaman" localSheetId="0" hidden="1">#REF!</definedName>
    <definedName name="SuleimaAbdulrahaman" localSheetId="12" hidden="1">#REF!</definedName>
    <definedName name="SuleimaAbdulrahaman" localSheetId="8" hidden="1">#REF!</definedName>
    <definedName name="SuleimaAbdulrahaman" localSheetId="5" hidden="1">#REF!</definedName>
    <definedName name="SuleimaAbdulrahaman" localSheetId="2" hidden="1">#REF!</definedName>
    <definedName name="SuleimaAbdulrahaman" localSheetId="17" hidden="1">#REF!</definedName>
    <definedName name="SuleimaAbdulrahaman" localSheetId="19" hidden="1">#REF!</definedName>
    <definedName name="SuleimaAbdulrahaman" hidden="1">#REF!</definedName>
    <definedName name="Suleiman" localSheetId="15" hidden="1">#REF!</definedName>
    <definedName name="Suleiman" localSheetId="7" hidden="1">#REF!</definedName>
    <definedName name="Suleiman" localSheetId="0" hidden="1">#REF!</definedName>
    <definedName name="Suleiman" localSheetId="12" hidden="1">#REF!</definedName>
    <definedName name="Suleiman" localSheetId="8" hidden="1">#REF!</definedName>
    <definedName name="Suleiman" localSheetId="5" hidden="1">#REF!</definedName>
    <definedName name="Suleiman" localSheetId="2" hidden="1">#REF!</definedName>
    <definedName name="Suleiman" localSheetId="17" hidden="1">#REF!</definedName>
    <definedName name="Suleiman" localSheetId="19" hidden="1">#REF!</definedName>
    <definedName name="Suleiman" hidden="1">#REF!</definedName>
    <definedName name="Suleiman33339999" localSheetId="15" hidden="1">#REF!</definedName>
    <definedName name="Suleiman33339999" localSheetId="7" hidden="1">#REF!</definedName>
    <definedName name="Suleiman33339999" localSheetId="0" hidden="1">#REF!</definedName>
    <definedName name="Suleiman33339999" localSheetId="12" hidden="1">#REF!</definedName>
    <definedName name="Suleiman33339999" localSheetId="8" hidden="1">#REF!</definedName>
    <definedName name="Suleiman33339999" localSheetId="5" hidden="1">#REF!</definedName>
    <definedName name="Suleiman33339999" localSheetId="2" hidden="1">#REF!</definedName>
    <definedName name="Suleiman33339999" localSheetId="17" hidden="1">#REF!</definedName>
    <definedName name="Suleiman33339999" localSheetId="19" hidden="1">#REF!</definedName>
    <definedName name="Suleiman33339999" hidden="1">#REF!</definedName>
    <definedName name="Support_Date">Inputs!$M$5:$AD$5</definedName>
    <definedName name="sw" localSheetId="12" hidden="1">{"LTV Output",#N/A,FALSE,"Output";"DCR Output",#N/A,FALSE,"Output"}</definedName>
    <definedName name="sw" localSheetId="8" hidden="1">{"LTV Output",#N/A,FALSE,"Output";"DCR Output",#N/A,FALSE,"Output"}</definedName>
    <definedName name="sw" localSheetId="4" hidden="1">{"LTV Output",#N/A,FALSE,"Output";"DCR Output",#N/A,FALSE,"Output"}</definedName>
    <definedName name="sw" localSheetId="2" hidden="1">{"LTV Output",#N/A,FALSE,"Output";"DCR Output",#N/A,FALSE,"Output"}</definedName>
    <definedName name="sw" localSheetId="19" hidden="1">{"LTV Output",#N/A,FALSE,"Output";"DCR Output",#N/A,FALSE,"Output"}</definedName>
    <definedName name="sw" hidden="1">{"LTV Output",#N/A,FALSE,"Output";"DCR Output",#N/A,FALSE,"Output"}</definedName>
    <definedName name="Swvu.New._.Format." localSheetId="15" hidden="1">#REF!</definedName>
    <definedName name="Swvu.New._.Format." localSheetId="7" hidden="1">#REF!</definedName>
    <definedName name="Swvu.New._.Format." localSheetId="0" hidden="1">#REF!</definedName>
    <definedName name="Swvu.New._.Format." localSheetId="12" hidden="1">#REF!</definedName>
    <definedName name="Swvu.New._.Format." localSheetId="8" hidden="1">#REF!</definedName>
    <definedName name="Swvu.New._.Format." localSheetId="4" hidden="1">#REF!</definedName>
    <definedName name="Swvu.New._.Format." localSheetId="5" hidden="1">#REF!</definedName>
    <definedName name="Swvu.New._.Format." localSheetId="2" hidden="1">#REF!</definedName>
    <definedName name="Swvu.New._.Format." localSheetId="17" hidden="1">#REF!</definedName>
    <definedName name="Swvu.New._.Format." localSheetId="19" hidden="1">#REF!</definedName>
    <definedName name="Swvu.New._.Format." hidden="1">#REF!</definedName>
    <definedName name="T" localSheetId="12" hidden="1">{#N/A,#N/A,TRUE,"0 Deckbl.";#N/A,#N/A,TRUE,"S 1 Komm";#N/A,#N/A,TRUE,"S 1a Komm";#N/A,#N/A,TRUE,"S 1b Komm";#N/A,#N/A,TRUE,"S  2 DBR";#N/A,#N/A,TRUE,"S  3 Sparten";#N/A,#N/A,TRUE,"S 4  Betr. K.";#N/A,#N/A,TRUE,"6 Bilanz";#N/A,#N/A,TRUE,"6a Bilanz ";#N/A,#N/A,TRUE,"6b Bilanz ";#N/A,#N/A,TRUE,"7 GS I";#N/A,#N/A,TRUE,"S 8 EQ-GuV"}</definedName>
    <definedName name="T" localSheetId="8" hidden="1">{#N/A,#N/A,TRUE,"0 Deckbl.";#N/A,#N/A,TRUE,"S 1 Komm";#N/A,#N/A,TRUE,"S 1a Komm";#N/A,#N/A,TRUE,"S 1b Komm";#N/A,#N/A,TRUE,"S  2 DBR";#N/A,#N/A,TRUE,"S  3 Sparten";#N/A,#N/A,TRUE,"S 4  Betr. K.";#N/A,#N/A,TRUE,"6 Bilanz";#N/A,#N/A,TRUE,"6a Bilanz ";#N/A,#N/A,TRUE,"6b Bilanz ";#N/A,#N/A,TRUE,"7 GS I";#N/A,#N/A,TRUE,"S 8 EQ-GuV"}</definedName>
    <definedName name="T" localSheetId="4" hidden="1">{#N/A,#N/A,TRUE,"0 Deckbl.";#N/A,#N/A,TRUE,"S 1 Komm";#N/A,#N/A,TRUE,"S 1a Komm";#N/A,#N/A,TRUE,"S 1b Komm";#N/A,#N/A,TRUE,"S  2 DBR";#N/A,#N/A,TRUE,"S  3 Sparten";#N/A,#N/A,TRUE,"S 4  Betr. K.";#N/A,#N/A,TRUE,"6 Bilanz";#N/A,#N/A,TRUE,"6a Bilanz ";#N/A,#N/A,TRUE,"6b Bilanz ";#N/A,#N/A,TRUE,"7 GS I";#N/A,#N/A,TRUE,"S 8 EQ-GuV"}</definedName>
    <definedName name="T" localSheetId="2" hidden="1">{#N/A,#N/A,TRUE,"0 Deckbl.";#N/A,#N/A,TRUE,"S 1 Komm";#N/A,#N/A,TRUE,"S 1a Komm";#N/A,#N/A,TRUE,"S 1b Komm";#N/A,#N/A,TRUE,"S  2 DBR";#N/A,#N/A,TRUE,"S  3 Sparten";#N/A,#N/A,TRUE,"S 4  Betr. K.";#N/A,#N/A,TRUE,"6 Bilanz";#N/A,#N/A,TRUE,"6a Bilanz ";#N/A,#N/A,TRUE,"6b Bilanz ";#N/A,#N/A,TRUE,"7 GS I";#N/A,#N/A,TRUE,"S 8 EQ-GuV"}</definedName>
    <definedName name="T" localSheetId="19" hidden="1">{#N/A,#N/A,TRUE,"0 Deckbl.";#N/A,#N/A,TRUE,"S 1 Komm";#N/A,#N/A,TRUE,"S 1a Komm";#N/A,#N/A,TRUE,"S 1b Komm";#N/A,#N/A,TRUE,"S  2 DBR";#N/A,#N/A,TRUE,"S  3 Sparten";#N/A,#N/A,TRUE,"S 4  Betr. K.";#N/A,#N/A,TRUE,"6 Bilanz";#N/A,#N/A,TRUE,"6a Bilanz ";#N/A,#N/A,TRUE,"6b Bilanz ";#N/A,#N/A,TRUE,"7 GS I";#N/A,#N/A,TRUE,"S 8 EQ-GuV"}</definedName>
    <definedName name="T" hidden="1">{#N/A,#N/A,TRUE,"0 Deckbl.";#N/A,#N/A,TRUE,"S 1 Komm";#N/A,#N/A,TRUE,"S 1a Komm";#N/A,#N/A,TRUE,"S 1b Komm";#N/A,#N/A,TRUE,"S  2 DBR";#N/A,#N/A,TRUE,"S  3 Sparten";#N/A,#N/A,TRUE,"S 4  Betr. K.";#N/A,#N/A,TRUE,"6 Bilanz";#N/A,#N/A,TRUE,"6a Bilanz ";#N/A,#N/A,TRUE,"6b Bilanz ";#N/A,#N/A,TRUE,"7 GS I";#N/A,#N/A,TRUE,"S 8 EQ-GuV"}</definedName>
    <definedName name="Table" localSheetId="15" hidden="1">'[11]OTHFA-1'!#REF!</definedName>
    <definedName name="Table" localSheetId="7" hidden="1">'[11]OTHFA-1'!#REF!</definedName>
    <definedName name="Table" localSheetId="0" hidden="1">'[11]OTHFA-1'!#REF!</definedName>
    <definedName name="Table" localSheetId="12" hidden="1">'[11]OTHFA-1'!#REF!</definedName>
    <definedName name="Table" localSheetId="8" hidden="1">'[11]OTHFA-1'!#REF!</definedName>
    <definedName name="Table" localSheetId="4" hidden="1">'[11]OTHFA-1'!#REF!</definedName>
    <definedName name="Table" localSheetId="5" hidden="1">'[11]OTHFA-1'!#REF!</definedName>
    <definedName name="Table" localSheetId="2" hidden="1">'[11]OTHFA-1'!#REF!</definedName>
    <definedName name="Table" localSheetId="17" hidden="1">'[11]OTHFA-1'!#REF!</definedName>
    <definedName name="Table" localSheetId="19" hidden="1">'[11]OTHFA-1'!#REF!</definedName>
    <definedName name="Table" hidden="1">'[11]OTHFA-1'!#REF!</definedName>
    <definedName name="Table_Summary" localSheetId="12" hidden="1">{"PAGE1",#N/A,FALSE,"YIELDS";"PAGE2",#N/A,FALSE,"YIELDS";"PAGE3",#N/A,FALSE,"YIELDS"}</definedName>
    <definedName name="Table_Summary" localSheetId="8" hidden="1">{"PAGE1",#N/A,FALSE,"YIELDS";"PAGE2",#N/A,FALSE,"YIELDS";"PAGE3",#N/A,FALSE,"YIELDS"}</definedName>
    <definedName name="Table_Summary" localSheetId="4" hidden="1">{"PAGE1",#N/A,FALSE,"YIELDS";"PAGE2",#N/A,FALSE,"YIELDS";"PAGE3",#N/A,FALSE,"YIELDS"}</definedName>
    <definedName name="Table_Summary" localSheetId="2" hidden="1">{"PAGE1",#N/A,FALSE,"YIELDS";"PAGE2",#N/A,FALSE,"YIELDS";"PAGE3",#N/A,FALSE,"YIELDS"}</definedName>
    <definedName name="Table_Summary" localSheetId="19" hidden="1">{"PAGE1",#N/A,FALSE,"YIELDS";"PAGE2",#N/A,FALSE,"YIELDS";"PAGE3",#N/A,FALSE,"YIELDS"}</definedName>
    <definedName name="Table_Summary" hidden="1">{"PAGE1",#N/A,FALSE,"YIELDS";"PAGE2",#N/A,FALSE,"YIELDS";"PAGE3",#N/A,FALSE,"YIELDS"}</definedName>
    <definedName name="Temp_2" localSheetId="12" hidden="1">{#N/A,#N/A,FALSE,"Assessment";#N/A,#N/A,FALSE,"Staffing";#N/A,#N/A,FALSE,"Hires";#N/A,#N/A,FALSE,"Assumptions"}</definedName>
    <definedName name="Temp_2" localSheetId="8" hidden="1">{#N/A,#N/A,FALSE,"Assessment";#N/A,#N/A,FALSE,"Staffing";#N/A,#N/A,FALSE,"Hires";#N/A,#N/A,FALSE,"Assumptions"}</definedName>
    <definedName name="Temp_2" localSheetId="4" hidden="1">{#N/A,#N/A,FALSE,"Assessment";#N/A,#N/A,FALSE,"Staffing";#N/A,#N/A,FALSE,"Hires";#N/A,#N/A,FALSE,"Assumptions"}</definedName>
    <definedName name="Temp_2" localSheetId="2" hidden="1">{#N/A,#N/A,FALSE,"Assessment";#N/A,#N/A,FALSE,"Staffing";#N/A,#N/A,FALSE,"Hires";#N/A,#N/A,FALSE,"Assumptions"}</definedName>
    <definedName name="Temp_2" localSheetId="19" hidden="1">{#N/A,#N/A,FALSE,"Assessment";#N/A,#N/A,FALSE,"Staffing";#N/A,#N/A,FALSE,"Hires";#N/A,#N/A,FALSE,"Assumptions"}</definedName>
    <definedName name="Temp_2" hidden="1">{#N/A,#N/A,FALSE,"Assessment";#N/A,#N/A,FALSE,"Staffing";#N/A,#N/A,FALSE,"Hires";#N/A,#N/A,FALSE,"Assumptions"}</definedName>
    <definedName name="Temp_3" localSheetId="12" hidden="1">{#N/A,#N/A,FALSE,"Assessment";#N/A,#N/A,FALSE,"Staffing";#N/A,#N/A,FALSE,"Hires";#N/A,#N/A,FALSE,"Assumptions"}</definedName>
    <definedName name="Temp_3" localSheetId="8" hidden="1">{#N/A,#N/A,FALSE,"Assessment";#N/A,#N/A,FALSE,"Staffing";#N/A,#N/A,FALSE,"Hires";#N/A,#N/A,FALSE,"Assumptions"}</definedName>
    <definedName name="Temp_3" localSheetId="4" hidden="1">{#N/A,#N/A,FALSE,"Assessment";#N/A,#N/A,FALSE,"Staffing";#N/A,#N/A,FALSE,"Hires";#N/A,#N/A,FALSE,"Assumptions"}</definedName>
    <definedName name="Temp_3" localSheetId="2" hidden="1">{#N/A,#N/A,FALSE,"Assessment";#N/A,#N/A,FALSE,"Staffing";#N/A,#N/A,FALSE,"Hires";#N/A,#N/A,FALSE,"Assumptions"}</definedName>
    <definedName name="Temp_3" localSheetId="19" hidden="1">{#N/A,#N/A,FALSE,"Assessment";#N/A,#N/A,FALSE,"Staffing";#N/A,#N/A,FALSE,"Hires";#N/A,#N/A,FALSE,"Assumptions"}</definedName>
    <definedName name="Temp_3" hidden="1">{#N/A,#N/A,FALSE,"Assessment";#N/A,#N/A,FALSE,"Staffing";#N/A,#N/A,FALSE,"Hires";#N/A,#N/A,FALSE,"Assumptions"}</definedName>
    <definedName name="test" localSheetId="12" hidden="1">{"PAGE1",#N/A,FALSE,"YIELDS";"PAGE2",#N/A,FALSE,"YIELDS";"PAGE3",#N/A,FALSE,"YIELDS"}</definedName>
    <definedName name="test" localSheetId="8" hidden="1">{"PAGE1",#N/A,FALSE,"YIELDS";"PAGE2",#N/A,FALSE,"YIELDS";"PAGE3",#N/A,FALSE,"YIELDS"}</definedName>
    <definedName name="test" localSheetId="4" hidden="1">{"PAGE1",#N/A,FALSE,"YIELDS";"PAGE2",#N/A,FALSE,"YIELDS";"PAGE3",#N/A,FALSE,"YIELDS"}</definedName>
    <definedName name="test" localSheetId="2" hidden="1">{"PAGE1",#N/A,FALSE,"YIELDS";"PAGE2",#N/A,FALSE,"YIELDS";"PAGE3",#N/A,FALSE,"YIELDS"}</definedName>
    <definedName name="test" localSheetId="19" hidden="1">{"PAGE1",#N/A,FALSE,"YIELDS";"PAGE2",#N/A,FALSE,"YIELDS";"PAGE3",#N/A,FALSE,"YIELDS"}</definedName>
    <definedName name="test" hidden="1">{"PAGE1",#N/A,FALSE,"YIELDS";"PAGE2",#N/A,FALSE,"YIELDS";"PAGE3",#N/A,FALSE,"YIELDS"}</definedName>
    <definedName name="test.4" localSheetId="12" hidden="1">{"Padd I to III",#N/A,FALSE,"REFINERY";"Padd IV to US",#N/A,FALSE,"REFINERY";"Crude Balance I",#N/A,FALSE,"REFINERY";"Crude Balance II",#N/A,FALSE,"REFINERY"}</definedName>
    <definedName name="test.4" localSheetId="8" hidden="1">{"Padd I to III",#N/A,FALSE,"REFINERY";"Padd IV to US",#N/A,FALSE,"REFINERY";"Crude Balance I",#N/A,FALSE,"REFINERY";"Crude Balance II",#N/A,FALSE,"REFINERY"}</definedName>
    <definedName name="test.4" localSheetId="4" hidden="1">{"Padd I to III",#N/A,FALSE,"REFINERY";"Padd IV to US",#N/A,FALSE,"REFINERY";"Crude Balance I",#N/A,FALSE,"REFINERY";"Crude Balance II",#N/A,FALSE,"REFINERY"}</definedName>
    <definedName name="test.4" localSheetId="2" hidden="1">{"Padd I to III",#N/A,FALSE,"REFINERY";"Padd IV to US",#N/A,FALSE,"REFINERY";"Crude Balance I",#N/A,FALSE,"REFINERY";"Crude Balance II",#N/A,FALSE,"REFINERY"}</definedName>
    <definedName name="test.4" localSheetId="19" hidden="1">{"Padd I to III",#N/A,FALSE,"REFINERY";"Padd IV to US",#N/A,FALSE,"REFINERY";"Crude Balance I",#N/A,FALSE,"REFINERY";"Crude Balance II",#N/A,FALSE,"REFINERY"}</definedName>
    <definedName name="test.4" hidden="1">{"Padd I to III",#N/A,FALSE,"REFINERY";"Padd IV to US",#N/A,FALSE,"REFINERY";"Crude Balance I",#N/A,FALSE,"REFINERY";"Crude Balance II",#N/A,FALSE,"REFINERY"}</definedName>
    <definedName name="test.all" localSheetId="12" hidden="1">{"PAGE1",#N/A,FALSE,"YIELDS";"PAGE2",#N/A,FALSE,"YIELDS";"PAGE3",#N/A,FALSE,"YIELDS"}</definedName>
    <definedName name="test.all" localSheetId="8" hidden="1">{"PAGE1",#N/A,FALSE,"YIELDS";"PAGE2",#N/A,FALSE,"YIELDS";"PAGE3",#N/A,FALSE,"YIELDS"}</definedName>
    <definedName name="test.all" localSheetId="4" hidden="1">{"PAGE1",#N/A,FALSE,"YIELDS";"PAGE2",#N/A,FALSE,"YIELDS";"PAGE3",#N/A,FALSE,"YIELDS"}</definedName>
    <definedName name="test.all" localSheetId="2" hidden="1">{"PAGE1",#N/A,FALSE,"YIELDS";"PAGE2",#N/A,FALSE,"YIELDS";"PAGE3",#N/A,FALSE,"YIELDS"}</definedName>
    <definedName name="test.all" localSheetId="19" hidden="1">{"PAGE1",#N/A,FALSE,"YIELDS";"PAGE2",#N/A,FALSE,"YIELDS";"PAGE3",#N/A,FALSE,"YIELDS"}</definedName>
    <definedName name="test.all" hidden="1">{"PAGE1",#N/A,FALSE,"YIELDS";"PAGE2",#N/A,FALSE,"YIELDS";"PAGE3",#N/A,FALSE,"YIELDS"}</definedName>
    <definedName name="test3"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3"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test5" localSheetId="12" hidden="1">{"Current",#N/A,FALSE,"Currentcal";"Current B",#N/A,FALSE,"Currentcal";"Constant",#N/A,FALSE,"Constantcal";"Constant B",#N/A,FALSE,"Constantcal"}</definedName>
    <definedName name="test5" localSheetId="8" hidden="1">{"Current",#N/A,FALSE,"Currentcal";"Current B",#N/A,FALSE,"Currentcal";"Constant",#N/A,FALSE,"Constantcal";"Constant B",#N/A,FALSE,"Constantcal"}</definedName>
    <definedName name="test5" localSheetId="4" hidden="1">{"Current",#N/A,FALSE,"Currentcal";"Current B",#N/A,FALSE,"Currentcal";"Constant",#N/A,FALSE,"Constantcal";"Constant B",#N/A,FALSE,"Constantcal"}</definedName>
    <definedName name="test5" localSheetId="2" hidden="1">{"Current",#N/A,FALSE,"Currentcal";"Current B",#N/A,FALSE,"Currentcal";"Constant",#N/A,FALSE,"Constantcal";"Constant B",#N/A,FALSE,"Constantcal"}</definedName>
    <definedName name="test5" localSheetId="19" hidden="1">{"Current",#N/A,FALSE,"Currentcal";"Current B",#N/A,FALSE,"Currentcal";"Constant",#N/A,FALSE,"Constantcal";"Constant B",#N/A,FALSE,"Constantcal"}</definedName>
    <definedName name="test5" hidden="1">{"Current",#N/A,FALSE,"Currentcal";"Current B",#N/A,FALSE,"Currentcal";"Constant",#N/A,FALSE,"Constantcal";"Constant B",#N/A,FALSE,"Constantcal"}</definedName>
    <definedName name="TextRefCopyRangeCount" hidden="1">6</definedName>
    <definedName name="TRE" localSheetId="12" hidden="1">{#N/A,#N/A,FALSE,"ins";#N/A,#N/A,FALSE,"tel";#N/A,#N/A,FALSE,"rent";#N/A,#N/A,FALSE,"a.fare";#N/A,#N/A,FALSE,"mg-rg.";#N/A,#N/A,FALSE,"ryty";#N/A,#N/A,FALSE,"mins";#N/A,#N/A,FALSE,"m-bns";#N/A,#N/A,FALSE,"inc.";#N/A,#N/A,FALSE,"p.p";#N/A,#N/A,FALSE,"dep.";#N/A,#N/A,FALSE,"pepsi"}</definedName>
    <definedName name="TRE" localSheetId="8" hidden="1">{#N/A,#N/A,FALSE,"ins";#N/A,#N/A,FALSE,"tel";#N/A,#N/A,FALSE,"rent";#N/A,#N/A,FALSE,"a.fare";#N/A,#N/A,FALSE,"mg-rg.";#N/A,#N/A,FALSE,"ryty";#N/A,#N/A,FALSE,"mins";#N/A,#N/A,FALSE,"m-bns";#N/A,#N/A,FALSE,"inc.";#N/A,#N/A,FALSE,"p.p";#N/A,#N/A,FALSE,"dep.";#N/A,#N/A,FALSE,"pepsi"}</definedName>
    <definedName name="TRE" localSheetId="4" hidden="1">{#N/A,#N/A,FALSE,"ins";#N/A,#N/A,FALSE,"tel";#N/A,#N/A,FALSE,"rent";#N/A,#N/A,FALSE,"a.fare";#N/A,#N/A,FALSE,"mg-rg.";#N/A,#N/A,FALSE,"ryty";#N/A,#N/A,FALSE,"mins";#N/A,#N/A,FALSE,"m-bns";#N/A,#N/A,FALSE,"inc.";#N/A,#N/A,FALSE,"p.p";#N/A,#N/A,FALSE,"dep.";#N/A,#N/A,FALSE,"pepsi"}</definedName>
    <definedName name="TRE" localSheetId="2" hidden="1">{#N/A,#N/A,FALSE,"ins";#N/A,#N/A,FALSE,"tel";#N/A,#N/A,FALSE,"rent";#N/A,#N/A,FALSE,"a.fare";#N/A,#N/A,FALSE,"mg-rg.";#N/A,#N/A,FALSE,"ryty";#N/A,#N/A,FALSE,"mins";#N/A,#N/A,FALSE,"m-bns";#N/A,#N/A,FALSE,"inc.";#N/A,#N/A,FALSE,"p.p";#N/A,#N/A,FALSE,"dep.";#N/A,#N/A,FALSE,"pepsi"}</definedName>
    <definedName name="TRE" localSheetId="19" hidden="1">{#N/A,#N/A,FALSE,"ins";#N/A,#N/A,FALSE,"tel";#N/A,#N/A,FALSE,"rent";#N/A,#N/A,FALSE,"a.fare";#N/A,#N/A,FALSE,"mg-rg.";#N/A,#N/A,FALSE,"ryty";#N/A,#N/A,FALSE,"mins";#N/A,#N/A,FALSE,"m-bns";#N/A,#N/A,FALSE,"inc.";#N/A,#N/A,FALSE,"p.p";#N/A,#N/A,FALSE,"dep.";#N/A,#N/A,FALSE,"pepsi"}</definedName>
    <definedName name="TRE" hidden="1">{#N/A,#N/A,FALSE,"ins";#N/A,#N/A,FALSE,"tel";#N/A,#N/A,FALSE,"rent";#N/A,#N/A,FALSE,"a.fare";#N/A,#N/A,FALSE,"mg-rg.";#N/A,#N/A,FALSE,"ryty";#N/A,#N/A,FALSE,"mins";#N/A,#N/A,FALSE,"m-bns";#N/A,#N/A,FALSE,"inc.";#N/A,#N/A,FALSE,"p.p";#N/A,#N/A,FALSE,"dep.";#N/A,#N/A,FALSE,"pepsi"}</definedName>
    <definedName name="u" localSheetId="12" hidden="1">{#N/A,#N/A,TRUE,"0 Deckbl.";#N/A,#N/A,TRUE,"S 1 Komm";#N/A,#N/A,TRUE,"S 1a Komm";#N/A,#N/A,TRUE,"S 1b Komm";#N/A,#N/A,TRUE,"S  2 DBR";#N/A,#N/A,TRUE,"S  3 Sparten";#N/A,#N/A,TRUE,"S 4  Betr. K.";#N/A,#N/A,TRUE,"6 Bilanz";#N/A,#N/A,TRUE,"6a Bilanz ";#N/A,#N/A,TRUE,"6b Bilanz ";#N/A,#N/A,TRUE,"7 GS I";#N/A,#N/A,TRUE,"S 8 EQ-GuV"}</definedName>
    <definedName name="u" localSheetId="8" hidden="1">{#N/A,#N/A,TRUE,"0 Deckbl.";#N/A,#N/A,TRUE,"S 1 Komm";#N/A,#N/A,TRUE,"S 1a Komm";#N/A,#N/A,TRUE,"S 1b Komm";#N/A,#N/A,TRUE,"S  2 DBR";#N/A,#N/A,TRUE,"S  3 Sparten";#N/A,#N/A,TRUE,"S 4  Betr. K.";#N/A,#N/A,TRUE,"6 Bilanz";#N/A,#N/A,TRUE,"6a Bilanz ";#N/A,#N/A,TRUE,"6b Bilanz ";#N/A,#N/A,TRUE,"7 GS I";#N/A,#N/A,TRUE,"S 8 EQ-GuV"}</definedName>
    <definedName name="u" localSheetId="4" hidden="1">{#N/A,#N/A,TRUE,"0 Deckbl.";#N/A,#N/A,TRUE,"S 1 Komm";#N/A,#N/A,TRUE,"S 1a Komm";#N/A,#N/A,TRUE,"S 1b Komm";#N/A,#N/A,TRUE,"S  2 DBR";#N/A,#N/A,TRUE,"S  3 Sparten";#N/A,#N/A,TRUE,"S 4  Betr. K.";#N/A,#N/A,TRUE,"6 Bilanz";#N/A,#N/A,TRUE,"6a Bilanz ";#N/A,#N/A,TRUE,"6b Bilanz ";#N/A,#N/A,TRUE,"7 GS I";#N/A,#N/A,TRUE,"S 8 EQ-GuV"}</definedName>
    <definedName name="u" localSheetId="2" hidden="1">{#N/A,#N/A,TRUE,"0 Deckbl.";#N/A,#N/A,TRUE,"S 1 Komm";#N/A,#N/A,TRUE,"S 1a Komm";#N/A,#N/A,TRUE,"S 1b Komm";#N/A,#N/A,TRUE,"S  2 DBR";#N/A,#N/A,TRUE,"S  3 Sparten";#N/A,#N/A,TRUE,"S 4  Betr. K.";#N/A,#N/A,TRUE,"6 Bilanz";#N/A,#N/A,TRUE,"6a Bilanz ";#N/A,#N/A,TRUE,"6b Bilanz ";#N/A,#N/A,TRUE,"7 GS I";#N/A,#N/A,TRUE,"S 8 EQ-GuV"}</definedName>
    <definedName name="u" localSheetId="19" hidden="1">{#N/A,#N/A,TRUE,"0 Deckbl.";#N/A,#N/A,TRUE,"S 1 Komm";#N/A,#N/A,TRUE,"S 1a Komm";#N/A,#N/A,TRUE,"S 1b Komm";#N/A,#N/A,TRUE,"S  2 DBR";#N/A,#N/A,TRUE,"S  3 Sparten";#N/A,#N/A,TRUE,"S 4  Betr. K.";#N/A,#N/A,TRUE,"6 Bilanz";#N/A,#N/A,TRUE,"6a Bilanz ";#N/A,#N/A,TRUE,"6b Bilanz ";#N/A,#N/A,TRUE,"7 GS I";#N/A,#N/A,TRUE,"S 8 EQ-GuV"}</definedName>
    <definedName name="u" hidden="1">{#N/A,#N/A,TRUE,"0 Deckbl.";#N/A,#N/A,TRUE,"S 1 Komm";#N/A,#N/A,TRUE,"S 1a Komm";#N/A,#N/A,TRUE,"S 1b Komm";#N/A,#N/A,TRUE,"S  2 DBR";#N/A,#N/A,TRUE,"S  3 Sparten";#N/A,#N/A,TRUE,"S 4  Betr. K.";#N/A,#N/A,TRUE,"6 Bilanz";#N/A,#N/A,TRUE,"6a Bilanz ";#N/A,#N/A,TRUE,"6b Bilanz ";#N/A,#N/A,TRUE,"7 GS I";#N/A,#N/A,TRUE,"S 8 EQ-GuV"}</definedName>
    <definedName name="uhiuk" localSheetId="19" hidden="1">{"adj95mult",#N/A,FALSE,"COMPCO";"adj95est",#N/A,FALSE,"COMPCO"}</definedName>
    <definedName name="uhiuk" hidden="1">{"adj95mult",#N/A,FALSE,"COMPCO";"adj95est",#N/A,FALSE,"COMPCO"}</definedName>
    <definedName name="uio" localSheetId="12" hidden="1">{"mgmt forecast",#N/A,FALSE,"Mgmt Forecast";"dcf table",#N/A,FALSE,"Mgmt Forecast";"sensitivity",#N/A,FALSE,"Mgmt Forecast";"table inputs",#N/A,FALSE,"Mgmt Forecast";"calculations",#N/A,FALSE,"Mgmt Forecast"}</definedName>
    <definedName name="uio" localSheetId="8" hidden="1">{"mgmt forecast",#N/A,FALSE,"Mgmt Forecast";"dcf table",#N/A,FALSE,"Mgmt Forecast";"sensitivity",#N/A,FALSE,"Mgmt Forecast";"table inputs",#N/A,FALSE,"Mgmt Forecast";"calculations",#N/A,FALSE,"Mgmt Forecast"}</definedName>
    <definedName name="uio" localSheetId="4" hidden="1">{"mgmt forecast",#N/A,FALSE,"Mgmt Forecast";"dcf table",#N/A,FALSE,"Mgmt Forecast";"sensitivity",#N/A,FALSE,"Mgmt Forecast";"table inputs",#N/A,FALSE,"Mgmt Forecast";"calculations",#N/A,FALSE,"Mgmt Forecast"}</definedName>
    <definedName name="uio" localSheetId="2" hidden="1">{"mgmt forecast",#N/A,FALSE,"Mgmt Forecast";"dcf table",#N/A,FALSE,"Mgmt Forecast";"sensitivity",#N/A,FALSE,"Mgmt Forecast";"table inputs",#N/A,FALSE,"Mgmt Forecast";"calculations",#N/A,FALSE,"Mgmt Forecast"}</definedName>
    <definedName name="uio" localSheetId="19"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ytry" localSheetId="12" hidden="1">{"mgmt forecast",#N/A,FALSE,"Mgmt Forecast";"dcf table",#N/A,FALSE,"Mgmt Forecast";"sensitivity",#N/A,FALSE,"Mgmt Forecast";"table inputs",#N/A,FALSE,"Mgmt Forecast";"calculations",#N/A,FALSE,"Mgmt Forecast"}</definedName>
    <definedName name="uytry" localSheetId="8" hidden="1">{"mgmt forecast",#N/A,FALSE,"Mgmt Forecast";"dcf table",#N/A,FALSE,"Mgmt Forecast";"sensitivity",#N/A,FALSE,"Mgmt Forecast";"table inputs",#N/A,FALSE,"Mgmt Forecast";"calculations",#N/A,FALSE,"Mgmt Forecast"}</definedName>
    <definedName name="uytry" localSheetId="4" hidden="1">{"mgmt forecast",#N/A,FALSE,"Mgmt Forecast";"dcf table",#N/A,FALSE,"Mgmt Forecast";"sensitivity",#N/A,FALSE,"Mgmt Forecast";"table inputs",#N/A,FALSE,"Mgmt Forecast";"calculations",#N/A,FALSE,"Mgmt Forecast"}</definedName>
    <definedName name="uytry" localSheetId="2" hidden="1">{"mgmt forecast",#N/A,FALSE,"Mgmt Forecast";"dcf table",#N/A,FALSE,"Mgmt Forecast";"sensitivity",#N/A,FALSE,"Mgmt Forecast";"table inputs",#N/A,FALSE,"Mgmt Forecast";"calculations",#N/A,FALSE,"Mgmt Forecast"}</definedName>
    <definedName name="uytry" localSheetId="19"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12" hidden="1">{#N/A,#N/A,TRUE,"0 Deckbl.";#N/A,#N/A,TRUE,"S 1 Komm";#N/A,#N/A,TRUE,"S 1a Komm";#N/A,#N/A,TRUE,"S 1b Komm";#N/A,#N/A,TRUE,"S  2 DBR";#N/A,#N/A,TRUE,"S  3 Sparten";#N/A,#N/A,TRUE,"S 4  Betr. K.";#N/A,#N/A,TRUE,"6 Bilanz";#N/A,#N/A,TRUE,"6a Bilanz ";#N/A,#N/A,TRUE,"6b Bilanz ";#N/A,#N/A,TRUE,"7 GS I";#N/A,#N/A,TRUE,"S 8 EQ-GuV"}</definedName>
    <definedName name="v" localSheetId="8" hidden="1">{#N/A,#N/A,TRUE,"0 Deckbl.";#N/A,#N/A,TRUE,"S 1 Komm";#N/A,#N/A,TRUE,"S 1a Komm";#N/A,#N/A,TRUE,"S 1b Komm";#N/A,#N/A,TRUE,"S  2 DBR";#N/A,#N/A,TRUE,"S  3 Sparten";#N/A,#N/A,TRUE,"S 4  Betr. K.";#N/A,#N/A,TRUE,"6 Bilanz";#N/A,#N/A,TRUE,"6a Bilanz ";#N/A,#N/A,TRUE,"6b Bilanz ";#N/A,#N/A,TRUE,"7 GS I";#N/A,#N/A,TRUE,"S 8 EQ-GuV"}</definedName>
    <definedName name="v" localSheetId="4" hidden="1">{#N/A,#N/A,TRUE,"0 Deckbl.";#N/A,#N/A,TRUE,"S 1 Komm";#N/A,#N/A,TRUE,"S 1a Komm";#N/A,#N/A,TRUE,"S 1b Komm";#N/A,#N/A,TRUE,"S  2 DBR";#N/A,#N/A,TRUE,"S  3 Sparten";#N/A,#N/A,TRUE,"S 4  Betr. K.";#N/A,#N/A,TRUE,"6 Bilanz";#N/A,#N/A,TRUE,"6a Bilanz ";#N/A,#N/A,TRUE,"6b Bilanz ";#N/A,#N/A,TRUE,"7 GS I";#N/A,#N/A,TRUE,"S 8 EQ-GuV"}</definedName>
    <definedName name="v" localSheetId="2" hidden="1">{#N/A,#N/A,TRUE,"0 Deckbl.";#N/A,#N/A,TRUE,"S 1 Komm";#N/A,#N/A,TRUE,"S 1a Komm";#N/A,#N/A,TRUE,"S 1b Komm";#N/A,#N/A,TRUE,"S  2 DBR";#N/A,#N/A,TRUE,"S  3 Sparten";#N/A,#N/A,TRUE,"S 4  Betr. K.";#N/A,#N/A,TRUE,"6 Bilanz";#N/A,#N/A,TRUE,"6a Bilanz ";#N/A,#N/A,TRUE,"6b Bilanz ";#N/A,#N/A,TRUE,"7 GS I";#N/A,#N/A,TRUE,"S 8 EQ-GuV"}</definedName>
    <definedName name="v" localSheetId="19" hidden="1">{#N/A,#N/A,TRUE,"0 Deckbl.";#N/A,#N/A,TRUE,"S 1 Komm";#N/A,#N/A,TRUE,"S 1a Komm";#N/A,#N/A,TRUE,"S 1b Komm";#N/A,#N/A,TRUE,"S  2 DBR";#N/A,#N/A,TRUE,"S  3 Sparten";#N/A,#N/A,TRUE,"S 4  Betr. K.";#N/A,#N/A,TRUE,"6 Bilanz";#N/A,#N/A,TRUE,"6a Bilanz ";#N/A,#N/A,TRUE,"6b Bilanz ";#N/A,#N/A,TRUE,"7 GS I";#N/A,#N/A,TRUE,"S 8 EQ-GuV"}</definedName>
    <definedName name="v" hidden="1">{#N/A,#N/A,TRUE,"0 Deckbl.";#N/A,#N/A,TRUE,"S 1 Komm";#N/A,#N/A,TRUE,"S 1a Komm";#N/A,#N/A,TRUE,"S 1b Komm";#N/A,#N/A,TRUE,"S  2 DBR";#N/A,#N/A,TRUE,"S  3 Sparten";#N/A,#N/A,TRUE,"S 4  Betr. K.";#N/A,#N/A,TRUE,"6 Bilanz";#N/A,#N/A,TRUE,"6a Bilanz ";#N/A,#N/A,TRUE,"6b Bilanz ";#N/A,#N/A,TRUE,"7 GS I";#N/A,#N/A,TRUE,"S 8 EQ-GuV"}</definedName>
    <definedName name="VA" localSheetId="15" hidden="1">#REF!</definedName>
    <definedName name="VA" localSheetId="7" hidden="1">#REF!</definedName>
    <definedName name="VA" localSheetId="0" hidden="1">#REF!</definedName>
    <definedName name="VA" localSheetId="12" hidden="1">#REF!</definedName>
    <definedName name="VA" localSheetId="8" hidden="1">#REF!</definedName>
    <definedName name="VA" localSheetId="5" hidden="1">#REF!</definedName>
    <definedName name="VA" localSheetId="2" hidden="1">#REF!</definedName>
    <definedName name="VA" localSheetId="17" hidden="1">#REF!</definedName>
    <definedName name="VA" localSheetId="19" hidden="1">#REF!</definedName>
    <definedName name="VA" hidden="1">#REF!</definedName>
    <definedName name="vv" localSheetId="12" hidden="1">{"orixcsc",#N/A,FALSE,"ORIX CSC";"orixcsc2",#N/A,FALSE,"ORIX CSC"}</definedName>
    <definedName name="vv" localSheetId="8" hidden="1">{"orixcsc",#N/A,FALSE,"ORIX CSC";"orixcsc2",#N/A,FALSE,"ORIX CSC"}</definedName>
    <definedName name="vv" localSheetId="4" hidden="1">{"orixcsc",#N/A,FALSE,"ORIX CSC";"orixcsc2",#N/A,FALSE,"ORIX CSC"}</definedName>
    <definedName name="vv" localSheetId="2" hidden="1">{"orixcsc",#N/A,FALSE,"ORIX CSC";"orixcsc2",#N/A,FALSE,"ORIX CSC"}</definedName>
    <definedName name="vv" localSheetId="19" hidden="1">{"orixcsc",#N/A,FALSE,"ORIX CSC";"orixcsc2",#N/A,FALSE,"ORIX CSC"}</definedName>
    <definedName name="vv" hidden="1">{"orixcsc",#N/A,FALSE,"ORIX CSC";"orixcsc2",#N/A,FALSE,"ORIX CSC"}</definedName>
    <definedName name="W" localSheetId="12" hidden="1">{#N/A,#N/A,TRUE,"0 Deckbl.";#N/A,#N/A,TRUE,"S 1 Komm";#N/A,#N/A,TRUE,"S 1a Komm";#N/A,#N/A,TRUE,"S 1b Komm";#N/A,#N/A,TRUE,"S  2 DBR";#N/A,#N/A,TRUE,"S  3 Sparten";#N/A,#N/A,TRUE,"S 4  Betr. K.";#N/A,#N/A,TRUE,"6 Bilanz";#N/A,#N/A,TRUE,"6a Bilanz ";#N/A,#N/A,TRUE,"6b Bilanz ";#N/A,#N/A,TRUE,"7 GS I";#N/A,#N/A,TRUE,"S 8 EQ-GuV"}</definedName>
    <definedName name="W" localSheetId="8" hidden="1">{#N/A,#N/A,TRUE,"0 Deckbl.";#N/A,#N/A,TRUE,"S 1 Komm";#N/A,#N/A,TRUE,"S 1a Komm";#N/A,#N/A,TRUE,"S 1b Komm";#N/A,#N/A,TRUE,"S  2 DBR";#N/A,#N/A,TRUE,"S  3 Sparten";#N/A,#N/A,TRUE,"S 4  Betr. K.";#N/A,#N/A,TRUE,"6 Bilanz";#N/A,#N/A,TRUE,"6a Bilanz ";#N/A,#N/A,TRUE,"6b Bilanz ";#N/A,#N/A,TRUE,"7 GS I";#N/A,#N/A,TRUE,"S 8 EQ-GuV"}</definedName>
    <definedName name="W" localSheetId="4" hidden="1">{#N/A,#N/A,TRUE,"0 Deckbl.";#N/A,#N/A,TRUE,"S 1 Komm";#N/A,#N/A,TRUE,"S 1a Komm";#N/A,#N/A,TRUE,"S 1b Komm";#N/A,#N/A,TRUE,"S  2 DBR";#N/A,#N/A,TRUE,"S  3 Sparten";#N/A,#N/A,TRUE,"S 4  Betr. K.";#N/A,#N/A,TRUE,"6 Bilanz";#N/A,#N/A,TRUE,"6a Bilanz ";#N/A,#N/A,TRUE,"6b Bilanz ";#N/A,#N/A,TRUE,"7 GS I";#N/A,#N/A,TRUE,"S 8 EQ-GuV"}</definedName>
    <definedName name="W" localSheetId="2" hidden="1">{#N/A,#N/A,TRUE,"0 Deckbl.";#N/A,#N/A,TRUE,"S 1 Komm";#N/A,#N/A,TRUE,"S 1a Komm";#N/A,#N/A,TRUE,"S 1b Komm";#N/A,#N/A,TRUE,"S  2 DBR";#N/A,#N/A,TRUE,"S  3 Sparten";#N/A,#N/A,TRUE,"S 4  Betr. K.";#N/A,#N/A,TRUE,"6 Bilanz";#N/A,#N/A,TRUE,"6a Bilanz ";#N/A,#N/A,TRUE,"6b Bilanz ";#N/A,#N/A,TRUE,"7 GS I";#N/A,#N/A,TRUE,"S 8 EQ-GuV"}</definedName>
    <definedName name="W" localSheetId="19" hidden="1">{#N/A,#N/A,TRUE,"0 Deckbl.";#N/A,#N/A,TRUE,"S 1 Komm";#N/A,#N/A,TRUE,"S 1a Komm";#N/A,#N/A,TRUE,"S 1b Komm";#N/A,#N/A,TRUE,"S  2 DBR";#N/A,#N/A,TRUE,"S  3 Sparten";#N/A,#N/A,TRUE,"S 4  Betr. K.";#N/A,#N/A,TRUE,"6 Bilanz";#N/A,#N/A,TRUE,"6a Bilanz ";#N/A,#N/A,TRUE,"6b Bilanz ";#N/A,#N/A,TRUE,"7 GS I";#N/A,#N/A,TRUE,"S 8 EQ-GuV"}</definedName>
    <definedName name="W" hidden="1">{#N/A,#N/A,TRUE,"0 Deckbl.";#N/A,#N/A,TRUE,"S 1 Komm";#N/A,#N/A,TRUE,"S 1a Komm";#N/A,#N/A,TRUE,"S 1b Komm";#N/A,#N/A,TRUE,"S  2 DBR";#N/A,#N/A,TRUE,"S  3 Sparten";#N/A,#N/A,TRUE,"S 4  Betr. K.";#N/A,#N/A,TRUE,"6 Bilanz";#N/A,#N/A,TRUE,"6a Bilanz ";#N/A,#N/A,TRUE,"6b Bilanz ";#N/A,#N/A,TRUE,"7 GS I";#N/A,#N/A,TRUE,"S 8 EQ-GuV"}</definedName>
    <definedName name="wed" localSheetId="12" hidden="1">{"orixcsc",#N/A,FALSE,"ORIX CSC";"orixcsc2",#N/A,FALSE,"ORIX CSC"}</definedName>
    <definedName name="wed" localSheetId="8" hidden="1">{"orixcsc",#N/A,FALSE,"ORIX CSC";"orixcsc2",#N/A,FALSE,"ORIX CSC"}</definedName>
    <definedName name="wed" localSheetId="4" hidden="1">{"orixcsc",#N/A,FALSE,"ORIX CSC";"orixcsc2",#N/A,FALSE,"ORIX CSC"}</definedName>
    <definedName name="wed" localSheetId="2" hidden="1">{"orixcsc",#N/A,FALSE,"ORIX CSC";"orixcsc2",#N/A,FALSE,"ORIX CSC"}</definedName>
    <definedName name="wed" localSheetId="19" hidden="1">{"orixcsc",#N/A,FALSE,"ORIX CSC";"orixcsc2",#N/A,FALSE,"ORIX CSC"}</definedName>
    <definedName name="wed" hidden="1">{"orixcsc",#N/A,FALSE,"ORIX CSC";"orixcsc2",#N/A,FALSE,"ORIX CSC"}</definedName>
    <definedName name="weraw" localSheetId="12" hidden="1">{"mgmt forecast",#N/A,FALSE,"Mgmt Forecast";"dcf table",#N/A,FALSE,"Mgmt Forecast";"sensitivity",#N/A,FALSE,"Mgmt Forecast";"table inputs",#N/A,FALSE,"Mgmt Forecast";"calculations",#N/A,FALSE,"Mgmt Forecast"}</definedName>
    <definedName name="weraw" localSheetId="8" hidden="1">{"mgmt forecast",#N/A,FALSE,"Mgmt Forecast";"dcf table",#N/A,FALSE,"Mgmt Forecast";"sensitivity",#N/A,FALSE,"Mgmt Forecast";"table inputs",#N/A,FALSE,"Mgmt Forecast";"calculations",#N/A,FALSE,"Mgmt Forecast"}</definedName>
    <definedName name="weraw" localSheetId="4" hidden="1">{"mgmt forecast",#N/A,FALSE,"Mgmt Forecast";"dcf table",#N/A,FALSE,"Mgmt Forecast";"sensitivity",#N/A,FALSE,"Mgmt Forecast";"table inputs",#N/A,FALSE,"Mgmt Forecast";"calculations",#N/A,FALSE,"Mgmt Forecast"}</definedName>
    <definedName name="weraw" localSheetId="2" hidden="1">{"mgmt forecast",#N/A,FALSE,"Mgmt Forecast";"dcf table",#N/A,FALSE,"Mgmt Forecast";"sensitivity",#N/A,FALSE,"Mgmt Forecast";"table inputs",#N/A,FALSE,"Mgmt Forecast";"calculations",#N/A,FALSE,"Mgmt Forecast"}</definedName>
    <definedName name="weraw" localSheetId="19"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2" hidden="1">{"mgmt forecast",#N/A,FALSE,"Mgmt Forecast";"dcf table",#N/A,FALSE,"Mgmt Forecast";"sensitivity",#N/A,FALSE,"Mgmt Forecast";"table inputs",#N/A,FALSE,"Mgmt Forecast";"calculations",#N/A,FALSE,"Mgmt Forecast"}</definedName>
    <definedName name="were" localSheetId="8" hidden="1">{"mgmt forecast",#N/A,FALSE,"Mgmt Forecast";"dcf table",#N/A,FALSE,"Mgmt Forecast";"sensitivity",#N/A,FALSE,"Mgmt Forecast";"table inputs",#N/A,FALSE,"Mgmt Forecast";"calculations",#N/A,FALSE,"Mgmt Forecast"}</definedName>
    <definedName name="were" localSheetId="4" hidden="1">{"mgmt forecast",#N/A,FALSE,"Mgmt Forecast";"dcf table",#N/A,FALSE,"Mgmt Forecast";"sensitivity",#N/A,FALSE,"Mgmt Forecast";"table inputs",#N/A,FALSE,"Mgmt Forecast";"calculations",#N/A,FALSE,"Mgmt Forecast"}</definedName>
    <definedName name="were" localSheetId="2" hidden="1">{"mgmt forecast",#N/A,FALSE,"Mgmt Forecast";"dcf table",#N/A,FALSE,"Mgmt Forecast";"sensitivity",#N/A,FALSE,"Mgmt Forecast";"table inputs",#N/A,FALSE,"Mgmt Forecast";"calculations",#N/A,FALSE,"Mgmt Forecast"}</definedName>
    <definedName name="were" localSheetId="19"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rn.Acquisition_matrix." localSheetId="19" hidden="1">{"Acq_matrix",#N/A,FALSE,"Acquisition Matrix"}</definedName>
    <definedName name="wrn.Acquisition_matrix." hidden="1">{"Acq_matrix",#N/A,FALSE,"Acquisition Matrix"}</definedName>
    <definedName name="wrn.adj95." localSheetId="19" hidden="1">{"adj95mult",#N/A,FALSE,"COMPCO";"adj95est",#N/A,FALSE,"COMPCO"}</definedName>
    <definedName name="wrn.adj95." hidden="1">{"adj95mult",#N/A,FALSE,"COMPCO";"adj95est",#N/A,FALSE,"COMPCO"}</definedName>
    <definedName name="wrn.Aging._.and._.Trend._.Analysis." localSheetId="12" hidden="1">{#N/A,#N/A,FALSE,"Aging Summary";#N/A,#N/A,FALSE,"Ratio Analysis";#N/A,#N/A,FALSE,"Test 120 Day Accts";#N/A,#N/A,FALSE,"Tickmarks"}</definedName>
    <definedName name="wrn.Aging._.and._.Trend._.Analysis." localSheetId="8" hidden="1">{#N/A,#N/A,FALSE,"Aging Summary";#N/A,#N/A,FALSE,"Ratio Analysis";#N/A,#N/A,FALSE,"Test 120 Day Accts";#N/A,#N/A,FALSE,"Tickmarks"}</definedName>
    <definedName name="wrn.Aging._.and._.Trend._.Analysis." localSheetId="4" hidden="1">{#N/A,#N/A,FALSE,"Aging Summary";#N/A,#N/A,FALSE,"Ratio Analysis";#N/A,#N/A,FALSE,"Test 120 Day Accts";#N/A,#N/A,FALSE,"Tickmarks"}</definedName>
    <definedName name="wrn.Aging._.and._.Trend._.Analysis." localSheetId="2" hidden="1">{#N/A,#N/A,FALSE,"Aging Summary";#N/A,#N/A,FALSE,"Ratio Analysis";#N/A,#N/A,FALSE,"Test 120 Day Accts";#N/A,#N/A,FALSE,"Tickmarks"}</definedName>
    <definedName name="wrn.Aging._.and._.Trend._.Analysis." localSheetId="19"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12" hidden="1">{"PAGE1",#N/A,FALSE,"YIELDS";"PAGE2",#N/A,FALSE,"YIELDS";"PAGE3",#N/A,FALSE,"YIELDS"}</definedName>
    <definedName name="wrn.all" localSheetId="8" hidden="1">{"PAGE1",#N/A,FALSE,"YIELDS";"PAGE2",#N/A,FALSE,"YIELDS";"PAGE3",#N/A,FALSE,"YIELDS"}</definedName>
    <definedName name="wrn.all" localSheetId="4" hidden="1">{"PAGE1",#N/A,FALSE,"YIELDS";"PAGE2",#N/A,FALSE,"YIELDS";"PAGE3",#N/A,FALSE,"YIELDS"}</definedName>
    <definedName name="wrn.all" localSheetId="2" hidden="1">{"PAGE1",#N/A,FALSE,"YIELDS";"PAGE2",#N/A,FALSE,"YIELDS";"PAGE3",#N/A,FALSE,"YIELDS"}</definedName>
    <definedName name="wrn.all" localSheetId="19" hidden="1">{"PAGE1",#N/A,FALSE,"YIELDS";"PAGE2",#N/A,FALSE,"YIELDS";"PAGE3",#N/A,FALSE,"YIELDS"}</definedName>
    <definedName name="wrn.all" hidden="1">{"PAGE1",#N/A,FALSE,"YIELDS";"PAGE2",#N/A,FALSE,"YIELDS";"PAGE3",#N/A,FALSE,"YIELDS"}</definedName>
    <definedName name="wrn.ALL." localSheetId="12" hidden="1">{"PAGE1",#N/A,FALSE,"YIELDS";"PAGE2",#N/A,FALSE,"YIELDS";"PAGE3",#N/A,FALSE,"YIELDS"}</definedName>
    <definedName name="wrn.ALL." localSheetId="8" hidden="1">{"PAGE1",#N/A,FALSE,"YIELDS";"PAGE2",#N/A,FALSE,"YIELDS";"PAGE3",#N/A,FALSE,"YIELDS"}</definedName>
    <definedName name="wrn.ALL." localSheetId="4" hidden="1">{"PAGE1",#N/A,FALSE,"YIELDS";"PAGE2",#N/A,FALSE,"YIELDS";"PAGE3",#N/A,FALSE,"YIELDS"}</definedName>
    <definedName name="wrn.ALL." localSheetId="2" hidden="1">{"PAGE1",#N/A,FALSE,"YIELDS";"PAGE2",#N/A,FALSE,"YIELDS";"PAGE3",#N/A,FALSE,"YIELDS"}</definedName>
    <definedName name="wrn.ALL." localSheetId="19" hidden="1">{"PAGE1",#N/A,FALSE,"YIELDS";"PAGE2",#N/A,FALSE,"YIELDS";"PAGE3",#N/A,FALSE,"YIELDS"}</definedName>
    <definedName name="wrn.ALL." hidden="1">{"PAGE1",#N/A,FALSE,"YIELDS";"PAGE2",#N/A,FALSE,"YIELDS";"PAGE3",#N/A,FALSE,"YIELDS"}</definedName>
    <definedName name="wrn.All._.Inputs." localSheetId="12" hidden="1">{#N/A,#N/A,FALSE,"Primary";#N/A,#N/A,FALSE,"Secondary";#N/A,#N/A,FALSE,"Latent";#N/A,#N/A,FALSE,"Demand Inputs";#N/A,#N/A,FALSE,"Supply Addn";#N/A,#N/A,FALSE,"Mkt Pen"}</definedName>
    <definedName name="wrn.All._.Inputs." localSheetId="8" hidden="1">{#N/A,#N/A,FALSE,"Primary";#N/A,#N/A,FALSE,"Secondary";#N/A,#N/A,FALSE,"Latent";#N/A,#N/A,FALSE,"Demand Inputs";#N/A,#N/A,FALSE,"Supply Addn";#N/A,#N/A,FALSE,"Mkt Pen"}</definedName>
    <definedName name="wrn.All._.Inputs." localSheetId="4" hidden="1">{#N/A,#N/A,FALSE,"Primary";#N/A,#N/A,FALSE,"Secondary";#N/A,#N/A,FALSE,"Latent";#N/A,#N/A,FALSE,"Demand Inputs";#N/A,#N/A,FALSE,"Supply Addn";#N/A,#N/A,FALSE,"Mkt Pen"}</definedName>
    <definedName name="wrn.All._.Inputs." localSheetId="2" hidden="1">{#N/A,#N/A,FALSE,"Primary";#N/A,#N/A,FALSE,"Secondary";#N/A,#N/A,FALSE,"Latent";#N/A,#N/A,FALSE,"Demand Inputs";#N/A,#N/A,FALSE,"Supply Addn";#N/A,#N/A,FALSE,"Mkt Pen"}</definedName>
    <definedName name="wrn.All._.Inputs." localSheetId="19" hidden="1">{#N/A,#N/A,FALSE,"Primary";#N/A,#N/A,FALSE,"Secondary";#N/A,#N/A,FALSE,"Latent";#N/A,#N/A,FALSE,"Demand Inputs";#N/A,#N/A,FALSE,"Supply Addn";#N/A,#N/A,FALSE,"Mkt Pen"}</definedName>
    <definedName name="wrn.All._.Inputs." hidden="1">{#N/A,#N/A,FALSE,"Primary";#N/A,#N/A,FALSE,"Secondary";#N/A,#N/A,FALSE,"Latent";#N/A,#N/A,FALSE,"Demand Inputs";#N/A,#N/A,FALSE,"Supply Addn";#N/A,#N/A,FALSE,"Mkt Pen"}</definedName>
    <definedName name="wrn.AQUIROR._.DCF." localSheetId="19" hidden="1">{"AQUIRORDCF",#N/A,FALSE,"Merger consequences";"Acquirorassns",#N/A,FALSE,"Merger consequences"}</definedName>
    <definedName name="wrn.AQUIROR._.DCF." hidden="1">{"AQUIRORDCF",#N/A,FALSE,"Merger consequences";"Acquirorassns",#N/A,FALSE,"Merger consequences"}</definedName>
    <definedName name="wrn.Bank." localSheetId="12" hidden="1">{"OPL1",#N/A,FALSE,"PL";"OpAnal",#N/A,FALSE,"Op";"BS2",#N/A,FALSE,"BS";"CF1(a)",#N/A,FALSE,"Op"}</definedName>
    <definedName name="wrn.Bank." localSheetId="8" hidden="1">{"OPL1",#N/A,FALSE,"PL";"OpAnal",#N/A,FALSE,"Op";"BS2",#N/A,FALSE,"BS";"CF1(a)",#N/A,FALSE,"Op"}</definedName>
    <definedName name="wrn.Bank." localSheetId="4" hidden="1">{"OPL1",#N/A,FALSE,"PL";"OpAnal",#N/A,FALSE,"Op";"BS2",#N/A,FALSE,"BS";"CF1(a)",#N/A,FALSE,"Op"}</definedName>
    <definedName name="wrn.Bank." localSheetId="2" hidden="1">{"OPL1",#N/A,FALSE,"PL";"OpAnal",#N/A,FALSE,"Op";"BS2",#N/A,FALSE,"BS";"CF1(a)",#N/A,FALSE,"Op"}</definedName>
    <definedName name="wrn.Bank." localSheetId="19" hidden="1">{"OPL1",#N/A,FALSE,"PL";"OpAnal",#N/A,FALSE,"Op";"BS2",#N/A,FALSE,"BS";"CF1(a)",#N/A,FALSE,"Op"}</definedName>
    <definedName name="wrn.Bank." hidden="1">{"OPL1",#N/A,FALSE,"PL";"OpAnal",#N/A,FALSE,"Op";"BS2",#N/A,FALSE,"BS";"CF1(a)",#N/A,FALSE,"Op"}</definedName>
    <definedName name="wrn.BaseYearDemand." localSheetId="12" hidden="1">{"Base Year Demand",#N/A,FALSE,"Demand-Base Year"}</definedName>
    <definedName name="wrn.BaseYearDemand." localSheetId="8" hidden="1">{"Base Year Demand",#N/A,FALSE,"Demand-Base Year"}</definedName>
    <definedName name="wrn.BaseYearDemand." localSheetId="4" hidden="1">{"Base Year Demand",#N/A,FALSE,"Demand-Base Year"}</definedName>
    <definedName name="wrn.BaseYearDemand." localSheetId="2" hidden="1">{"Base Year Demand",#N/A,FALSE,"Demand-Base Year"}</definedName>
    <definedName name="wrn.BaseYearDemand." localSheetId="19" hidden="1">{"Base Year Demand",#N/A,FALSE,"Demand-Base Year"}</definedName>
    <definedName name="wrn.BaseYearDemand." hidden="1">{"Base Year Demand",#N/A,FALSE,"Demand-Base Year"}</definedName>
    <definedName name="wrn.Both._.Outputs." localSheetId="12" hidden="1">{"LTV Output",#N/A,FALSE,"Output";"DCR Output",#N/A,FALSE,"Output"}</definedName>
    <definedName name="wrn.Both._.Outputs." localSheetId="8" hidden="1">{"LTV Output",#N/A,FALSE,"Output";"DCR Output",#N/A,FALSE,"Output"}</definedName>
    <definedName name="wrn.Both._.Outputs." localSheetId="4" hidden="1">{"LTV Output",#N/A,FALSE,"Output";"DCR Output",#N/A,FALSE,"Output"}</definedName>
    <definedName name="wrn.Both._.Outputs." localSheetId="2" hidden="1">{"LTV Output",#N/A,FALSE,"Output";"DCR Output",#N/A,FALSE,"Output"}</definedName>
    <definedName name="wrn.Both._.Outputs." localSheetId="19" hidden="1">{"LTV Output",#N/A,FALSE,"Output";"DCR Output",#N/A,FALSE,"Output"}</definedName>
    <definedName name="wrn.Both._.Outputs." hidden="1">{"LTV Output",#N/A,FALSE,"Output";"DCR Output",#N/A,FALSE,"Output"}</definedName>
    <definedName name="wrn.charts." localSheetId="12" hidden="1">{"newyork",#N/A,FALSE,"Plots-Annually";"florida",#N/A,FALSE,"Plots-Annually"}</definedName>
    <definedName name="wrn.charts." localSheetId="8" hidden="1">{"newyork",#N/A,FALSE,"Plots-Annually";"florida",#N/A,FALSE,"Plots-Annually"}</definedName>
    <definedName name="wrn.charts." localSheetId="4" hidden="1">{"newyork",#N/A,FALSE,"Plots-Annually";"florida",#N/A,FALSE,"Plots-Annually"}</definedName>
    <definedName name="wrn.charts." localSheetId="2" hidden="1">{"newyork",#N/A,FALSE,"Plots-Annually";"florida",#N/A,FALSE,"Plots-Annually"}</definedName>
    <definedName name="wrn.charts." localSheetId="19" hidden="1">{"newyork",#N/A,FALSE,"Plots-Annually";"florida",#N/A,FALSE,"Plots-Annually"}</definedName>
    <definedName name="wrn.charts." hidden="1">{"newyork",#N/A,FALSE,"Plots-Annually";"florida",#N/A,FALSE,"Plots-Annually"}</definedName>
    <definedName name="wrn.compco." localSheetId="19" hidden="1">{"page1",#N/A,FALSE,"BHCOMPC5";"page2",#N/A,FALSE,"BHCOMPC5";"page3",#N/A,FALSE,"BHCOMPC5";"page4",#N/A,FALSE,"BHCOMPC5"}</definedName>
    <definedName name="wrn.compco." hidden="1">{"page1",#N/A,FALSE,"BHCOMPC5";"page2",#N/A,FALSE,"BHCOMPC5";"page3",#N/A,FALSE,"BHCOMPC5";"page4",#N/A,FALSE,"BHCOMPC5"}</definedName>
    <definedName name="wrn.condensate." localSheetId="12" hidden="1">{"condensate",#N/A,FALSE,"CNTRYTYPE"}</definedName>
    <definedName name="wrn.condensate." localSheetId="8" hidden="1">{"condensate",#N/A,FALSE,"CNTRYTYPE"}</definedName>
    <definedName name="wrn.condensate." localSheetId="4" hidden="1">{"condensate",#N/A,FALSE,"CNTRYTYPE"}</definedName>
    <definedName name="wrn.condensate." localSheetId="2" hidden="1">{"condensate",#N/A,FALSE,"CNTRYTYPE"}</definedName>
    <definedName name="wrn.condensate." localSheetId="19" hidden="1">{"condensate",#N/A,FALSE,"CNTRYTYPE"}</definedName>
    <definedName name="wrn.condensate." hidden="1">{"condensate",#N/A,FALSE,"CNTRYTYPE"}</definedName>
    <definedName name="wrn.Consol._.adjusts." localSheetId="12" hidden="1">{"adjPL1",#N/A,FALSE,"adj";"adjPL2",#N/A,FALSE,"adj";"adjPL2a",#N/A,FALSE,"adj";"adjPL2b",#N/A,FALSE,"adj";"adjPL3",#N/A,FALSE,"adj";"adjPL4",#N/A,FALSE,"adj";"adjPL5",#N/A,FALSE,"adj";"adjBS2",#N/A,FALSE,"adj";"adjBS3",#N/A,FALSE,"adj";"adjCF1",#N/A,FALSE,"adj";"adjCF4",#N/A,FALSE,"adj"}</definedName>
    <definedName name="wrn.Consol._.adjusts." localSheetId="8" hidden="1">{"adjPL1",#N/A,FALSE,"adj";"adjPL2",#N/A,FALSE,"adj";"adjPL2a",#N/A,FALSE,"adj";"adjPL2b",#N/A,FALSE,"adj";"adjPL3",#N/A,FALSE,"adj";"adjPL4",#N/A,FALSE,"adj";"adjPL5",#N/A,FALSE,"adj";"adjBS2",#N/A,FALSE,"adj";"adjBS3",#N/A,FALSE,"adj";"adjCF1",#N/A,FALSE,"adj";"adjCF4",#N/A,FALSE,"adj"}</definedName>
    <definedName name="wrn.Consol._.adjusts." localSheetId="4" hidden="1">{"adjPL1",#N/A,FALSE,"adj";"adjPL2",#N/A,FALSE,"adj";"adjPL2a",#N/A,FALSE,"adj";"adjPL2b",#N/A,FALSE,"adj";"adjPL3",#N/A,FALSE,"adj";"adjPL4",#N/A,FALSE,"adj";"adjPL5",#N/A,FALSE,"adj";"adjBS2",#N/A,FALSE,"adj";"adjBS3",#N/A,FALSE,"adj";"adjCF1",#N/A,FALSE,"adj";"adjCF4",#N/A,FALSE,"adj"}</definedName>
    <definedName name="wrn.Consol._.adjusts." localSheetId="2" hidden="1">{"adjPL1",#N/A,FALSE,"adj";"adjPL2",#N/A,FALSE,"adj";"adjPL2a",#N/A,FALSE,"adj";"adjPL2b",#N/A,FALSE,"adj";"adjPL3",#N/A,FALSE,"adj";"adjPL4",#N/A,FALSE,"adj";"adjPL5",#N/A,FALSE,"adj";"adjBS2",#N/A,FALSE,"adj";"adjBS3",#N/A,FALSE,"adj";"adjCF1",#N/A,FALSE,"adj";"adjCF4",#N/A,FALSE,"adj"}</definedName>
    <definedName name="wrn.Consol._.adjusts." localSheetId="19" hidden="1">{"adjPL1",#N/A,FALSE,"adj";"adjPL2",#N/A,FALSE,"adj";"adjPL2a",#N/A,FALSE,"adj";"adjPL2b",#N/A,FALSE,"adj";"adjPL3",#N/A,FALSE,"adj";"adjPL4",#N/A,FALSE,"adj";"adjPL5",#N/A,FALSE,"adj";"adjBS2",#N/A,FALSE,"adj";"adjBS3",#N/A,FALSE,"adj";"adjCF1",#N/A,FALSE,"adj";"adjCF4",#N/A,FALSE,"adj"}</definedName>
    <definedName name="wrn.Consol._.adjusts." hidden="1">{"adjPL1",#N/A,FALSE,"adj";"adjPL2",#N/A,FALSE,"adj";"adjPL2a",#N/A,FALSE,"adj";"adjPL2b",#N/A,FALSE,"adj";"adjPL3",#N/A,FALSE,"adj";"adjPL4",#N/A,FALSE,"adj";"adjPL5",#N/A,FALSE,"adj";"adjBS2",#N/A,FALSE,"adj";"adjBS3",#N/A,FALSE,"adj";"adjCF1",#N/A,FALSE,"adj";"adjCF4",#N/A,FALSE,"adj"}</definedName>
    <definedName name="wrn.Consolidated._.Schedules." localSheetId="12"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8"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4"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2"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localSheetId="19"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ion._.Adjustments." localSheetId="12"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8"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4"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2"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localSheetId="19"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tribution." localSheetId="12" hidden="1">{#N/A,#N/A,FALSE,"Contribution Analysis"}</definedName>
    <definedName name="wrn.contribution." localSheetId="8" hidden="1">{#N/A,#N/A,FALSE,"Contribution Analysis"}</definedName>
    <definedName name="wrn.contribution." localSheetId="4" hidden="1">{#N/A,#N/A,FALSE,"Contribution Analysis"}</definedName>
    <definedName name="wrn.contribution." localSheetId="2" hidden="1">{#N/A,#N/A,FALSE,"Contribution Analysis"}</definedName>
    <definedName name="wrn.contribution." localSheetId="19" hidden="1">{#N/A,#N/A,FALSE,"Contribution Analysis"}</definedName>
    <definedName name="wrn.contribution." hidden="1">{#N/A,#N/A,FALSE,"Contribution Analysis"}</definedName>
    <definedName name="wrn.crude." localSheetId="12" hidden="1">{"Padd1crd",#N/A,FALSE,"REFINERY";"padd2crd",#N/A,FALSE,"REFINERY";"padd3crd",#N/A,FALSE,"REFINERY";"padd4crd",#N/A,FALSE,"REFINERY";"padd5crd",#N/A,FALSE,"REFINERY"}</definedName>
    <definedName name="wrn.crude." localSheetId="8" hidden="1">{"Padd1crd",#N/A,FALSE,"REFINERY";"padd2crd",#N/A,FALSE,"REFINERY";"padd3crd",#N/A,FALSE,"REFINERY";"padd4crd",#N/A,FALSE,"REFINERY";"padd5crd",#N/A,FALSE,"REFINERY"}</definedName>
    <definedName name="wrn.crude." localSheetId="4" hidden="1">{"Padd1crd",#N/A,FALSE,"REFINERY";"padd2crd",#N/A,FALSE,"REFINERY";"padd3crd",#N/A,FALSE,"REFINERY";"padd4crd",#N/A,FALSE,"REFINERY";"padd5crd",#N/A,FALSE,"REFINERY"}</definedName>
    <definedName name="wrn.crude." localSheetId="2" hidden="1">{"Padd1crd",#N/A,FALSE,"REFINERY";"padd2crd",#N/A,FALSE,"REFINERY";"padd3crd",#N/A,FALSE,"REFINERY";"padd4crd",#N/A,FALSE,"REFINERY";"padd5crd",#N/A,FALSE,"REFINERY"}</definedName>
    <definedName name="wrn.crude." localSheetId="19" hidden="1">{"Padd1crd",#N/A,FALSE,"REFINERY";"padd2crd",#N/A,FALSE,"REFINERY";"padd3crd",#N/A,FALSE,"REFINERY";"padd4crd",#N/A,FALSE,"REFINERY";"padd5crd",#N/A,FALSE,"REFINERY"}</definedName>
    <definedName name="wrn.crude." hidden="1">{"Padd1crd",#N/A,FALSE,"REFINERY";"padd2crd",#N/A,FALSE,"REFINERY";"padd3crd",#N/A,FALSE,"REFINERY";"padd4crd",#N/A,FALSE,"REFINERY";"padd5crd",#N/A,FALSE,"REFINERY"}</definedName>
    <definedName name="wrn.csc." localSheetId="12" hidden="1">{"orixcsc",#N/A,FALSE,"ORIX CSC";"orixcsc2",#N/A,FALSE,"ORIX CSC"}</definedName>
    <definedName name="wrn.csc." localSheetId="8" hidden="1">{"orixcsc",#N/A,FALSE,"ORIX CSC";"orixcsc2",#N/A,FALSE,"ORIX CSC"}</definedName>
    <definedName name="wrn.csc." localSheetId="4" hidden="1">{"orixcsc",#N/A,FALSE,"ORIX CSC";"orixcsc2",#N/A,FALSE,"ORIX CSC"}</definedName>
    <definedName name="wrn.csc." localSheetId="2" hidden="1">{"orixcsc",#N/A,FALSE,"ORIX CSC";"orixcsc2",#N/A,FALSE,"ORIX CSC"}</definedName>
    <definedName name="wrn.csc." localSheetId="19" hidden="1">{"orixcsc",#N/A,FALSE,"ORIX CSC";"orixcsc2",#N/A,FALSE,"ORIX CSC"}</definedName>
    <definedName name="wrn.csc." hidden="1">{"orixcsc",#N/A,FALSE,"ORIX CSC";"orixcsc2",#N/A,FALSE,"ORIX CSC"}</definedName>
    <definedName name="wrn.csc2." localSheetId="12" hidden="1">{#N/A,#N/A,FALSE,"ORIX CSC"}</definedName>
    <definedName name="wrn.csc2." localSheetId="8" hidden="1">{#N/A,#N/A,FALSE,"ORIX CSC"}</definedName>
    <definedName name="wrn.csc2." localSheetId="4" hidden="1">{#N/A,#N/A,FALSE,"ORIX CSC"}</definedName>
    <definedName name="wrn.csc2." localSheetId="2" hidden="1">{#N/A,#N/A,FALSE,"ORIX CSC"}</definedName>
    <definedName name="wrn.csc2." localSheetId="19" hidden="1">{#N/A,#N/A,FALSE,"ORIX CSC"}</definedName>
    <definedName name="wrn.csc2." hidden="1">{#N/A,#N/A,FALSE,"ORIX CSC"}</definedName>
    <definedName name="wrn.CumAndAdj." localSheetId="12"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8"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4"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2"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localSheetId="19"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DATA._.SHEETS." localSheetId="19" hidden="1">{"page1",#N/A,FALSE,"DATA SHEET";"page2",#N/A,FALSE,"DATA SHEET";"page3",#N/A,FALSE,"DATA SHEET"}</definedName>
    <definedName name="wrn.DATA._.SHEETS." hidden="1">{"page1",#N/A,FALSE,"DATA SHEET";"page2",#N/A,FALSE,"DATA SHEET";"page3",#N/A,FALSE,"DATA SHEET"}</definedName>
    <definedName name="wrn.DCF." localSheetId="12" hidden="1">{"DCF",#N/A,FALSE,"CF"}</definedName>
    <definedName name="wrn.DCF." localSheetId="8" hidden="1">{"DCF",#N/A,FALSE,"CF"}</definedName>
    <definedName name="wrn.DCF." localSheetId="4" hidden="1">{"DCF",#N/A,FALSE,"CF"}</definedName>
    <definedName name="wrn.DCF." localSheetId="2" hidden="1">{"DCF",#N/A,FALSE,"CF"}</definedName>
    <definedName name="wrn.DCF." localSheetId="19" hidden="1">{"DCF",#N/A,FALSE,"CF"}</definedName>
    <definedName name="wrn.DCF." hidden="1">{"DCF",#N/A,FALSE,"CF"}</definedName>
    <definedName name="wrn.DCF_Terminal_Value_qchm." localSheetId="19" hidden="1">{"qchm_dcf",#N/A,FALSE,"QCHMDCF2";"qchm_terminal",#N/A,FALSE,"QCHMDCF2"}</definedName>
    <definedName name="wrn.DCF_Terminal_Value_qchm." hidden="1">{"qchm_dcf",#N/A,FALSE,"QCHMDCF2";"qchm_terminal",#N/A,FALSE,"QCHMDCF2"}</definedName>
    <definedName name="wrn.dcf2" localSheetId="12" hidden="1">{"mgmt forecast",#N/A,FALSE,"Mgmt Forecast";"dcf table",#N/A,FALSE,"Mgmt Forecast";"sensitivity",#N/A,FALSE,"Mgmt Forecast";"table inputs",#N/A,FALSE,"Mgmt Forecast";"calculations",#N/A,FALSE,"Mgmt Forecast"}</definedName>
    <definedName name="wrn.dcf2" localSheetId="8" hidden="1">{"mgmt forecast",#N/A,FALSE,"Mgmt Forecast";"dcf table",#N/A,FALSE,"Mgmt Forecast";"sensitivity",#N/A,FALSE,"Mgmt Forecast";"table inputs",#N/A,FALSE,"Mgmt Forecast";"calculations",#N/A,FALSE,"Mgmt Forecast"}</definedName>
    <definedName name="wrn.dcf2" localSheetId="4" hidden="1">{"mgmt forecast",#N/A,FALSE,"Mgmt Forecast";"dcf table",#N/A,FALSE,"Mgmt Forecast";"sensitivity",#N/A,FALSE,"Mgmt Forecast";"table inputs",#N/A,FALSE,"Mgmt Forecast";"calculations",#N/A,FALSE,"Mgmt Forecast"}</definedName>
    <definedName name="wrn.dcf2" localSheetId="2" hidden="1">{"mgmt forecast",#N/A,FALSE,"Mgmt Forecast";"dcf table",#N/A,FALSE,"Mgmt Forecast";"sensitivity",#N/A,FALSE,"Mgmt Forecast";"table inputs",#N/A,FALSE,"Mgmt Forecast";"calculations",#N/A,FALSE,"Mgmt Forecast"}</definedName>
    <definedName name="wrn.dcf2" localSheetId="19"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CR._.Output." localSheetId="12" hidden="1">{"DCR Output",#N/A,FALSE,"Output"}</definedName>
    <definedName name="wrn.DCR._.Output." localSheetId="8" hidden="1">{"DCR Output",#N/A,FALSE,"Output"}</definedName>
    <definedName name="wrn.DCR._.Output." localSheetId="4" hidden="1">{"DCR Output",#N/A,FALSE,"Output"}</definedName>
    <definedName name="wrn.DCR._.Output." localSheetId="2" hidden="1">{"DCR Output",#N/A,FALSE,"Output"}</definedName>
    <definedName name="wrn.DCR._.Output." localSheetId="19" hidden="1">{"DCR Output",#N/A,FALSE,"Output"}</definedName>
    <definedName name="wrn.DCR._.Output." hidden="1">{"DCR Output",#N/A,FALSE,"Output"}</definedName>
    <definedName name="wrn.Delchamps." localSheetId="12" hidden="1">{"Operating Data",#N/A,TRUE,"Sheet1";"Valuation Matrix",#N/A,TRUE,"Sheet1";"Sales Analysis",#N/A,TRUE,"Sheet1";"Closed Remodelled New",#N/A,TRUE,"Sheet1";"Competitive and FSP",#N/A,TRUE,"Sheet1";"Working Capital and Capex",#N/A,TRUE,"Sheet1";"depreciation",#N/A,TRUE,"Sheet1"}</definedName>
    <definedName name="wrn.Delchamps." localSheetId="8" hidden="1">{"Operating Data",#N/A,TRUE,"Sheet1";"Valuation Matrix",#N/A,TRUE,"Sheet1";"Sales Analysis",#N/A,TRUE,"Sheet1";"Closed Remodelled New",#N/A,TRUE,"Sheet1";"Competitive and FSP",#N/A,TRUE,"Sheet1";"Working Capital and Capex",#N/A,TRUE,"Sheet1";"depreciation",#N/A,TRUE,"Sheet1"}</definedName>
    <definedName name="wrn.Delchamps." localSheetId="4" hidden="1">{"Operating Data",#N/A,TRUE,"Sheet1";"Valuation Matrix",#N/A,TRUE,"Sheet1";"Sales Analysis",#N/A,TRUE,"Sheet1";"Closed Remodelled New",#N/A,TRUE,"Sheet1";"Competitive and FSP",#N/A,TRUE,"Sheet1";"Working Capital and Capex",#N/A,TRUE,"Sheet1";"depreciation",#N/A,TRUE,"Sheet1"}</definedName>
    <definedName name="wrn.Delchamps." localSheetId="2" hidden="1">{"Operating Data",#N/A,TRUE,"Sheet1";"Valuation Matrix",#N/A,TRUE,"Sheet1";"Sales Analysis",#N/A,TRUE,"Sheet1";"Closed Remodelled New",#N/A,TRUE,"Sheet1";"Competitive and FSP",#N/A,TRUE,"Sheet1";"Working Capital and Capex",#N/A,TRUE,"Sheet1";"depreciation",#N/A,TRUE,"Sheet1"}</definedName>
    <definedName name="wrn.Delchamps." localSheetId="19" hidden="1">{"Operating Data",#N/A,TRUE,"Sheet1";"Valuation Matrix",#N/A,TRUE,"Sheet1";"Sales Analysis",#N/A,TRUE,"Sheet1";"Closed Remodelled New",#N/A,TRUE,"Sheet1";"Competitive and FSP",#N/A,TRUE,"Sheet1";"Working Capital and Capex",#N/A,TRUE,"Sheet1";"depreciation",#N/A,TRUE,"Sheet1"}</definedName>
    <definedName name="wrn.Delchamps." hidden="1">{"Operating Data",#N/A,TRUE,"Sheet1";"Valuation Matrix",#N/A,TRUE,"Sheet1";"Sales Analysis",#N/A,TRUE,"Sheet1";"Closed Remodelled New",#N/A,TRUE,"Sheet1";"Competitive and FSP",#N/A,TRUE,"Sheet1";"Working Capital and Capex",#N/A,TRUE,"Sheet1";"depreciation",#N/A,TRUE,"Sheet1"}</definedName>
    <definedName name="wrn.DELTA." localSheetId="12" hidden="1">{"table II 1",#N/A,FALSE,"DTables";"table II 2",#N/A,FALSE,"DTables";"table III 3",#N/A,FALSE,"DTables";"table III 4",#N/A,FALSE,"DTables"}</definedName>
    <definedName name="wrn.DELTA." localSheetId="8" hidden="1">{"table II 1",#N/A,FALSE,"DTables";"table II 2",#N/A,FALSE,"DTables";"table III 3",#N/A,FALSE,"DTables";"table III 4",#N/A,FALSE,"DTables"}</definedName>
    <definedName name="wrn.DELTA." localSheetId="4" hidden="1">{"table II 1",#N/A,FALSE,"DTables";"table II 2",#N/A,FALSE,"DTables";"table III 3",#N/A,FALSE,"DTables";"table III 4",#N/A,FALSE,"DTables"}</definedName>
    <definedName name="wrn.DELTA." localSheetId="2" hidden="1">{"table II 1",#N/A,FALSE,"DTables";"table II 2",#N/A,FALSE,"DTables";"table III 3",#N/A,FALSE,"DTables";"table III 4",#N/A,FALSE,"DTables"}</definedName>
    <definedName name="wrn.DELTA." localSheetId="19" hidden="1">{"table II 1",#N/A,FALSE,"DTables";"table II 2",#N/A,FALSE,"DTables";"table III 3",#N/A,FALSE,"DTables";"table III 4",#N/A,FALSE,"DTables"}</definedName>
    <definedName name="wrn.DELTA." hidden="1">{"table II 1",#N/A,FALSE,"DTables";"table II 2",#N/A,FALSE,"DTables";"table III 3",#N/A,FALSE,"DTables";"table III 4",#N/A,FALSE,"DTables"}</definedName>
    <definedName name="wrn.DELVTAB." localSheetId="12"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8"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4"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2"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localSheetId="19"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LVTAB." hidden="1">{"TOPOFCIF",#N/A,FALSE,"FREIGHT -DEST. CALCULATIONS";"CIFROUTE",#N/A,FALSE,"FREIGHT -DEST. CALCULATIONS";"TKRCIF",#N/A,FALSE,"FREIGHT -DEST. CALCULATIONS";"TABLEI",#N/A,FALSE,"FREIGHT -DEST. CALCULATIONS";"TABLEII",#N/A,FALSE,"FREIGHT -DEST. CALCULATIONS";"TABLEIII",#N/A,FALSE,"FREIGHT -DEST. CALCULATIONS";"TABLEIV",#N/A,FALSE,"FREIGHT -DEST. CALCULATIONS";"TABLEV",#N/A,FALSE,"FREIGHT -DEST. CALCULATIONS"}</definedName>
    <definedName name="wrn.Demand._.Calcs." localSheetId="12" hidden="1">{#N/A,#N/A,FALSE,"Demand Calcs"}</definedName>
    <definedName name="wrn.Demand._.Calcs." localSheetId="8" hidden="1">{#N/A,#N/A,FALSE,"Demand Calcs"}</definedName>
    <definedName name="wrn.Demand._.Calcs." localSheetId="4" hidden="1">{#N/A,#N/A,FALSE,"Demand Calcs"}</definedName>
    <definedName name="wrn.Demand._.Calcs." localSheetId="2" hidden="1">{#N/A,#N/A,FALSE,"Demand Calcs"}</definedName>
    <definedName name="wrn.Demand._.Calcs." localSheetId="19" hidden="1">{#N/A,#N/A,FALSE,"Demand Calcs"}</definedName>
    <definedName name="wrn.Demand._.Calcs." hidden="1">{#N/A,#N/A,FALSE,"Demand Calcs"}</definedName>
    <definedName name="wrn.Demand._.Inputs." localSheetId="12" hidden="1">{#N/A,#N/A,FALSE,"Demand Inputs"}</definedName>
    <definedName name="wrn.Demand._.Inputs." localSheetId="8" hidden="1">{#N/A,#N/A,FALSE,"Demand Inputs"}</definedName>
    <definedName name="wrn.Demand._.Inputs." localSheetId="4" hidden="1">{#N/A,#N/A,FALSE,"Demand Inputs"}</definedName>
    <definedName name="wrn.Demand._.Inputs." localSheetId="2" hidden="1">{#N/A,#N/A,FALSE,"Demand Inputs"}</definedName>
    <definedName name="wrn.Demand._.Inputs." localSheetId="19" hidden="1">{#N/A,#N/A,FALSE,"Demand Inputs"}</definedName>
    <definedName name="wrn.Demand._.Inputs." hidden="1">{#N/A,#N/A,FALSE,"Demand Inputs"}</definedName>
    <definedName name="wrn.Demand._.MT." localSheetId="12" hidden="1">{"Demand by Product MT",#N/A,TRUE,"PRDEMPOR";"Demand by Sector MT",#N/A,TRUE,"PRDEMPOR"}</definedName>
    <definedName name="wrn.Demand._.MT." localSheetId="8" hidden="1">{"Demand by Product MT",#N/A,TRUE,"PRDEMPOR";"Demand by Sector MT",#N/A,TRUE,"PRDEMPOR"}</definedName>
    <definedName name="wrn.Demand._.MT." localSheetId="4" hidden="1">{"Demand by Product MT",#N/A,TRUE,"PRDEMPOR";"Demand by Sector MT",#N/A,TRUE,"PRDEMPOR"}</definedName>
    <definedName name="wrn.Demand._.MT." localSheetId="2" hidden="1">{"Demand by Product MT",#N/A,TRUE,"PRDEMPOR";"Demand by Sector MT",#N/A,TRUE,"PRDEMPOR"}</definedName>
    <definedName name="wrn.Demand._.MT." localSheetId="19" hidden="1">{"Demand by Product MT",#N/A,TRUE,"PRDEMPOR";"Demand by Sector MT",#N/A,TRUE,"PRDEMPOR"}</definedName>
    <definedName name="wrn.Demand._.MT." hidden="1">{"Demand by Product MT",#N/A,TRUE,"PRDEMPOR";"Demand by Sector MT",#N/A,TRUE,"PRDEMPOR"}</definedName>
    <definedName name="wrn.Demand._.MTOE." localSheetId="12" hidden="1">{"Demand by Product MTOE",#N/A,TRUE,"PRDEMPOR";"Demand by Sector MTOE",#N/A,TRUE,"PRDEMPOR"}</definedName>
    <definedName name="wrn.Demand._.MTOE." localSheetId="8" hidden="1">{"Demand by Product MTOE",#N/A,TRUE,"PRDEMPOR";"Demand by Sector MTOE",#N/A,TRUE,"PRDEMPOR"}</definedName>
    <definedName name="wrn.Demand._.MTOE." localSheetId="4" hidden="1">{"Demand by Product MTOE",#N/A,TRUE,"PRDEMPOR";"Demand by Sector MTOE",#N/A,TRUE,"PRDEMPOR"}</definedName>
    <definedName name="wrn.Demand._.MTOE." localSheetId="2" hidden="1">{"Demand by Product MTOE",#N/A,TRUE,"PRDEMPOR";"Demand by Sector MTOE",#N/A,TRUE,"PRDEMPOR"}</definedName>
    <definedName name="wrn.Demand._.MTOE." localSheetId="19" hidden="1">{"Demand by Product MTOE",#N/A,TRUE,"PRDEMPOR";"Demand by Sector MTOE",#N/A,TRUE,"PRDEMPOR"}</definedName>
    <definedName name="wrn.Demand._.MTOE." hidden="1">{"Demand by Product MTOE",#N/A,TRUE,"PRDEMPOR";"Demand by Sector MTOE",#N/A,TRUE,"PRDEMPOR"}</definedName>
    <definedName name="wrn.Druck._.Monatsreporting." localSheetId="12" hidden="1">{#N/A,#N/A,TRUE,"0 Deckbl.";#N/A,#N/A,TRUE,"S 1 Komm";#N/A,#N/A,TRUE,"S 1a Komm";#N/A,#N/A,TRUE,"S 1b Komm";#N/A,#N/A,TRUE,"S  2 DBR";#N/A,#N/A,TRUE,"S  3 Sparten";#N/A,#N/A,TRUE,"S 4  Betr. K.";#N/A,#N/A,TRUE,"6 Bilanz";#N/A,#N/A,TRUE,"6a Bilanz ";#N/A,#N/A,TRUE,"6b Bilanz ";#N/A,#N/A,TRUE,"7 GS I";#N/A,#N/A,TRUE,"S 8 EQ-GuV"}</definedName>
    <definedName name="wrn.Druck._.Monatsreporting." localSheetId="8" hidden="1">{#N/A,#N/A,TRUE,"0 Deckbl.";#N/A,#N/A,TRUE,"S 1 Komm";#N/A,#N/A,TRUE,"S 1a Komm";#N/A,#N/A,TRUE,"S 1b Komm";#N/A,#N/A,TRUE,"S  2 DBR";#N/A,#N/A,TRUE,"S  3 Sparten";#N/A,#N/A,TRUE,"S 4  Betr. K.";#N/A,#N/A,TRUE,"6 Bilanz";#N/A,#N/A,TRUE,"6a Bilanz ";#N/A,#N/A,TRUE,"6b Bilanz ";#N/A,#N/A,TRUE,"7 GS I";#N/A,#N/A,TRUE,"S 8 EQ-GuV"}</definedName>
    <definedName name="wrn.Druck._.Monatsreporting." localSheetId="4" hidden="1">{#N/A,#N/A,TRUE,"0 Deckbl.";#N/A,#N/A,TRUE,"S 1 Komm";#N/A,#N/A,TRUE,"S 1a Komm";#N/A,#N/A,TRUE,"S 1b Komm";#N/A,#N/A,TRUE,"S  2 DBR";#N/A,#N/A,TRUE,"S  3 Sparten";#N/A,#N/A,TRUE,"S 4  Betr. K.";#N/A,#N/A,TRUE,"6 Bilanz";#N/A,#N/A,TRUE,"6a Bilanz ";#N/A,#N/A,TRUE,"6b Bilanz ";#N/A,#N/A,TRUE,"7 GS I";#N/A,#N/A,TRUE,"S 8 EQ-GuV"}</definedName>
    <definedName name="wrn.Druck._.Monatsreporting." localSheetId="2" hidden="1">{#N/A,#N/A,TRUE,"0 Deckbl.";#N/A,#N/A,TRUE,"S 1 Komm";#N/A,#N/A,TRUE,"S 1a Komm";#N/A,#N/A,TRUE,"S 1b Komm";#N/A,#N/A,TRUE,"S  2 DBR";#N/A,#N/A,TRUE,"S  3 Sparten";#N/A,#N/A,TRUE,"S 4  Betr. K.";#N/A,#N/A,TRUE,"6 Bilanz";#N/A,#N/A,TRUE,"6a Bilanz ";#N/A,#N/A,TRUE,"6b Bilanz ";#N/A,#N/A,TRUE,"7 GS I";#N/A,#N/A,TRUE,"S 8 EQ-GuV"}</definedName>
    <definedName name="wrn.Druck._.Monatsreporting." localSheetId="19" hidden="1">{#N/A,#N/A,TRUE,"0 Deckbl.";#N/A,#N/A,TRUE,"S 1 Komm";#N/A,#N/A,TRUE,"S 1a Komm";#N/A,#N/A,TRUE,"S 1b Komm";#N/A,#N/A,TRUE,"S  2 DBR";#N/A,#N/A,TRUE,"S  3 Sparten";#N/A,#N/A,TRUE,"S 4  Betr. K.";#N/A,#N/A,TRUE,"6 Bilanz";#N/A,#N/A,TRUE,"6a Bilanz ";#N/A,#N/A,TRUE,"6b Bilanz ";#N/A,#N/A,TRUE,"7 GS I";#N/A,#N/A,TRUE,"S 8 EQ-GuV"}</definedName>
    <definedName name="wrn.Druck._.Monatsreporting." hidden="1">{#N/A,#N/A,TRUE,"0 Deckbl.";#N/A,#N/A,TRUE,"S 1 Komm";#N/A,#N/A,TRUE,"S 1a Komm";#N/A,#N/A,TRUE,"S 1b Komm";#N/A,#N/A,TRUE,"S  2 DBR";#N/A,#N/A,TRUE,"S  3 Sparten";#N/A,#N/A,TRUE,"S 4  Betr. K.";#N/A,#N/A,TRUE,"6 Bilanz";#N/A,#N/A,TRUE,"6a Bilanz ";#N/A,#N/A,TRUE,"6b Bilanz ";#N/A,#N/A,TRUE,"7 GS I";#N/A,#N/A,TRUE,"S 8 EQ-GuV"}</definedName>
    <definedName name="wrn.Economic._.Value._.Added._.Analysis." localSheetId="19" hidden="1">{"EVA",#N/A,FALSE,"EVA";"WACC",#N/A,FALSE,"WACC"}</definedName>
    <definedName name="wrn.Economic._.Value._.Added._.Analysis." hidden="1">{"EVA",#N/A,FALSE,"EVA";"WACC",#N/A,FALSE,"WACC"}</definedName>
    <definedName name="wrn.Fair._.Share._.Calcs." localSheetId="12" hidden="1">{#N/A,#N/A,FALSE,"Fair Share"}</definedName>
    <definedName name="wrn.Fair._.Share._.Calcs." localSheetId="8" hidden="1">{#N/A,#N/A,FALSE,"Fair Share"}</definedName>
    <definedName name="wrn.Fair._.Share._.Calcs." localSheetId="4" hidden="1">{#N/A,#N/A,FALSE,"Fair Share"}</definedName>
    <definedName name="wrn.Fair._.Share._.Calcs." localSheetId="2" hidden="1">{#N/A,#N/A,FALSE,"Fair Share"}</definedName>
    <definedName name="wrn.Fair._.Share._.Calcs." localSheetId="19" hidden="1">{#N/A,#N/A,FALSE,"Fair Share"}</definedName>
    <definedName name="wrn.Fair._.Share._.Calcs." hidden="1">{#N/A,#N/A,FALSE,"Fair Share"}</definedName>
    <definedName name="wrn.Figaro._.Valuation._.Summary." localSheetId="19" hidden="1">{#N/A,#N/A,TRUE,"Cover";#N/A,#N/A,TRUE,"Graphs BD";#N/A,#N/A,TRUE,"Matrix-BD";#N/A,#N/A,TRUE,"Matrix-BD (2)";#N/A,#N/A,TRUE,"Margin Matrix BD";#N/A,#N/A,TRUE,"P&amp;L BD";#N/A,#N/A,TRUE,"Financials BD"}</definedName>
    <definedName name="wrn.Figaro._.Valuation._.Summary." hidden="1">{#N/A,#N/A,TRUE,"Cover";#N/A,#N/A,TRUE,"Graphs BD";#N/A,#N/A,TRUE,"Matrix-BD";#N/A,#N/A,TRUE,"Matrix-BD (2)";#N/A,#N/A,TRUE,"Margin Matrix BD";#N/A,#N/A,TRUE,"P&amp;L BD";#N/A,#N/A,TRUE,"Financials BD"}</definedName>
    <definedName name="wrn.Final._.Output." localSheetId="12" hidden="1">{#N/A,#N/A,FALSE,"Final Output"}</definedName>
    <definedName name="wrn.Final._.Output." localSheetId="8" hidden="1">{#N/A,#N/A,FALSE,"Final Output"}</definedName>
    <definedName name="wrn.Final._.Output." localSheetId="4" hidden="1">{#N/A,#N/A,FALSE,"Final Output"}</definedName>
    <definedName name="wrn.Final._.Output." localSheetId="2" hidden="1">{#N/A,#N/A,FALSE,"Final Output"}</definedName>
    <definedName name="wrn.Final._.Output." localSheetId="19" hidden="1">{#N/A,#N/A,FALSE,"Final Output"}</definedName>
    <definedName name="wrn.Final._.Output." hidden="1">{#N/A,#N/A,FALSE,"Final Output"}</definedName>
    <definedName name="wrn.FKK." localSheetId="19" hidden="1">{#N/A,#N/A,FALSE,"POLYSTERENE"}</definedName>
    <definedName name="wrn.FKK." hidden="1">{#N/A,#N/A,FALSE,"POLYSTERENE"}</definedName>
    <definedName name="wrn.FOBCALC." localSheetId="12"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8"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4"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2"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localSheetId="19"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OBCALC." hidden="1">{"TOPOFFOB",#N/A,FALSE,"FREIGHT - FOB CALCULATIONS";"TABLEI",#N/A,FALSE,"FREIGHT - FOB CALCULATIONS";"TNKRFOB",#N/A,FALSE,"FREIGHT - FOB CALCULATIONS";"TABLEII",#N/A,FALSE,"FREIGHT - FOB CALCULATIONS";"TABLEIII",#N/A,FALSE,"FREIGHT - FOB CALCULATIONS";"TABLEIV",#N/A,FALSE,"FREIGHT - FOB CALCULATIONS";"TABLEV",#N/A,FALSE,"FREIGHT - FOB CALCULATIONS";"TABLEVI",#N/A,FALSE,"FREIGHT - FOB CALCULATIONS";"TABLEVII",#N/A,FALSE,"FREIGHT - FOB CALCULATIONS";"TABLEIX",#N/A,FALSE,"FREIGHT - FOB CALCULATIONS";"TABLEVIII",#N/A,FALSE,"FREIGHT - FOB CALCULATIONS";"TABLEX",#N/A,FALSE,"FREIGHT - FOB CALCULATIONS";"TABLEXI",#N/A,FALSE,"FREIGHT - FOB CALCULATIONS";"TABLEXII",#N/A,FALSE,"FREIGHT - FOB CALCULATIONS";"TABLEXIII",#N/A,FALSE,"FREIGHT - FOB CALCULATIONS"}</definedName>
    <definedName name="wrn.FULL." localSheetId="12" hidden="1">{"divisions",#N/A,TRUE,"Drivers";"PandL_Ratios",#N/A,TRUE,"P&amp;L"}</definedName>
    <definedName name="wrn.FULL." localSheetId="8" hidden="1">{"divisions",#N/A,TRUE,"Drivers";"PandL_Ratios",#N/A,TRUE,"P&amp;L"}</definedName>
    <definedName name="wrn.FULL." localSheetId="4" hidden="1">{"divisions",#N/A,TRUE,"Drivers";"PandL_Ratios",#N/A,TRUE,"P&amp;L"}</definedName>
    <definedName name="wrn.FULL." localSheetId="2" hidden="1">{"divisions",#N/A,TRUE,"Drivers";"PandL_Ratios",#N/A,TRUE,"P&amp;L"}</definedName>
    <definedName name="wrn.FULL." localSheetId="19" hidden="1">{"divisions",#N/A,TRUE,"Drivers";"PandL_Ratios",#N/A,TRUE,"P&amp;L"}</definedName>
    <definedName name="wrn.FULL." hidden="1">{"divisions",#N/A,TRUE,"Drivers";"PandL_Ratios",#N/A,TRUE,"P&amp;L"}</definedName>
    <definedName name="wrn.GASCOND." localSheetId="12" hidden="1">{"GASCOND",#N/A,FALSE,"CONDENSATE";"CRUDECOND",#N/A,FALSE,"CONDENSATE";"TOTALCOND",#N/A,FALSE,"CONDENSATE"}</definedName>
    <definedName name="wrn.GASCOND." localSheetId="8" hidden="1">{"GASCOND",#N/A,FALSE,"CONDENSATE";"CRUDECOND",#N/A,FALSE,"CONDENSATE";"TOTALCOND",#N/A,FALSE,"CONDENSATE"}</definedName>
    <definedName name="wrn.GASCOND." localSheetId="4" hidden="1">{"GASCOND",#N/A,FALSE,"CONDENSATE";"CRUDECOND",#N/A,FALSE,"CONDENSATE";"TOTALCOND",#N/A,FALSE,"CONDENSATE"}</definedName>
    <definedName name="wrn.GASCOND." localSheetId="2" hidden="1">{"GASCOND",#N/A,FALSE,"CONDENSATE";"CRUDECOND",#N/A,FALSE,"CONDENSATE";"TOTALCOND",#N/A,FALSE,"CONDENSATE"}</definedName>
    <definedName name="wrn.GASCOND." localSheetId="19" hidden="1">{"GASCOND",#N/A,FALSE,"CONDENSATE";"CRUDECOND",#N/A,FALSE,"CONDENSATE";"TOTALCOND",#N/A,FALSE,"CONDENSATE"}</definedName>
    <definedName name="wrn.GASCOND." hidden="1">{"GASCOND",#N/A,FALSE,"CONDENSATE";"CRUDECOND",#N/A,FALSE,"CONDENSATE";"TOTALCOND",#N/A,FALSE,"CONDENSATE"}</definedName>
    <definedName name="wrn.GASODEM." localSheetId="12" hidden="1">{"monthly",#N/A,FALSE,"GASODEM";"qtr to yr",#N/A,FALSE,"GASODEM"}</definedName>
    <definedName name="wrn.GASODEM." localSheetId="8" hidden="1">{"monthly",#N/A,FALSE,"GASODEM";"qtr to yr",#N/A,FALSE,"GASODEM"}</definedName>
    <definedName name="wrn.GASODEM." localSheetId="4" hidden="1">{"monthly",#N/A,FALSE,"GASODEM";"qtr to yr",#N/A,FALSE,"GASODEM"}</definedName>
    <definedName name="wrn.GASODEM." localSheetId="2" hidden="1">{"monthly",#N/A,FALSE,"GASODEM";"qtr to yr",#N/A,FALSE,"GASODEM"}</definedName>
    <definedName name="wrn.GASODEM." localSheetId="19" hidden="1">{"monthly",#N/A,FALSE,"GASODEM";"qtr to yr",#N/A,FALSE,"GASODEM"}</definedName>
    <definedName name="wrn.GASODEM." hidden="1">{"monthly",#N/A,FALSE,"GASODEM";"qtr to yr",#N/A,FALSE,"GASODEM"}</definedName>
    <definedName name="wrn.heavy." localSheetId="12" hidden="1">{"heavy",#N/A,FALSE,"CNTRYTYPE"}</definedName>
    <definedName name="wrn.heavy." localSheetId="8" hidden="1">{"heavy",#N/A,FALSE,"CNTRYTYPE"}</definedName>
    <definedName name="wrn.heavy." localSheetId="4" hidden="1">{"heavy",#N/A,FALSE,"CNTRYTYPE"}</definedName>
    <definedName name="wrn.heavy." localSheetId="2" hidden="1">{"heavy",#N/A,FALSE,"CNTRYTYPE"}</definedName>
    <definedName name="wrn.heavy." localSheetId="19" hidden="1">{"heavy",#N/A,FALSE,"CNTRYTYPE"}</definedName>
    <definedName name="wrn.heavy." hidden="1">{"heavy",#N/A,FALSE,"CNTRYTYPE"}</definedName>
    <definedName name="wrn.HEW." localSheetId="19" hidden="1">{#N/A,#N/A,FALSE,"Cover";#N/A,#N/A,FALSE,"Sensit";#N/A,#N/A,FALSE,"HEW";#N/A,#N/A,FALSE,"Bilanz";#N/A,#N/A,FALSE,"Aufbringung";#N/A,#N/A,FALSE,"Absatz";#N/A,#N/A,FALSE,"Durchleitung";#N/A,#N/A,FALSE,"Konzession";#N/A,#N/A,FALSE,"Personal";#N/A,#N/A,FALSE,"WC ";#N/A,#N/A,FALSE,"Capex Deprec ";#N/A,#N/A,FALSE,"Steuern";#N/A,#N/A,FALSE," Rente";#N/A,#N/A,FALSE," EBITDA"}</definedName>
    <definedName name="wrn.HEW." hidden="1">{#N/A,#N/A,FALSE,"Cover";#N/A,#N/A,FALSE,"Sensit";#N/A,#N/A,FALSE,"HEW";#N/A,#N/A,FALSE,"Bilanz";#N/A,#N/A,FALSE,"Aufbringung";#N/A,#N/A,FALSE,"Absatz";#N/A,#N/A,FALSE,"Durchleitung";#N/A,#N/A,FALSE,"Konzession";#N/A,#N/A,FALSE,"Personal";#N/A,#N/A,FALSE,"WC ";#N/A,#N/A,FALSE,"Capex Deprec ";#N/A,#N/A,FALSE,"Steuern";#N/A,#N/A,FALSE," Rente";#N/A,#N/A,FALSE," EBITDA"}</definedName>
    <definedName name="wrn.HGW." localSheetId="19" hidden="1">{#N/A,#N/A,FALSE,"Cover";#N/A,#N/A,FALSE,"Gas";#N/A,#N/A,FALSE,"Umsatz";#N/A,#N/A,FALSE,"Kosten";#N/A,#N/A,FALSE,"Capex Deprec";#N/A,#N/A,FALSE,"WC";#N/A,#N/A,FALSE,"Rückstellungen";#N/A,#N/A,FALSE,"Rente";#N/A,#N/A,FALSE,"EBITDA"}</definedName>
    <definedName name="wrn.HGW." hidden="1">{#N/A,#N/A,FALSE,"Cover";#N/A,#N/A,FALSE,"Gas";#N/A,#N/A,FALSE,"Umsatz";#N/A,#N/A,FALSE,"Kosten";#N/A,#N/A,FALSE,"Capex Deprec";#N/A,#N/A,FALSE,"WC";#N/A,#N/A,FALSE,"Rückstellungen";#N/A,#N/A,FALSE,"Rente";#N/A,#N/A,FALSE,"EBITDA"}</definedName>
    <definedName name="wrn.Input._.and._.Growths." localSheetId="12" hidden="1">{"Product Demands Input",#N/A,TRUE,"PRDEMPOR";"Annual Growth Rates",#N/A,TRUE,"PRDEMPOR"}</definedName>
    <definedName name="wrn.Input._.and._.Growths." localSheetId="8" hidden="1">{"Product Demands Input",#N/A,TRUE,"PRDEMPOR";"Annual Growth Rates",#N/A,TRUE,"PRDEMPOR"}</definedName>
    <definedName name="wrn.Input._.and._.Growths." localSheetId="4" hidden="1">{"Product Demands Input",#N/A,TRUE,"PRDEMPOR";"Annual Growth Rates",#N/A,TRUE,"PRDEMPOR"}</definedName>
    <definedName name="wrn.Input._.and._.Growths." localSheetId="2" hidden="1">{"Product Demands Input",#N/A,TRUE,"PRDEMPOR";"Annual Growth Rates",#N/A,TRUE,"PRDEMPOR"}</definedName>
    <definedName name="wrn.Input._.and._.Growths." localSheetId="19" hidden="1">{"Product Demands Input",#N/A,TRUE,"PRDEMPOR";"Annual Growth Rates",#N/A,TRUE,"PRDEMPOR"}</definedName>
    <definedName name="wrn.Input._.and._.Growths." hidden="1">{"Product Demands Input",#N/A,TRUE,"PRDEMPOR";"Annual Growth Rates",#N/A,TRUE,"PRDEMPOR"}</definedName>
    <definedName name="wrn.Inputs." localSheetId="12" hidden="1">{#N/A,#N/A,FALSE,"Input"}</definedName>
    <definedName name="wrn.Inputs." localSheetId="8" hidden="1">{#N/A,#N/A,FALSE,"Input"}</definedName>
    <definedName name="wrn.Inputs." localSheetId="4" hidden="1">{#N/A,#N/A,FALSE,"Input"}</definedName>
    <definedName name="wrn.Inputs." localSheetId="2" hidden="1">{#N/A,#N/A,FALSE,"Input"}</definedName>
    <definedName name="wrn.Inputs." localSheetId="19" hidden="1">{#N/A,#N/A,FALSE,"Input"}</definedName>
    <definedName name="wrn.Inputs." hidden="1">{#N/A,#N/A,FALSE,"Input"}</definedName>
    <definedName name="wrn.Inputsheet_ProjectInput." localSheetId="12" hidden="1">{"ProjectInput",#N/A,FALSE,"INPUT-AREA"}</definedName>
    <definedName name="wrn.Inputsheet_ProjectInput." localSheetId="8" hidden="1">{"ProjectInput",#N/A,FALSE,"INPUT-AREA"}</definedName>
    <definedName name="wrn.Inputsheet_ProjectInput." localSheetId="4" hidden="1">{"ProjectInput",#N/A,FALSE,"INPUT-AREA"}</definedName>
    <definedName name="wrn.Inputsheet_ProjectInput." localSheetId="2" hidden="1">{"ProjectInput",#N/A,FALSE,"INPUT-AREA"}</definedName>
    <definedName name="wrn.Inputsheet_ProjectInput." localSheetId="19" hidden="1">{"ProjectInput",#N/A,FALSE,"INPUT-AREA"}</definedName>
    <definedName name="wrn.Inputsheet_ProjectInput." hidden="1">{"ProjectInput",#N/A,FALSE,"INPUT-AREA"}</definedName>
    <definedName name="wrn.INV._.POLYSTYRENE." localSheetId="19" hidden="1">{#N/A,#N/A,FALSE,"POLYSTERENE"}</definedName>
    <definedName name="wrn.INV._.POLYSTYRENE." hidden="1">{#N/A,#N/A,FALSE,"POLYSTERENE"}</definedName>
    <definedName name="wrn.Iventory._.Coverage." localSheetId="12" hidden="1">{#N/A,#N/A,FALSE,"Forecasts"}</definedName>
    <definedName name="wrn.Iventory._.Coverage." localSheetId="8" hidden="1">{#N/A,#N/A,FALSE,"Forecasts"}</definedName>
    <definedName name="wrn.Iventory._.Coverage." localSheetId="4" hidden="1">{#N/A,#N/A,FALSE,"Forecasts"}</definedName>
    <definedName name="wrn.Iventory._.Coverage." localSheetId="2" hidden="1">{#N/A,#N/A,FALSE,"Forecasts"}</definedName>
    <definedName name="wrn.Iventory._.Coverage." localSheetId="19" hidden="1">{#N/A,#N/A,FALSE,"Forecasts"}</definedName>
    <definedName name="wrn.Iventory._.Coverage." hidden="1">{#N/A,#N/A,FALSE,"Forecasts"}</definedName>
    <definedName name="wrn.KKW." localSheetId="19" hidden="1">{#N/A,#N/A,FALSE,"Cover";#N/A,#N/A,FALSE,"KKW Sum";#N/A,#N/A,FALSE,"KKW Basisdaten";#N/A,#N/A,FALSE,"DEPRKKW";#N/A,#N/A,FALSE,"Krü";#N/A,#N/A,FALSE,"Bru";#N/A,#N/A,FALSE,"Bro";#N/A,#N/A,FALSE,"Sta"}</definedName>
    <definedName name="wrn.KKW." hidden="1">{#N/A,#N/A,FALSE,"Cover";#N/A,#N/A,FALSE,"KKW Sum";#N/A,#N/A,FALSE,"KKW Basisdaten";#N/A,#N/A,FALSE,"DEPRKKW";#N/A,#N/A,FALSE,"Krü";#N/A,#N/A,FALSE,"Bru";#N/A,#N/A,FALSE,"Bro";#N/A,#N/A,FALSE,"Sta"}</definedName>
    <definedName name="wrn.Latent._.Demand._.Inputs." localSheetId="12" hidden="1">{#N/A,#N/A,FALSE,"Latent"}</definedName>
    <definedName name="wrn.Latent._.Demand._.Inputs." localSheetId="8" hidden="1">{#N/A,#N/A,FALSE,"Latent"}</definedName>
    <definedName name="wrn.Latent._.Demand._.Inputs." localSheetId="4" hidden="1">{#N/A,#N/A,FALSE,"Latent"}</definedName>
    <definedName name="wrn.Latent._.Demand._.Inputs." localSheetId="2" hidden="1">{#N/A,#N/A,FALSE,"Latent"}</definedName>
    <definedName name="wrn.Latent._.Demand._.Inputs." localSheetId="19" hidden="1">{#N/A,#N/A,FALSE,"Latent"}</definedName>
    <definedName name="wrn.Latent._.Demand._.Inputs." hidden="1">{#N/A,#N/A,FALSE,"Latent"}</definedName>
    <definedName name="wrn.light._.sour." localSheetId="12" hidden="1">{"light sour",#N/A,FALSE,"CNTRYTYPE"}</definedName>
    <definedName name="wrn.light._.sour." localSheetId="8" hidden="1">{"light sour",#N/A,FALSE,"CNTRYTYPE"}</definedName>
    <definedName name="wrn.light._.sour." localSheetId="4" hidden="1">{"light sour",#N/A,FALSE,"CNTRYTYPE"}</definedName>
    <definedName name="wrn.light._.sour." localSheetId="2" hidden="1">{"light sour",#N/A,FALSE,"CNTRYTYPE"}</definedName>
    <definedName name="wrn.light._.sour." localSheetId="19" hidden="1">{"light sour",#N/A,FALSE,"CNTRYTYPE"}</definedName>
    <definedName name="wrn.light._.sour." hidden="1">{"light sour",#N/A,FALSE,"CNTRYTYPE"}</definedName>
    <definedName name="wrn.LTV._.Output." localSheetId="12" hidden="1">{"LTV Output",#N/A,FALSE,"Output"}</definedName>
    <definedName name="wrn.LTV._.Output." localSheetId="8" hidden="1">{"LTV Output",#N/A,FALSE,"Output"}</definedName>
    <definedName name="wrn.LTV._.Output." localSheetId="4" hidden="1">{"LTV Output",#N/A,FALSE,"Output"}</definedName>
    <definedName name="wrn.LTV._.Output." localSheetId="2" hidden="1">{"LTV Output",#N/A,FALSE,"Output"}</definedName>
    <definedName name="wrn.LTV._.Output." localSheetId="19" hidden="1">{"LTV Output",#N/A,FALSE,"Output"}</definedName>
    <definedName name="wrn.LTV._.Output." hidden="1">{"LTV Output",#N/A,FALSE,"Output"}</definedName>
    <definedName name="wrn.New._.York." localSheetId="12" hidden="1">{"NY PRICES",#N/A,FALSE,"CURRENT";"NY PRICES B",#N/A,FALSE,"CURRENT";"NY PRICES",#N/A,FALSE,"CONSTANT";"NY PRICES B",#N/A,FALSE,"CONSTANT"}</definedName>
    <definedName name="wrn.New._.York." localSheetId="8" hidden="1">{"NY PRICES",#N/A,FALSE,"CURRENT";"NY PRICES B",#N/A,FALSE,"CURRENT";"NY PRICES",#N/A,FALSE,"CONSTANT";"NY PRICES B",#N/A,FALSE,"CONSTANT"}</definedName>
    <definedName name="wrn.New._.York." localSheetId="4" hidden="1">{"NY PRICES",#N/A,FALSE,"CURRENT";"NY PRICES B",#N/A,FALSE,"CURRENT";"NY PRICES",#N/A,FALSE,"CONSTANT";"NY PRICES B",#N/A,FALSE,"CONSTANT"}</definedName>
    <definedName name="wrn.New._.York." localSheetId="2" hidden="1">{"NY PRICES",#N/A,FALSE,"CURRENT";"NY PRICES B",#N/A,FALSE,"CURRENT";"NY PRICES",#N/A,FALSE,"CONSTANT";"NY PRICES B",#N/A,FALSE,"CONSTANT"}</definedName>
    <definedName name="wrn.New._.York." localSheetId="19" hidden="1">{"NY PRICES",#N/A,FALSE,"CURRENT";"NY PRICES B",#N/A,FALSE,"CURRENT";"NY PRICES",#N/A,FALSE,"CONSTANT";"NY PRICES B",#N/A,FALSE,"CONSTANT"}</definedName>
    <definedName name="wrn.New._.York." hidden="1">{"NY PRICES",#N/A,FALSE,"CURRENT";"NY PRICES B",#N/A,FALSE,"CURRENT";"NY PRICES",#N/A,FALSE,"CONSTANT";"NY PRICES B",#N/A,FALSE,"CONSTANT"}</definedName>
    <definedName name="wrn.NWE._.1995." localSheetId="12" hidden="1">{"input",#N/A,TRUE,"1995 Quality";"basedata",#N/A,TRUE,"1995 Quality";"diff",#N/A,TRUE,"1995 Quality"}</definedName>
    <definedName name="wrn.NWE._.1995." localSheetId="8" hidden="1">{"input",#N/A,TRUE,"1995 Quality";"basedata",#N/A,TRUE,"1995 Quality";"diff",#N/A,TRUE,"1995 Quality"}</definedName>
    <definedName name="wrn.NWE._.1995." localSheetId="4" hidden="1">{"input",#N/A,TRUE,"1995 Quality";"basedata",#N/A,TRUE,"1995 Quality";"diff",#N/A,TRUE,"1995 Quality"}</definedName>
    <definedName name="wrn.NWE._.1995." localSheetId="2" hidden="1">{"input",#N/A,TRUE,"1995 Quality";"basedata",#N/A,TRUE,"1995 Quality";"diff",#N/A,TRUE,"1995 Quality"}</definedName>
    <definedName name="wrn.NWE._.1995." localSheetId="19" hidden="1">{"input",#N/A,TRUE,"1995 Quality";"basedata",#N/A,TRUE,"1995 Quality";"diff",#N/A,TRUE,"1995 Quality"}</definedName>
    <definedName name="wrn.NWE._.1995." hidden="1">{"input",#N/A,TRUE,"1995 Quality";"basedata",#N/A,TRUE,"1995 Quality";"diff",#N/A,TRUE,"1995 Quality"}</definedName>
    <definedName name="wrn.NWE._.2000." localSheetId="12" hidden="1">{"input",#N/A,FALSE,"Year 2000";"basedata",#N/A,FALSE,"Year 2000";"diff",#N/A,FALSE,"Year 2000"}</definedName>
    <definedName name="wrn.NWE._.2000." localSheetId="8" hidden="1">{"input",#N/A,FALSE,"Year 2000";"basedata",#N/A,FALSE,"Year 2000";"diff",#N/A,FALSE,"Year 2000"}</definedName>
    <definedName name="wrn.NWE._.2000." localSheetId="4" hidden="1">{"input",#N/A,FALSE,"Year 2000";"basedata",#N/A,FALSE,"Year 2000";"diff",#N/A,FALSE,"Year 2000"}</definedName>
    <definedName name="wrn.NWE._.2000." localSheetId="2" hidden="1">{"input",#N/A,FALSE,"Year 2000";"basedata",#N/A,FALSE,"Year 2000";"diff",#N/A,FALSE,"Year 2000"}</definedName>
    <definedName name="wrn.NWE._.2000." localSheetId="19" hidden="1">{"input",#N/A,FALSE,"Year 2000";"basedata",#N/A,FALSE,"Year 2000";"diff",#N/A,FALSE,"Year 2000"}</definedName>
    <definedName name="wrn.NWE._.2000." hidden="1">{"input",#N/A,FALSE,"Year 2000";"basedata",#N/A,FALSE,"Year 2000";"diff",#N/A,FALSE,"Year 2000"}</definedName>
    <definedName name="wrn.Occupancy._.Calcs." localSheetId="12" hidden="1">{#N/A,#N/A,FALSE,"Occ. Calcs"}</definedName>
    <definedName name="wrn.Occupancy._.Calcs." localSheetId="8" hidden="1">{#N/A,#N/A,FALSE,"Occ. Calcs"}</definedName>
    <definedName name="wrn.Occupancy._.Calcs." localSheetId="4" hidden="1">{#N/A,#N/A,FALSE,"Occ. Calcs"}</definedName>
    <definedName name="wrn.Occupancy._.Calcs." localSheetId="2" hidden="1">{#N/A,#N/A,FALSE,"Occ. Calcs"}</definedName>
    <definedName name="wrn.Occupancy._.Calcs." localSheetId="19" hidden="1">{#N/A,#N/A,FALSE,"Occ. Calcs"}</definedName>
    <definedName name="wrn.Occupancy._.Calcs." hidden="1">{#N/A,#N/A,FALSE,"Occ. Calcs"}</definedName>
    <definedName name="wrn.Orders._.on._.Hand." localSheetId="12" hidden="1">{#N/A,#N/A,FALSE,"Forecasts"}</definedName>
    <definedName name="wrn.Orders._.on._.Hand." localSheetId="8" hidden="1">{#N/A,#N/A,FALSE,"Forecasts"}</definedName>
    <definedName name="wrn.Orders._.on._.Hand." localSheetId="4" hidden="1">{#N/A,#N/A,FALSE,"Forecasts"}</definedName>
    <definedName name="wrn.Orders._.on._.Hand." localSheetId="2" hidden="1">{#N/A,#N/A,FALSE,"Forecasts"}</definedName>
    <definedName name="wrn.Orders._.on._.Hand." localSheetId="19" hidden="1">{#N/A,#N/A,FALSE,"Forecasts"}</definedName>
    <definedName name="wrn.Orders._.on._.Hand." hidden="1">{#N/A,#N/A,FALSE,"Forecasts"}</definedName>
    <definedName name="wrn.OUTPUT." localSheetId="19" hidden="1">{"DCF","UPSIDE CASE",FALSE,"Sheet1";"DCF","BASE CASE",FALSE,"Sheet1";"DCF","DOWNSIDE CASE",FALSE,"Sheet1"}</definedName>
    <definedName name="wrn.OUTPUT." hidden="1">{"DCF","UPSIDE CASE",FALSE,"Sheet1";"DCF","BASE CASE",FALSE,"Sheet1";"DCF","DOWNSIDE CASE",FALSE,"Sheet1"}</definedName>
    <definedName name="wrn.Penetration." localSheetId="12" hidden="1">{#N/A,#N/A,FALSE,"Mkt Pen"}</definedName>
    <definedName name="wrn.Penetration." localSheetId="8" hidden="1">{#N/A,#N/A,FALSE,"Mkt Pen"}</definedName>
    <definedName name="wrn.Penetration." localSheetId="4" hidden="1">{#N/A,#N/A,FALSE,"Mkt Pen"}</definedName>
    <definedName name="wrn.Penetration." localSheetId="2" hidden="1">{#N/A,#N/A,FALSE,"Mkt Pen"}</definedName>
    <definedName name="wrn.Penetration." localSheetId="19" hidden="1">{#N/A,#N/A,FALSE,"Mkt Pen"}</definedName>
    <definedName name="wrn.Penetration." hidden="1">{#N/A,#N/A,FALSE,"Mkt Pen"}</definedName>
    <definedName name="wrn.pr3sty." localSheetId="12" hidden="1">{#N/A,#N/A,FALSE,"intag";#N/A,#N/A,FALSE,"budg";#N/A,#N/A,FALSE,"samtl"}</definedName>
    <definedName name="wrn.pr3sty." localSheetId="8" hidden="1">{#N/A,#N/A,FALSE,"intag";#N/A,#N/A,FALSE,"budg";#N/A,#N/A,FALSE,"samtl"}</definedName>
    <definedName name="wrn.pr3sty." localSheetId="4" hidden="1">{#N/A,#N/A,FALSE,"intag";#N/A,#N/A,FALSE,"budg";#N/A,#N/A,FALSE,"samtl"}</definedName>
    <definedName name="wrn.pr3sty." localSheetId="2" hidden="1">{#N/A,#N/A,FALSE,"intag";#N/A,#N/A,FALSE,"budg";#N/A,#N/A,FALSE,"samtl"}</definedName>
    <definedName name="wrn.pr3sty." localSheetId="19" hidden="1">{#N/A,#N/A,FALSE,"intag";#N/A,#N/A,FALSE,"budg";#N/A,#N/A,FALSE,"samtl"}</definedName>
    <definedName name="wrn.pr3sty." hidden="1">{#N/A,#N/A,FALSE,"intag";#N/A,#N/A,FALSE,"budg";#N/A,#N/A,FALSE,"samtl"}</definedName>
    <definedName name="wrn.pr3sty.neu" localSheetId="12" hidden="1">{#N/A,#N/A,FALSE,"intag";#N/A,#N/A,FALSE,"budg";#N/A,#N/A,FALSE,"samtl"}</definedName>
    <definedName name="wrn.pr3sty.neu" localSheetId="8" hidden="1">{#N/A,#N/A,FALSE,"intag";#N/A,#N/A,FALSE,"budg";#N/A,#N/A,FALSE,"samtl"}</definedName>
    <definedName name="wrn.pr3sty.neu" localSheetId="4" hidden="1">{#N/A,#N/A,FALSE,"intag";#N/A,#N/A,FALSE,"budg";#N/A,#N/A,FALSE,"samtl"}</definedName>
    <definedName name="wrn.pr3sty.neu" localSheetId="2" hidden="1">{#N/A,#N/A,FALSE,"intag";#N/A,#N/A,FALSE,"budg";#N/A,#N/A,FALSE,"samtl"}</definedName>
    <definedName name="wrn.pr3sty.neu" localSheetId="19" hidden="1">{#N/A,#N/A,FALSE,"intag";#N/A,#N/A,FALSE,"budg";#N/A,#N/A,FALSE,"samtl"}</definedName>
    <definedName name="wrn.pr3sty.neu" hidden="1">{#N/A,#N/A,FALSE,"intag";#N/A,#N/A,FALSE,"budg";#N/A,#N/A,FALSE,"samtl"}</definedName>
    <definedName name="wrn.Primary._.Competition." localSheetId="12" hidden="1">{#N/A,#N/A,FALSE,"Primary"}</definedName>
    <definedName name="wrn.Primary._.Competition." localSheetId="8" hidden="1">{#N/A,#N/A,FALSE,"Primary"}</definedName>
    <definedName name="wrn.Primary._.Competition." localSheetId="4" hidden="1">{#N/A,#N/A,FALSE,"Primary"}</definedName>
    <definedName name="wrn.Primary._.Competition." localSheetId="2" hidden="1">{#N/A,#N/A,FALSE,"Primary"}</definedName>
    <definedName name="wrn.Primary._.Competition." localSheetId="19" hidden="1">{#N/A,#N/A,FALSE,"Primary"}</definedName>
    <definedName name="wrn.Primary._.Competition." hidden="1">{#N/A,#N/A,FALSE,"Primary"}</definedName>
    <definedName name="wrn.print." localSheetId="12" hidden="1">{"yields",#N/A,TRUE,"Yields";"diff",#N/A,TRUE,"Differentials"}</definedName>
    <definedName name="wrn.print." localSheetId="8" hidden="1">{"yields",#N/A,TRUE,"Yields";"diff",#N/A,TRUE,"Differentials"}</definedName>
    <definedName name="wrn.print." localSheetId="4" hidden="1">{"yields",#N/A,TRUE,"Yields";"diff",#N/A,TRUE,"Differentials"}</definedName>
    <definedName name="wrn.print." localSheetId="2" hidden="1">{"yields",#N/A,TRUE,"Yields";"diff",#N/A,TRUE,"Differentials"}</definedName>
    <definedName name="wrn.print." localSheetId="19" hidden="1">{"yields",#N/A,TRUE,"Yields";"diff",#N/A,TRUE,"Differentials"}</definedName>
    <definedName name="wrn.print." hidden="1">{"yields",#N/A,TRUE,"Yields";"diff",#N/A,TRUE,"Differentials"}</definedName>
    <definedName name="wrn.Print._.NWE._.Condensates." localSheetId="12" hidden="1">{"NWE Condensate 01",#N/A,FALSE,"Plots Condensates (NWE)";"NWE Condensate 02",#N/A,FALSE,"Plots Condensates (NWE)";"NWE Condensate 03",#N/A,FALSE,"Plots Condensates (NWE)"}</definedName>
    <definedName name="wrn.Print._.NWE._.Condensates." localSheetId="8" hidden="1">{"NWE Condensate 01",#N/A,FALSE,"Plots Condensates (NWE)";"NWE Condensate 02",#N/A,FALSE,"Plots Condensates (NWE)";"NWE Condensate 03",#N/A,FALSE,"Plots Condensates (NWE)"}</definedName>
    <definedName name="wrn.Print._.NWE._.Condensates." localSheetId="4" hidden="1">{"NWE Condensate 01",#N/A,FALSE,"Plots Condensates (NWE)";"NWE Condensate 02",#N/A,FALSE,"Plots Condensates (NWE)";"NWE Condensate 03",#N/A,FALSE,"Plots Condensates (NWE)"}</definedName>
    <definedName name="wrn.Print._.NWE._.Condensates." localSheetId="2" hidden="1">{"NWE Condensate 01",#N/A,FALSE,"Plots Condensates (NWE)";"NWE Condensate 02",#N/A,FALSE,"Plots Condensates (NWE)";"NWE Condensate 03",#N/A,FALSE,"Plots Condensates (NWE)"}</definedName>
    <definedName name="wrn.Print._.NWE._.Condensates." localSheetId="19" hidden="1">{"NWE Condensate 01",#N/A,FALSE,"Plots Condensates (NWE)";"NWE Condensate 02",#N/A,FALSE,"Plots Condensates (NWE)";"NWE Condensate 03",#N/A,FALSE,"Plots Condensates (NWE)"}</definedName>
    <definedName name="wrn.Print._.NWE._.Condensates." hidden="1">{"NWE Condensate 01",#N/A,FALSE,"Plots Condensates (NWE)";"NWE Condensate 02",#N/A,FALSE,"Plots Condensates (NWE)";"NWE Condensate 03",#N/A,FALSE,"Plots Condensates (NWE)"}</definedName>
    <definedName name="wrn.Print._.Plots." localSheetId="12" hidden="1">{"Plot1",#N/A,FALSE,"Plots";"plot2",#N/A,FALSE,"Plots";"plot3",#N/A,FALSE,"Plots";"plot4",#N/A,FALSE,"Plots";"plot5",#N/A,FALSE,"Plots";"plot6",#N/A,FALSE,"Plots"}</definedName>
    <definedName name="wrn.Print._.Plots." localSheetId="8" hidden="1">{"Plot1",#N/A,FALSE,"Plots";"plot2",#N/A,FALSE,"Plots";"plot3",#N/A,FALSE,"Plots";"plot4",#N/A,FALSE,"Plots";"plot5",#N/A,FALSE,"Plots";"plot6",#N/A,FALSE,"Plots"}</definedName>
    <definedName name="wrn.Print._.Plots." localSheetId="4" hidden="1">{"Plot1",#N/A,FALSE,"Plots";"plot2",#N/A,FALSE,"Plots";"plot3",#N/A,FALSE,"Plots";"plot4",#N/A,FALSE,"Plots";"plot5",#N/A,FALSE,"Plots";"plot6",#N/A,FALSE,"Plots"}</definedName>
    <definedName name="wrn.Print._.Plots." localSheetId="2" hidden="1">{"Plot1",#N/A,FALSE,"Plots";"plot2",#N/A,FALSE,"Plots";"plot3",#N/A,FALSE,"Plots";"plot4",#N/A,FALSE,"Plots";"plot5",#N/A,FALSE,"Plots";"plot6",#N/A,FALSE,"Plots"}</definedName>
    <definedName name="wrn.Print._.Plots." localSheetId="19" hidden="1">{"Plot1",#N/A,FALSE,"Plots";"plot2",#N/A,FALSE,"Plots";"plot3",#N/A,FALSE,"Plots";"plot4",#N/A,FALSE,"Plots";"plot5",#N/A,FALSE,"Plots";"plot6",#N/A,FALSE,"Plots"}</definedName>
    <definedName name="wrn.Print._.Plots." hidden="1">{"Plot1",#N/A,FALSE,"Plots";"plot2",#N/A,FALSE,"Plots";"plot3",#N/A,FALSE,"Plots";"plot4",#N/A,FALSE,"Plots";"plot5",#N/A,FALSE,"Plots";"plot6",#N/A,FALSE,"Plots"}</definedName>
    <definedName name="wrn.Print._.Plots._.Summary." localSheetId="12"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8"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4"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2" hidden="1">{"Summary 01",#N/A,FALSE,"Plots Summary";"Summary 02",#N/A,FALSE,"Plots Summary";"Summary 03",#N/A,FALSE,"Plots Summary";"Summary 04",#N/A,FALSE,"Plots Summary";"Summary 05",#N/A,FALSE,"Plots Summary";"Summary 06",#N/A,FALSE,"Plots Summary";"Summary 07",#N/A,FALSE,"Plots Summary"}</definedName>
    <definedName name="wrn.Print._.Plots._.Summary." localSheetId="19" hidden="1">{"Summary 01",#N/A,FALSE,"Plots Summary";"Summary 02",#N/A,FALSE,"Plots Summary";"Summary 03",#N/A,FALSE,"Plots Summary";"Summary 04",#N/A,FALSE,"Plots Summary";"Summary 05",#N/A,FALSE,"Plots Summary";"Summary 06",#N/A,FALSE,"Plots Summary";"Summary 07",#N/A,FALSE,"Plots Summary"}</definedName>
    <definedName name="wrn.Print._.Plots._.Summary." hidden="1">{"Summary 01",#N/A,FALSE,"Plots Summary";"Summary 02",#N/A,FALSE,"Plots Summary";"Summary 03",#N/A,FALSE,"Plots Summary";"Summary 04",#N/A,FALSE,"Plots Summary";"Summary 05",#N/A,FALSE,"Plots Summary";"Summary 06",#N/A,FALSE,"Plots Summary";"Summary 07",#N/A,FALSE,"Plots Summary"}</definedName>
    <definedName name="wrn.Print._.Sing._.Condensates." localSheetId="12"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8"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4"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2"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localSheetId="19"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Sing._.Condensates." hidden="1">{"Sing Condensate 01",#N/A,FALSE,"Plots Condensates (Singapore)";"Sing Condensate 02",#N/A,FALSE,"Plots Condensates (Singapore)";"Sing Condensate 03",#N/A,FALSE,"Plots Condensates (Singapore)";"Sing Condensate 04",#N/A,FALSE,"Plots Condensates (Singapore)";"Sing Condensate 05",#N/A,FALSE,"Plots Condensates (Singapore)";"Sing Condensate 06",#N/A,FALSE,"Plots Condensates (Singapore)"}</definedName>
    <definedName name="wrn.Print._.USGC._.Condensates." localSheetId="12"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8"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4"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2"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localSheetId="19"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int._.USGC._.Condensates." hidden="1">{"USGC Condensate 01",#N/A,FALSE,"Plots Condensates (USGC)";"USGC Condensate 02",#N/A,FALSE,"Plots Condensates (USGC)";"USGC Condensate 03",#N/A,FALSE,"Plots Condensates (USGC)";"USGC Condensate 04",#N/A,FALSE,"Plots Condensates (USGC)";"USGC Condensate 05",#N/A,FALSE,"Plots Condensates (USGC)";"USGC Condensate 06",#N/A,FALSE,"Plots Condensates (USGC)";"USGC Condensate 07",#N/A,FALSE,"Plots Condensates (USGC)"}</definedName>
    <definedName name="wrn.PRODTABLES." localSheetId="1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8"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4"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2"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localSheetId="19"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PRODTABLES." hidden="1">{"GAS1",#N/A,FALSE,"LTSUPDEM";"GAS2",#N/A,FALSE,"LTSUPDEM";"RFG1",#N/A,FALSE,"LTSUPDEM";"RFG2",#N/A,FALSE,"LTSUPDEM";"OXY1",#N/A,FALSE,"LTSUPDEM";"OXY2",#N/A,FALSE,"LTSUPDEM";"OTHERGAS1",#N/A,FALSE,"LTSUPDEM";"OTHERGAS2",#N/A,FALSE,"LTSUPDEM";"JETKERO1",#N/A,FALSE,"LTSUPDEM";"JETKERO2",#N/A,FALSE,"LTSUPDEM";"JETNAPH1",#N/A,FALSE,"LTSUPDEM";"JETNAPH2",#N/A,FALSE,"LTSUPDEM";"DIESEL1",#N/A,FALSE,"LTSUPDEM";"DIESEL2",#N/A,FALSE,"LTSUPDEM";"LSDIESEL1",#N/A,FALSE,"LTSUPDEM";"LSDIESEL2",#N/A,FALSE,"LTSUPDEM";"STDDIESEL1",#N/A,FALSE,"LTSUPDEM";"STDDIESEL2",#N/A,FALSE,"LTSUPDEM";"RESID1",#N/A,FALSE,"LTSUPDEM";"RESID2",#N/A,FALSE,"LTSUPDEM";"AVGAS1",#N/A,FALSE,"LTSUPDEM";"AVGAS2",#N/A,FALSE,"LTSUPDEM";"ASPHALT1",#N/A,FALSE,"LTSUPDEM";"ASPHALT2",#N/A,FALSE,"LTSUPDEM";"COKE1",#N/A,FALSE,"LTSUPDEM";"COKE2",#N/A,FALSE,"LTSUPDEM"}</definedName>
    <definedName name="wrn.REFINERY." localSheetId="12" hidden="1">{"Padd I to III",#N/A,FALSE,"REFINERY";"Padd IV to US",#N/A,FALSE,"REFINERY";"Crude Balance I",#N/A,FALSE,"REFINERY";"Crude Balance II",#N/A,FALSE,"REFINERY"}</definedName>
    <definedName name="wrn.REFINERY." localSheetId="8" hidden="1">{"Padd I to III",#N/A,FALSE,"REFINERY";"Padd IV to US",#N/A,FALSE,"REFINERY";"Crude Balance I",#N/A,FALSE,"REFINERY";"Crude Balance II",#N/A,FALSE,"REFINERY"}</definedName>
    <definedName name="wrn.REFINERY." localSheetId="4" hidden="1">{"Padd I to III",#N/A,FALSE,"REFINERY";"Padd IV to US",#N/A,FALSE,"REFINERY";"Crude Balance I",#N/A,FALSE,"REFINERY";"Crude Balance II",#N/A,FALSE,"REFINERY"}</definedName>
    <definedName name="wrn.REFINERY." localSheetId="2" hidden="1">{"Padd I to III",#N/A,FALSE,"REFINERY";"Padd IV to US",#N/A,FALSE,"REFINERY";"Crude Balance I",#N/A,FALSE,"REFINERY";"Crude Balance II",#N/A,FALSE,"REFINERY"}</definedName>
    <definedName name="wrn.REFINERY." localSheetId="19" hidden="1">{"Padd I to III",#N/A,FALSE,"REFINERY";"Padd IV to US",#N/A,FALSE,"REFINERY";"Crude Balance I",#N/A,FALSE,"REFINERY";"Crude Balance II",#N/A,FALSE,"REFINERY"}</definedName>
    <definedName name="wrn.REFINERY." hidden="1">{"Padd I to III",#N/A,FALSE,"REFINERY";"Padd IV to US",#N/A,FALSE,"REFINERY";"Crude Balance I",#N/A,FALSE,"REFINERY";"Crude Balance II",#N/A,FALSE,"REFINERY"}</definedName>
    <definedName name="wrn.region." localSheetId="12" hidden="1">{"Region",#N/A,FALSE,"CNTRYTYPE"}</definedName>
    <definedName name="wrn.region." localSheetId="8" hidden="1">{"Region",#N/A,FALSE,"CNTRYTYPE"}</definedName>
    <definedName name="wrn.region." localSheetId="4" hidden="1">{"Region",#N/A,FALSE,"CNTRYTYPE"}</definedName>
    <definedName name="wrn.region." localSheetId="2" hidden="1">{"Region",#N/A,FALSE,"CNTRYTYPE"}</definedName>
    <definedName name="wrn.region." localSheetId="19" hidden="1">{"Region",#N/A,FALSE,"CNTRYTYPE"}</definedName>
    <definedName name="wrn.region." hidden="1">{"Region",#N/A,FALSE,"CNTRYTYPE"}</definedName>
    <definedName name="wrn.report." localSheetId="12" hidden="1">{#N/A,#N/A,FALSE,"Summary_netback";#N/A,#N/A,FALSE,"Summary_value"}</definedName>
    <definedName name="wrn.report." localSheetId="8" hidden="1">{#N/A,#N/A,FALSE,"Summary_netback";#N/A,#N/A,FALSE,"Summary_value"}</definedName>
    <definedName name="wrn.report." localSheetId="4" hidden="1">{#N/A,#N/A,FALSE,"Summary_netback";#N/A,#N/A,FALSE,"Summary_value"}</definedName>
    <definedName name="wrn.report." localSheetId="2" hidden="1">{#N/A,#N/A,FALSE,"Summary_netback";#N/A,#N/A,FALSE,"Summary_value"}</definedName>
    <definedName name="wrn.report." localSheetId="19" hidden="1">{#N/A,#N/A,FALSE,"Summary_netback";#N/A,#N/A,FALSE,"Summary_value"}</definedName>
    <definedName name="wrn.report." hidden="1">{#N/A,#N/A,FALSE,"Summary_netback";#N/A,#N/A,FALSE,"Summary_value"}</definedName>
    <definedName name="wrn.Review._.Schedules." localSheetId="12"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8"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4"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2"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localSheetId="19"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PT." localSheetId="12" hidden="1">{"QTR",#N/A,FALSE,"Qtr_new_format";"A3",#N/A,FALSE,"Qtr_new_format"}</definedName>
    <definedName name="wrn.RPT." localSheetId="8" hidden="1">{"QTR",#N/A,FALSE,"Qtr_new_format";"A3",#N/A,FALSE,"Qtr_new_format"}</definedName>
    <definedName name="wrn.RPT." localSheetId="4" hidden="1">{"QTR",#N/A,FALSE,"Qtr_new_format";"A3",#N/A,FALSE,"Qtr_new_format"}</definedName>
    <definedName name="wrn.RPT." localSheetId="2" hidden="1">{"QTR",#N/A,FALSE,"Qtr_new_format";"A3",#N/A,FALSE,"Qtr_new_format"}</definedName>
    <definedName name="wrn.RPT." localSheetId="19" hidden="1">{"QTR",#N/A,FALSE,"Qtr_new_format";"A3",#N/A,FALSE,"Qtr_new_format"}</definedName>
    <definedName name="wrn.RPT." hidden="1">{"QTR",#N/A,FALSE,"Qtr_new_format";"A3",#N/A,FALSE,"Qtr_new_format"}</definedName>
    <definedName name="wrn.SAMPLE." localSheetId="12" hidden="1">{#N/A,#N/A,TRUE,"Crude";#N/A,#N/A,TRUE,"Products"}</definedName>
    <definedName name="wrn.SAMPLE." localSheetId="8" hidden="1">{#N/A,#N/A,TRUE,"Crude";#N/A,#N/A,TRUE,"Products"}</definedName>
    <definedName name="wrn.SAMPLE." localSheetId="4" hidden="1">{#N/A,#N/A,TRUE,"Crude";#N/A,#N/A,TRUE,"Products"}</definedName>
    <definedName name="wrn.SAMPLE." localSheetId="2" hidden="1">{#N/A,#N/A,TRUE,"Crude";#N/A,#N/A,TRUE,"Products"}</definedName>
    <definedName name="wrn.SAMPLE." localSheetId="19" hidden="1">{#N/A,#N/A,TRUE,"Crude";#N/A,#N/A,TRUE,"Products"}</definedName>
    <definedName name="wrn.SAMPLE." hidden="1">{#N/A,#N/A,TRUE,"Crude";#N/A,#N/A,TRUE,"Products"}</definedName>
    <definedName name="wrn.Secondary._.Competition." localSheetId="12" hidden="1">{#N/A,#N/A,FALSE,"Secondary"}</definedName>
    <definedName name="wrn.Secondary._.Competition." localSheetId="8" hidden="1">{#N/A,#N/A,FALSE,"Secondary"}</definedName>
    <definedName name="wrn.Secondary._.Competition." localSheetId="4" hidden="1">{#N/A,#N/A,FALSE,"Secondary"}</definedName>
    <definedName name="wrn.Secondary._.Competition." localSheetId="2" hidden="1">{#N/A,#N/A,FALSE,"Secondary"}</definedName>
    <definedName name="wrn.Secondary._.Competition." localSheetId="19" hidden="1">{#N/A,#N/A,FALSE,"Secondary"}</definedName>
    <definedName name="wrn.Secondary._.Competition." hidden="1">{#N/A,#N/A,FALSE,"Secondary"}</definedName>
    <definedName name="wrn.SEDHIQUE." localSheetId="12" hidden="1">{#N/A,#N/A,FALSE,"ins";#N/A,#N/A,FALSE,"tel";#N/A,#N/A,FALSE,"rent";#N/A,#N/A,FALSE,"a.fare";#N/A,#N/A,FALSE,"mg-rg.";#N/A,#N/A,FALSE,"ryty";#N/A,#N/A,FALSE,"mins";#N/A,#N/A,FALSE,"m-bns";#N/A,#N/A,FALSE,"inc.";#N/A,#N/A,FALSE,"p.p";#N/A,#N/A,FALSE,"dep.";#N/A,#N/A,FALSE,"pepsi"}</definedName>
    <definedName name="wrn.SEDHIQUE." localSheetId="8" hidden="1">{#N/A,#N/A,FALSE,"ins";#N/A,#N/A,FALSE,"tel";#N/A,#N/A,FALSE,"rent";#N/A,#N/A,FALSE,"a.fare";#N/A,#N/A,FALSE,"mg-rg.";#N/A,#N/A,FALSE,"ryty";#N/A,#N/A,FALSE,"mins";#N/A,#N/A,FALSE,"m-bns";#N/A,#N/A,FALSE,"inc.";#N/A,#N/A,FALSE,"p.p";#N/A,#N/A,FALSE,"dep.";#N/A,#N/A,FALSE,"pepsi"}</definedName>
    <definedName name="wrn.SEDHIQUE." localSheetId="4" hidden="1">{#N/A,#N/A,FALSE,"ins";#N/A,#N/A,FALSE,"tel";#N/A,#N/A,FALSE,"rent";#N/A,#N/A,FALSE,"a.fare";#N/A,#N/A,FALSE,"mg-rg.";#N/A,#N/A,FALSE,"ryty";#N/A,#N/A,FALSE,"mins";#N/A,#N/A,FALSE,"m-bns";#N/A,#N/A,FALSE,"inc.";#N/A,#N/A,FALSE,"p.p";#N/A,#N/A,FALSE,"dep.";#N/A,#N/A,FALSE,"pepsi"}</definedName>
    <definedName name="wrn.SEDHIQUE." localSheetId="2" hidden="1">{#N/A,#N/A,FALSE,"ins";#N/A,#N/A,FALSE,"tel";#N/A,#N/A,FALSE,"rent";#N/A,#N/A,FALSE,"a.fare";#N/A,#N/A,FALSE,"mg-rg.";#N/A,#N/A,FALSE,"ryty";#N/A,#N/A,FALSE,"mins";#N/A,#N/A,FALSE,"m-bns";#N/A,#N/A,FALSE,"inc.";#N/A,#N/A,FALSE,"p.p";#N/A,#N/A,FALSE,"dep.";#N/A,#N/A,FALSE,"pepsi"}</definedName>
    <definedName name="wrn.SEDHIQUE." localSheetId="19" hidden="1">{#N/A,#N/A,FALSE,"ins";#N/A,#N/A,FALSE,"tel";#N/A,#N/A,FALSE,"rent";#N/A,#N/A,FALSE,"a.fare";#N/A,#N/A,FALSE,"mg-rg.";#N/A,#N/A,FALSE,"ryty";#N/A,#N/A,FALSE,"mins";#N/A,#N/A,FALSE,"m-bns";#N/A,#N/A,FALSE,"inc.";#N/A,#N/A,FALSE,"p.p";#N/A,#N/A,FALSE,"dep.";#N/A,#N/A,FALSE,"pepsi"}</definedName>
    <definedName name="wrn.SEDHIQUE." hidden="1">{#N/A,#N/A,FALSE,"ins";#N/A,#N/A,FALSE,"tel";#N/A,#N/A,FALSE,"rent";#N/A,#N/A,FALSE,"a.fare";#N/A,#N/A,FALSE,"mg-rg.";#N/A,#N/A,FALSE,"ryty";#N/A,#N/A,FALSE,"mins";#N/A,#N/A,FALSE,"m-bns";#N/A,#N/A,FALSE,"inc.";#N/A,#N/A,FALSE,"p.p";#N/A,#N/A,FALSE,"dep.";#N/A,#N/A,FALSE,"pepsi"}</definedName>
    <definedName name="wrn.SSK." localSheetId="12" hidden="1">{#N/A,#N/A,FALSE,"ins";#N/A,#N/A,FALSE,"tel";#N/A,#N/A,FALSE,"rent";#N/A,#N/A,FALSE,"a.fare";#N/A,#N/A,FALSE,"mg-rg.";#N/A,#N/A,FALSE,"ryty";#N/A,#N/A,FALSE,"mins";#N/A,#N/A,FALSE,"m-bns";#N/A,#N/A,FALSE,"inc.";#N/A,#N/A,FALSE,"p.p";#N/A,#N/A,FALSE,"dep.";#N/A,#N/A,FALSE,"pepsi"}</definedName>
    <definedName name="wrn.SSK." localSheetId="8" hidden="1">{#N/A,#N/A,FALSE,"ins";#N/A,#N/A,FALSE,"tel";#N/A,#N/A,FALSE,"rent";#N/A,#N/A,FALSE,"a.fare";#N/A,#N/A,FALSE,"mg-rg.";#N/A,#N/A,FALSE,"ryty";#N/A,#N/A,FALSE,"mins";#N/A,#N/A,FALSE,"m-bns";#N/A,#N/A,FALSE,"inc.";#N/A,#N/A,FALSE,"p.p";#N/A,#N/A,FALSE,"dep.";#N/A,#N/A,FALSE,"pepsi"}</definedName>
    <definedName name="wrn.SSK." localSheetId="4" hidden="1">{#N/A,#N/A,FALSE,"ins";#N/A,#N/A,FALSE,"tel";#N/A,#N/A,FALSE,"rent";#N/A,#N/A,FALSE,"a.fare";#N/A,#N/A,FALSE,"mg-rg.";#N/A,#N/A,FALSE,"ryty";#N/A,#N/A,FALSE,"mins";#N/A,#N/A,FALSE,"m-bns";#N/A,#N/A,FALSE,"inc.";#N/A,#N/A,FALSE,"p.p";#N/A,#N/A,FALSE,"dep.";#N/A,#N/A,FALSE,"pepsi"}</definedName>
    <definedName name="wrn.SSK." localSheetId="2" hidden="1">{#N/A,#N/A,FALSE,"ins";#N/A,#N/A,FALSE,"tel";#N/A,#N/A,FALSE,"rent";#N/A,#N/A,FALSE,"a.fare";#N/A,#N/A,FALSE,"mg-rg.";#N/A,#N/A,FALSE,"ryty";#N/A,#N/A,FALSE,"mins";#N/A,#N/A,FALSE,"m-bns";#N/A,#N/A,FALSE,"inc.";#N/A,#N/A,FALSE,"p.p";#N/A,#N/A,FALSE,"dep.";#N/A,#N/A,FALSE,"pepsi"}</definedName>
    <definedName name="wrn.SSK." localSheetId="19" hidden="1">{#N/A,#N/A,FALSE,"ins";#N/A,#N/A,FALSE,"tel";#N/A,#N/A,FALSE,"rent";#N/A,#N/A,FALSE,"a.fare";#N/A,#N/A,FALSE,"mg-rg.";#N/A,#N/A,FALSE,"ryty";#N/A,#N/A,FALSE,"mins";#N/A,#N/A,FALSE,"m-bns";#N/A,#N/A,FALSE,"inc.";#N/A,#N/A,FALSE,"p.p";#N/A,#N/A,FALSE,"dep.";#N/A,#N/A,FALSE,"pepsi"}</definedName>
    <definedName name="wrn.SSK." hidden="1">{#N/A,#N/A,FALSE,"ins";#N/A,#N/A,FALSE,"tel";#N/A,#N/A,FALSE,"rent";#N/A,#N/A,FALSE,"a.fare";#N/A,#N/A,FALSE,"mg-rg.";#N/A,#N/A,FALSE,"ryty";#N/A,#N/A,FALSE,"mins";#N/A,#N/A,FALSE,"m-bns";#N/A,#N/A,FALSE,"inc.";#N/A,#N/A,FALSE,"p.p";#N/A,#N/A,FALSE,"dep.";#N/A,#N/A,FALSE,"pepsi"}</definedName>
    <definedName name="wrn.Staffing." localSheetId="12" hidden="1">{#N/A,#N/A,FALSE,"Assessment";#N/A,#N/A,FALSE,"Staffing";#N/A,#N/A,FALSE,"Hires";#N/A,#N/A,FALSE,"Assumptions"}</definedName>
    <definedName name="wrn.Staffing." localSheetId="8" hidden="1">{#N/A,#N/A,FALSE,"Assessment";#N/A,#N/A,FALSE,"Staffing";#N/A,#N/A,FALSE,"Hires";#N/A,#N/A,FALSE,"Assumptions"}</definedName>
    <definedName name="wrn.Staffing." localSheetId="4" hidden="1">{#N/A,#N/A,FALSE,"Assessment";#N/A,#N/A,FALSE,"Staffing";#N/A,#N/A,FALSE,"Hires";#N/A,#N/A,FALSE,"Assumptions"}</definedName>
    <definedName name="wrn.Staffing." localSheetId="2" hidden="1">{#N/A,#N/A,FALSE,"Assessment";#N/A,#N/A,FALSE,"Staffing";#N/A,#N/A,FALSE,"Hires";#N/A,#N/A,FALSE,"Assumptions"}</definedName>
    <definedName name="wrn.Staffing." localSheetId="19" hidden="1">{#N/A,#N/A,FALSE,"Assessment";#N/A,#N/A,FALSE,"Staffing";#N/A,#N/A,FALSE,"Hires";#N/A,#N/A,FALSE,"Assumptions"}</definedName>
    <definedName name="wrn.Staffing." hidden="1">{#N/A,#N/A,FALSE,"Assessment";#N/A,#N/A,FALSE,"Staffing";#N/A,#N/A,FALSE,"Hires";#N/A,#N/A,FALSE,"Assumptions"}</definedName>
    <definedName name="wrn.Staffing1" localSheetId="12" hidden="1">{#N/A,#N/A,FALSE,"Assessment";#N/A,#N/A,FALSE,"Staffing";#N/A,#N/A,FALSE,"Hires";#N/A,#N/A,FALSE,"Assumptions"}</definedName>
    <definedName name="wrn.Staffing1" localSheetId="8" hidden="1">{#N/A,#N/A,FALSE,"Assessment";#N/A,#N/A,FALSE,"Staffing";#N/A,#N/A,FALSE,"Hires";#N/A,#N/A,FALSE,"Assumptions"}</definedName>
    <definedName name="wrn.Staffing1" localSheetId="4" hidden="1">{#N/A,#N/A,FALSE,"Assessment";#N/A,#N/A,FALSE,"Staffing";#N/A,#N/A,FALSE,"Hires";#N/A,#N/A,FALSE,"Assumptions"}</definedName>
    <definedName name="wrn.Staffing1" localSheetId="2" hidden="1">{#N/A,#N/A,FALSE,"Assessment";#N/A,#N/A,FALSE,"Staffing";#N/A,#N/A,FALSE,"Hires";#N/A,#N/A,FALSE,"Assumptions"}</definedName>
    <definedName name="wrn.Staffing1" localSheetId="19" hidden="1">{#N/A,#N/A,FALSE,"Assessment";#N/A,#N/A,FALSE,"Staffing";#N/A,#N/A,FALSE,"Hires";#N/A,#N/A,FALSE,"Assumptions"}</definedName>
    <definedName name="wrn.Staffing1" hidden="1">{#N/A,#N/A,FALSE,"Assessment";#N/A,#N/A,FALSE,"Staffing";#N/A,#N/A,FALSE,"Hires";#N/A,#N/A,FALSE,"Assumptions"}</definedName>
    <definedName name="wrn.Standard." localSheetId="12" hidden="1">{#N/A,#N/A,FALSE,"Service + Produktion kum";#N/A,#N/A,FALSE,"Produktion kum";#N/A,#N/A,FALSE,"Service kum";#N/A,#N/A,FALSE,"Service Monat";#N/A,#N/A,FALSE,"CARAT"}</definedName>
    <definedName name="wrn.Standard." localSheetId="8" hidden="1">{#N/A,#N/A,FALSE,"Service + Produktion kum";#N/A,#N/A,FALSE,"Produktion kum";#N/A,#N/A,FALSE,"Service kum";#N/A,#N/A,FALSE,"Service Monat";#N/A,#N/A,FALSE,"CARAT"}</definedName>
    <definedName name="wrn.Standard." localSheetId="4" hidden="1">{#N/A,#N/A,FALSE,"Service + Produktion kum";#N/A,#N/A,FALSE,"Produktion kum";#N/A,#N/A,FALSE,"Service kum";#N/A,#N/A,FALSE,"Service Monat";#N/A,#N/A,FALSE,"CARAT"}</definedName>
    <definedName name="wrn.Standard." localSheetId="2" hidden="1">{#N/A,#N/A,FALSE,"Service + Produktion kum";#N/A,#N/A,FALSE,"Produktion kum";#N/A,#N/A,FALSE,"Service kum";#N/A,#N/A,FALSE,"Service Monat";#N/A,#N/A,FALSE,"CARAT"}</definedName>
    <definedName name="wrn.Standard." localSheetId="19" hidden="1">{#N/A,#N/A,FALSE,"Service + Produktion kum";#N/A,#N/A,FALSE,"Produktion kum";#N/A,#N/A,FALSE,"Service kum";#N/A,#N/A,FALSE,"Service Monat";#N/A,#N/A,FALSE,"CARAT"}</definedName>
    <definedName name="wrn.Standard." hidden="1">{#N/A,#N/A,FALSE,"Service + Produktion kum";#N/A,#N/A,FALSE,"Produktion kum";#N/A,#N/A,FALSE,"Service kum";#N/A,#N/A,FALSE,"Service Monat";#N/A,#N/A,FALSE,"CARAT"}</definedName>
    <definedName name="wrn.SUBREGION." localSheetId="12" hidden="1">{"SUBREGION",#N/A,FALSE,"CNTRYTYPE"}</definedName>
    <definedName name="wrn.SUBREGION." localSheetId="8" hidden="1">{"SUBREGION",#N/A,FALSE,"CNTRYTYPE"}</definedName>
    <definedName name="wrn.SUBREGION." localSheetId="4" hidden="1">{"SUBREGION",#N/A,FALSE,"CNTRYTYPE"}</definedName>
    <definedName name="wrn.SUBREGION." localSheetId="2" hidden="1">{"SUBREGION",#N/A,FALSE,"CNTRYTYPE"}</definedName>
    <definedName name="wrn.SUBREGION." localSheetId="19" hidden="1">{"SUBREGION",#N/A,FALSE,"CNTRYTYPE"}</definedName>
    <definedName name="wrn.SUBREGION." hidden="1">{"SUBREGION",#N/A,FALSE,"CNTRYTYPE"}</definedName>
    <definedName name="wrn.Summary." localSheetId="12" hidden="1">{"Growth Supply Demand",#N/A,TRUE,"Summary";"Primary Energy Balance",#N/A,TRUE,"Summary"}</definedName>
    <definedName name="wrn.Summary." localSheetId="8" hidden="1">{"Growth Supply Demand",#N/A,TRUE,"Summary";"Primary Energy Balance",#N/A,TRUE,"Summary"}</definedName>
    <definedName name="wrn.Summary." localSheetId="4" hidden="1">{"Growth Supply Demand",#N/A,TRUE,"Summary";"Primary Energy Balance",#N/A,TRUE,"Summary"}</definedName>
    <definedName name="wrn.Summary." localSheetId="2" hidden="1">{"Growth Supply Demand",#N/A,TRUE,"Summary";"Primary Energy Balance",#N/A,TRUE,"Summary"}</definedName>
    <definedName name="wrn.Summary." localSheetId="19" hidden="1">{"Growth Supply Demand",#N/A,TRUE,"Summary";"Primary Energy Balance",#N/A,TRUE,"Summary"}</definedName>
    <definedName name="wrn.Summary." hidden="1">{"Growth Supply Demand",#N/A,TRUE,"Summary";"Primary Energy Balance",#N/A,TRUE,"Summary"}</definedName>
    <definedName name="wrn.Supply._.Additions." localSheetId="12" hidden="1">{#N/A,#N/A,FALSE,"Supply Addn"}</definedName>
    <definedName name="wrn.Supply._.Additions." localSheetId="8" hidden="1">{#N/A,#N/A,FALSE,"Supply Addn"}</definedName>
    <definedName name="wrn.Supply._.Additions." localSheetId="4" hidden="1">{#N/A,#N/A,FALSE,"Supply Addn"}</definedName>
    <definedName name="wrn.Supply._.Additions." localSheetId="2" hidden="1">{#N/A,#N/A,FALSE,"Supply Addn"}</definedName>
    <definedName name="wrn.Supply._.Additions." localSheetId="19" hidden="1">{#N/A,#N/A,FALSE,"Supply Addn"}</definedName>
    <definedName name="wrn.Supply._.Additions." hidden="1">{#N/A,#N/A,FALSE,"Supply Addn"}</definedName>
    <definedName name="wrn.sweet." localSheetId="12" hidden="1">{"sweet",#N/A,FALSE,"CNTRYTYPE"}</definedName>
    <definedName name="wrn.sweet." localSheetId="8" hidden="1">{"sweet",#N/A,FALSE,"CNTRYTYPE"}</definedName>
    <definedName name="wrn.sweet." localSheetId="4" hidden="1">{"sweet",#N/A,FALSE,"CNTRYTYPE"}</definedName>
    <definedName name="wrn.sweet." localSheetId="2" hidden="1">{"sweet",#N/A,FALSE,"CNTRYTYPE"}</definedName>
    <definedName name="wrn.sweet." localSheetId="19" hidden="1">{"sweet",#N/A,FALSE,"CNTRYTYPE"}</definedName>
    <definedName name="wrn.sweet." hidden="1">{"sweet",#N/A,FALSE,"CNTRYTYPE"}</definedName>
    <definedName name="wrn.Tables." localSheetId="12" hidden="1">{"Current",#N/A,FALSE,"Currentcal";"Current B",#N/A,FALSE,"Currentcal";"Constant",#N/A,FALSE,"Constantcal";"Constant B",#N/A,FALSE,"Constantcal"}</definedName>
    <definedName name="wrn.Tables." localSheetId="8" hidden="1">{"Current",#N/A,FALSE,"Currentcal";"Current B",#N/A,FALSE,"Currentcal";"Constant",#N/A,FALSE,"Constantcal";"Constant B",#N/A,FALSE,"Constantcal"}</definedName>
    <definedName name="wrn.Tables." localSheetId="4" hidden="1">{"Current",#N/A,FALSE,"Currentcal";"Current B",#N/A,FALSE,"Currentcal";"Constant",#N/A,FALSE,"Constantcal";"Constant B",#N/A,FALSE,"Constantcal"}</definedName>
    <definedName name="wrn.Tables." localSheetId="2" hidden="1">{"Current",#N/A,FALSE,"Currentcal";"Current B",#N/A,FALSE,"Currentcal";"Constant",#N/A,FALSE,"Constantcal";"Constant B",#N/A,FALSE,"Constantcal"}</definedName>
    <definedName name="wrn.Tables." localSheetId="19" hidden="1">{"Current",#N/A,FALSE,"Currentcal";"Current B",#N/A,FALSE,"Currentcal";"Constant",#N/A,FALSE,"Constantcal";"Constant B",#N/A,FALSE,"Constantcal"}</definedName>
    <definedName name="wrn.Tables." hidden="1">{"Current",#N/A,FALSE,"Currentcal";"Current B",#N/A,FALSE,"Currentcal";"Constant",#N/A,FALSE,"Constantcal";"Constant B",#N/A,FALSE,"Constantcal"}</definedName>
    <definedName name="wrn.TARGET._.DCF." localSheetId="19" hidden="1">{"targetdcf",#N/A,FALSE,"Merger consequences";"TARGETASSU",#N/A,FALSE,"Merger consequences";"TERMINAL VALUE",#N/A,FALSE,"Merger consequences"}</definedName>
    <definedName name="wrn.TARGET._.DCF." hidden="1">{"targetdcf",#N/A,FALSE,"Merger consequences";"TARGETASSU",#N/A,FALSE,"Merger consequences";"TERMINAL VALUE",#N/A,FALSE,"Merger consequences"}</definedName>
    <definedName name="wrn.test." localSheetId="19" hidden="1">{#N/A,#N/A,TRUE,"Matrix-BD"}</definedName>
    <definedName name="wrn.test." hidden="1">{#N/A,#N/A,TRUE,"Matrix-BD"}</definedName>
    <definedName name="wrn.total." localSheetId="12" hidden="1">{"total",#N/A,FALSE,"CNTRYTYPE"}</definedName>
    <definedName name="wrn.total." localSheetId="8" hidden="1">{"total",#N/A,FALSE,"CNTRYTYPE"}</definedName>
    <definedName name="wrn.total." localSheetId="4" hidden="1">{"total",#N/A,FALSE,"CNTRYTYPE"}</definedName>
    <definedName name="wrn.total." localSheetId="2" hidden="1">{"total",#N/A,FALSE,"CNTRYTYPE"}</definedName>
    <definedName name="wrn.total." localSheetId="19" hidden="1">{"total",#N/A,FALSE,"CNTRYTYPE"}</definedName>
    <definedName name="wrn.total." hidden="1">{"total",#N/A,FALSE,"CNTRYTYPE"}</definedName>
    <definedName name="wrn.Volume._.Planning." localSheetId="12" hidden="1">{#N/A,#N/A,FALSE,"Forecasts"}</definedName>
    <definedName name="wrn.Volume._.Planning." localSheetId="8" hidden="1">{#N/A,#N/A,FALSE,"Forecasts"}</definedName>
    <definedName name="wrn.Volume._.Planning." localSheetId="4" hidden="1">{#N/A,#N/A,FALSE,"Forecasts"}</definedName>
    <definedName name="wrn.Volume._.Planning." localSheetId="2" hidden="1">{#N/A,#N/A,FALSE,"Forecasts"}</definedName>
    <definedName name="wrn.Volume._.Planning." localSheetId="19" hidden="1">{#N/A,#N/A,FALSE,"Forecasts"}</definedName>
    <definedName name="wrn.Volume._.Planning." hidden="1">{#N/A,#N/A,FALSE,"Forecasts"}</definedName>
    <definedName name="wrn.Wacc." localSheetId="19" hidden="1">{"Area1",#N/A,FALSE,"OREWACC";"Area2",#N/A,FALSE,"OREWACC"}</definedName>
    <definedName name="wrn.Wacc." hidden="1">{"Area1",#N/A,FALSE,"OREWACC";"Area2",#N/A,FALSE,"OREWACC"}</definedName>
    <definedName name="wrn2.all" localSheetId="12" hidden="1">{"PAGE1",#N/A,FALSE,"YIELDS";"PAGE2",#N/A,FALSE,"YIELDS";"PAGE3",#N/A,FALSE,"YIELDS"}</definedName>
    <definedName name="wrn2.all" localSheetId="8" hidden="1">{"PAGE1",#N/A,FALSE,"YIELDS";"PAGE2",#N/A,FALSE,"YIELDS";"PAGE3",#N/A,FALSE,"YIELDS"}</definedName>
    <definedName name="wrn2.all" localSheetId="4" hidden="1">{"PAGE1",#N/A,FALSE,"YIELDS";"PAGE2",#N/A,FALSE,"YIELDS";"PAGE3",#N/A,FALSE,"YIELDS"}</definedName>
    <definedName name="wrn2.all" localSheetId="2" hidden="1">{"PAGE1",#N/A,FALSE,"YIELDS";"PAGE2",#N/A,FALSE,"YIELDS";"PAGE3",#N/A,FALSE,"YIELDS"}</definedName>
    <definedName name="wrn2.all" localSheetId="19" hidden="1">{"PAGE1",#N/A,FALSE,"YIELDS";"PAGE2",#N/A,FALSE,"YIELDS";"PAGE3",#N/A,FALSE,"YIELDS"}</definedName>
    <definedName name="wrn2.all" hidden="1">{"PAGE1",#N/A,FALSE,"YIELDS";"PAGE2",#N/A,FALSE,"YIELDS";"PAGE3",#N/A,FALSE,"YIELDS"}</definedName>
    <definedName name="wrn2.all." localSheetId="12" hidden="1">{"PAGE1",#N/A,FALSE,"YIELDS";"PAGE2",#N/A,FALSE,"YIELDS";"PAGE3",#N/A,FALSE,"YIELDS"}</definedName>
    <definedName name="wrn2.all." localSheetId="8" hidden="1">{"PAGE1",#N/A,FALSE,"YIELDS";"PAGE2",#N/A,FALSE,"YIELDS";"PAGE3",#N/A,FALSE,"YIELDS"}</definedName>
    <definedName name="wrn2.all." localSheetId="4" hidden="1">{"PAGE1",#N/A,FALSE,"YIELDS";"PAGE2",#N/A,FALSE,"YIELDS";"PAGE3",#N/A,FALSE,"YIELDS"}</definedName>
    <definedName name="wrn2.all." localSheetId="2" hidden="1">{"PAGE1",#N/A,FALSE,"YIELDS";"PAGE2",#N/A,FALSE,"YIELDS";"PAGE3",#N/A,FALSE,"YIELDS"}</definedName>
    <definedName name="wrn2.all." localSheetId="19" hidden="1">{"PAGE1",#N/A,FALSE,"YIELDS";"PAGE2",#N/A,FALSE,"YIELDS";"PAGE3",#N/A,FALSE,"YIELDS"}</definedName>
    <definedName name="wrn2.all." hidden="1">{"PAGE1",#N/A,FALSE,"YIELDS";"PAGE2",#N/A,FALSE,"YIELDS";"PAGE3",#N/A,FALSE,"YIELDS"}</definedName>
    <definedName name="wrn2.gasodem." localSheetId="12" hidden="1">{"monthly",#N/A,FALSE,"GASODEM";"qtr to yr",#N/A,FALSE,"GASODEM"}</definedName>
    <definedName name="wrn2.gasodem." localSheetId="8" hidden="1">{"monthly",#N/A,FALSE,"GASODEM";"qtr to yr",#N/A,FALSE,"GASODEM"}</definedName>
    <definedName name="wrn2.gasodem." localSheetId="4" hidden="1">{"monthly",#N/A,FALSE,"GASODEM";"qtr to yr",#N/A,FALSE,"GASODEM"}</definedName>
    <definedName name="wrn2.gasodem." localSheetId="2" hidden="1">{"monthly",#N/A,FALSE,"GASODEM";"qtr to yr",#N/A,FALSE,"GASODEM"}</definedName>
    <definedName name="wrn2.gasodem." localSheetId="19" hidden="1">{"monthly",#N/A,FALSE,"GASODEM";"qtr to yr",#N/A,FALSE,"GASODEM"}</definedName>
    <definedName name="wrn2.gasodem." hidden="1">{"monthly",#N/A,FALSE,"GASODEM";"qtr to yr",#N/A,FALSE,"GASODEM"}</definedName>
    <definedName name="wss" localSheetId="15" hidden="1">#REF!</definedName>
    <definedName name="wss" localSheetId="7" hidden="1">#REF!</definedName>
    <definedName name="wss" localSheetId="0" hidden="1">#REF!</definedName>
    <definedName name="wss" localSheetId="12" hidden="1">#REF!</definedName>
    <definedName name="wss" localSheetId="8" hidden="1">#REF!</definedName>
    <definedName name="wss" localSheetId="5" hidden="1">#REF!</definedName>
    <definedName name="wss" localSheetId="2" hidden="1">#REF!</definedName>
    <definedName name="wss" localSheetId="17" hidden="1">#REF!</definedName>
    <definedName name="wss" localSheetId="19" hidden="1">#REF!</definedName>
    <definedName name="wss" hidden="1">#REF!</definedName>
    <definedName name="WTF" localSheetId="15" hidden="1">#REF!</definedName>
    <definedName name="WTF" localSheetId="7" hidden="1">#REF!</definedName>
    <definedName name="WTF" localSheetId="0" hidden="1">#REF!</definedName>
    <definedName name="WTF" localSheetId="12" hidden="1">#REF!</definedName>
    <definedName name="WTF" localSheetId="8" hidden="1">#REF!</definedName>
    <definedName name="WTF" localSheetId="5" hidden="1">#REF!</definedName>
    <definedName name="WTF" localSheetId="2" hidden="1">#REF!</definedName>
    <definedName name="WTF" localSheetId="17" hidden="1">#REF!</definedName>
    <definedName name="WTF" localSheetId="19" hidden="1">#REF!</definedName>
    <definedName name="WTF" hidden="1">#REF!</definedName>
    <definedName name="wvu.New._.Format." localSheetId="1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8"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4"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localSheetId="19"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vu.New._.Format."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www" localSheetId="12" hidden="1">{"divisions",#N/A,TRUE,"Drivers";"PandL_Ratios",#N/A,TRUE,"P&amp;L"}</definedName>
    <definedName name="www" localSheetId="8" hidden="1">{"divisions",#N/A,TRUE,"Drivers";"PandL_Ratios",#N/A,TRUE,"P&amp;L"}</definedName>
    <definedName name="www" localSheetId="4" hidden="1">{"divisions",#N/A,TRUE,"Drivers";"PandL_Ratios",#N/A,TRUE,"P&amp;L"}</definedName>
    <definedName name="www" localSheetId="2" hidden="1">{"divisions",#N/A,TRUE,"Drivers";"PandL_Ratios",#N/A,TRUE,"P&amp;L"}</definedName>
    <definedName name="www" localSheetId="19" hidden="1">{"divisions",#N/A,TRUE,"Drivers";"PandL_Ratios",#N/A,TRUE,"P&amp;L"}</definedName>
    <definedName name="www" hidden="1">{"divisions",#N/A,TRUE,"Drivers";"PandL_Ratios",#N/A,TRUE,"P&amp;L"}</definedName>
    <definedName name="wwww" localSheetId="15" hidden="1">#REF!</definedName>
    <definedName name="wwww" localSheetId="7" hidden="1">#REF!</definedName>
    <definedName name="wwww" localSheetId="0" hidden="1">#REF!</definedName>
    <definedName name="wwww" localSheetId="12" hidden="1">#REF!</definedName>
    <definedName name="wwww" localSheetId="8" hidden="1">#REF!</definedName>
    <definedName name="wwww" localSheetId="5" hidden="1">#REF!</definedName>
    <definedName name="wwww" localSheetId="2" hidden="1">#REF!</definedName>
    <definedName name="wwww" localSheetId="17" hidden="1">#REF!</definedName>
    <definedName name="wwww" localSheetId="19" hidden="1">#REF!</definedName>
    <definedName name="wwww" hidden="1">#REF!</definedName>
    <definedName name="x" localSheetId="12" hidden="1">{"Capacities",#N/A,FALSE,"HOUSTON"}</definedName>
    <definedName name="x" localSheetId="8" hidden="1">{"Capacities",#N/A,FALSE,"HOUSTON"}</definedName>
    <definedName name="x" localSheetId="4" hidden="1">{"Capacities",#N/A,FALSE,"HOUSTON"}</definedName>
    <definedName name="x" localSheetId="2" hidden="1">{"Capacities",#N/A,FALSE,"HOUSTON"}</definedName>
    <definedName name="x" localSheetId="19" hidden="1">{"Capacities",#N/A,FALSE,"HOUSTON"}</definedName>
    <definedName name="x" hidden="1">{"Capacities",#N/A,FALSE,"HOUSTON"}</definedName>
    <definedName name="xx" localSheetId="1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8"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4"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2"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localSheetId="19"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 hidden="1">{TRUE,TRUE,-2.75,-17,604.5,323.25,FALSE,FALSE,TRUE,TRUE,0,2,#N/A,26,#N/A,5.58426966292135,36.3214285714286,1,FALSE,FALSE,3,TRUE,1,FALSE,100,"Swvu.New._.Format.","ACwvu.New._.Format.",#N/A,FALSE,FALSE,0.26,0.28,0.61,0.79,2,"","&amp;L&amp;8:N:\DATA\EMS\CONTROLS\NCCI\COST\&amp;F - &amp;A&amp;C&amp;8&amp;D&amp;R&amp;8&amp;P OF &amp;N",TRUE,FALSE,FALSE,FALSE,1,48,#N/A,#N/A,"=R1C1:R63C18","=R2:R8",#N/A,"Cwvu.New._.Format.",FALSE,FALSE,TRUE,9,4294967292,600,FALSE,FALSE,TRUE,TRUE,TRUE}</definedName>
    <definedName name="xxxxx" localSheetId="12" hidden="1">{"monthly",#N/A,FALSE,"GASODEM";"qtr to yr",#N/A,FALSE,"GASODEM"}</definedName>
    <definedName name="xxxxx" localSheetId="8" hidden="1">{"monthly",#N/A,FALSE,"GASODEM";"qtr to yr",#N/A,FALSE,"GASODEM"}</definedName>
    <definedName name="xxxxx" localSheetId="4" hidden="1">{"monthly",#N/A,FALSE,"GASODEM";"qtr to yr",#N/A,FALSE,"GASODEM"}</definedName>
    <definedName name="xxxxx" localSheetId="2" hidden="1">{"monthly",#N/A,FALSE,"GASODEM";"qtr to yr",#N/A,FALSE,"GASODEM"}</definedName>
    <definedName name="xxxxx" localSheetId="19" hidden="1">{"monthly",#N/A,FALSE,"GASODEM";"qtr to yr",#N/A,FALSE,"GASODEM"}</definedName>
    <definedName name="xxxxx" hidden="1">{"monthly",#N/A,FALSE,"GASODEM";"qtr to yr",#N/A,FALSE,"GASODEM"}</definedName>
    <definedName name="y" localSheetId="12" hidden="1">{"Diesel",#N/A,FALSE,"HOUSTON"}</definedName>
    <definedName name="y" localSheetId="8" hidden="1">{"Diesel",#N/A,FALSE,"HOUSTON"}</definedName>
    <definedName name="y" localSheetId="4" hidden="1">{"Diesel",#N/A,FALSE,"HOUSTON"}</definedName>
    <definedName name="y" localSheetId="2" hidden="1">{"Diesel",#N/A,FALSE,"HOUSTON"}</definedName>
    <definedName name="y" localSheetId="19" hidden="1">{"Diesel",#N/A,FALSE,"HOUSTON"}</definedName>
    <definedName name="y" hidden="1">{"Diesel",#N/A,FALSE,"HOUSTON"}</definedName>
    <definedName name="yeessss" hidden="1">'[4]SUMMARY CHART'!#REF!</definedName>
    <definedName name="z" localSheetId="12" hidden="1">{"Fuel Oil",#N/A,FALSE,"HOUSTON";"Fuel Oil BPD",#N/A,FALSE,"BPD"}</definedName>
    <definedName name="z" localSheetId="8" hidden="1">{"Fuel Oil",#N/A,FALSE,"HOUSTON";"Fuel Oil BPD",#N/A,FALSE,"BPD"}</definedName>
    <definedName name="z" localSheetId="4" hidden="1">{"Fuel Oil",#N/A,FALSE,"HOUSTON";"Fuel Oil BPD",#N/A,FALSE,"BPD"}</definedName>
    <definedName name="z" localSheetId="2" hidden="1">{"Fuel Oil",#N/A,FALSE,"HOUSTON";"Fuel Oil BPD",#N/A,FALSE,"BPD"}</definedName>
    <definedName name="z" localSheetId="19" hidden="1">{"Fuel Oil",#N/A,FALSE,"HOUSTON";"Fuel Oil BPD",#N/A,FALSE,"BPD"}</definedName>
    <definedName name="z" hidden="1">{"Fuel Oil",#N/A,FALSE,"HOUSTON";"Fuel Oil BPD",#N/A,FALSE,"BPD"}</definedName>
    <definedName name="Z_0E5612F1_1C5C_4147_BE42_908BDE0B1405_.wvu.FilterData" localSheetId="15" hidden="1">#REF!</definedName>
    <definedName name="Z_0E5612F1_1C5C_4147_BE42_908BDE0B1405_.wvu.FilterData" localSheetId="7" hidden="1">#REF!</definedName>
    <definedName name="Z_0E5612F1_1C5C_4147_BE42_908BDE0B1405_.wvu.FilterData" localSheetId="0" hidden="1">#REF!</definedName>
    <definedName name="Z_0E5612F1_1C5C_4147_BE42_908BDE0B1405_.wvu.FilterData" localSheetId="12" hidden="1">#REF!</definedName>
    <definedName name="Z_0E5612F1_1C5C_4147_BE42_908BDE0B1405_.wvu.FilterData" localSheetId="8" hidden="1">#REF!</definedName>
    <definedName name="Z_0E5612F1_1C5C_4147_BE42_908BDE0B1405_.wvu.FilterData" localSheetId="5" hidden="1">#REF!</definedName>
    <definedName name="Z_0E5612F1_1C5C_4147_BE42_908BDE0B1405_.wvu.FilterData" localSheetId="2" hidden="1">#REF!</definedName>
    <definedName name="Z_0E5612F1_1C5C_4147_BE42_908BDE0B1405_.wvu.FilterData" localSheetId="17" hidden="1">#REF!</definedName>
    <definedName name="Z_0E5612F1_1C5C_4147_BE42_908BDE0B1405_.wvu.FilterData" localSheetId="19" hidden="1">#REF!</definedName>
    <definedName name="Z_0E5612F1_1C5C_4147_BE42_908BDE0B1405_.wvu.FilterData" hidden="1">#REF!</definedName>
    <definedName name="Z_0E5612F1_1C5C_4147_BE42_908BDE0B1405_.wvu.PrintTitles" localSheetId="15" hidden="1">#REF!</definedName>
    <definedName name="Z_0E5612F1_1C5C_4147_BE42_908BDE0B1405_.wvu.PrintTitles" localSheetId="7" hidden="1">#REF!</definedName>
    <definedName name="Z_0E5612F1_1C5C_4147_BE42_908BDE0B1405_.wvu.PrintTitles" localSheetId="0" hidden="1">#REF!</definedName>
    <definedName name="Z_0E5612F1_1C5C_4147_BE42_908BDE0B1405_.wvu.PrintTitles" localSheetId="12" hidden="1">#REF!</definedName>
    <definedName name="Z_0E5612F1_1C5C_4147_BE42_908BDE0B1405_.wvu.PrintTitles" localSheetId="8" hidden="1">#REF!</definedName>
    <definedName name="Z_0E5612F1_1C5C_4147_BE42_908BDE0B1405_.wvu.PrintTitles" localSheetId="5" hidden="1">#REF!</definedName>
    <definedName name="Z_0E5612F1_1C5C_4147_BE42_908BDE0B1405_.wvu.PrintTitles" localSheetId="2" hidden="1">#REF!</definedName>
    <definedName name="Z_0E5612F1_1C5C_4147_BE42_908BDE0B1405_.wvu.PrintTitles" localSheetId="17" hidden="1">#REF!</definedName>
    <definedName name="Z_0E5612F1_1C5C_4147_BE42_908BDE0B1405_.wvu.PrintTitles" localSheetId="19" hidden="1">#REF!</definedName>
    <definedName name="Z_0E5612F1_1C5C_4147_BE42_908BDE0B1405_.wvu.PrintTitles" hidden="1">#REF!</definedName>
    <definedName name="Z_893D3CDD_E6EC_4FBE_9F4B_7C063AADDAA3_.wvu.FilterData" localSheetId="15" hidden="1">#REF!</definedName>
    <definedName name="Z_893D3CDD_E6EC_4FBE_9F4B_7C063AADDAA3_.wvu.FilterData" localSheetId="7" hidden="1">#REF!</definedName>
    <definedName name="Z_893D3CDD_E6EC_4FBE_9F4B_7C063AADDAA3_.wvu.FilterData" localSheetId="0" hidden="1">#REF!</definedName>
    <definedName name="Z_893D3CDD_E6EC_4FBE_9F4B_7C063AADDAA3_.wvu.FilterData" localSheetId="12" hidden="1">#REF!</definedName>
    <definedName name="Z_893D3CDD_E6EC_4FBE_9F4B_7C063AADDAA3_.wvu.FilterData" localSheetId="8" hidden="1">#REF!</definedName>
    <definedName name="Z_893D3CDD_E6EC_4FBE_9F4B_7C063AADDAA3_.wvu.FilterData" localSheetId="5" hidden="1">#REF!</definedName>
    <definedName name="Z_893D3CDD_E6EC_4FBE_9F4B_7C063AADDAA3_.wvu.FilterData" localSheetId="2" hidden="1">#REF!</definedName>
    <definedName name="Z_893D3CDD_E6EC_4FBE_9F4B_7C063AADDAA3_.wvu.FilterData" localSheetId="17" hidden="1">#REF!</definedName>
    <definedName name="Z_893D3CDD_E6EC_4FBE_9F4B_7C063AADDAA3_.wvu.FilterData" localSheetId="19" hidden="1">#REF!</definedName>
    <definedName name="Z_893D3CDD_E6EC_4FBE_9F4B_7C063AADDAA3_.wvu.FilterData" hidden="1">#REF!</definedName>
    <definedName name="Z_893D3CDD_E6EC_4FBE_9F4B_7C063AADDAA3_.wvu.PrintTitles" localSheetId="15" hidden="1">#REF!</definedName>
    <definedName name="Z_893D3CDD_E6EC_4FBE_9F4B_7C063AADDAA3_.wvu.PrintTitles" localSheetId="7" hidden="1">#REF!</definedName>
    <definedName name="Z_893D3CDD_E6EC_4FBE_9F4B_7C063AADDAA3_.wvu.PrintTitles" localSheetId="0" hidden="1">#REF!</definedName>
    <definedName name="Z_893D3CDD_E6EC_4FBE_9F4B_7C063AADDAA3_.wvu.PrintTitles" localSheetId="12" hidden="1">#REF!</definedName>
    <definedName name="Z_893D3CDD_E6EC_4FBE_9F4B_7C063AADDAA3_.wvu.PrintTitles" localSheetId="8" hidden="1">#REF!</definedName>
    <definedName name="Z_893D3CDD_E6EC_4FBE_9F4B_7C063AADDAA3_.wvu.PrintTitles" localSheetId="5" hidden="1">#REF!</definedName>
    <definedName name="Z_893D3CDD_E6EC_4FBE_9F4B_7C063AADDAA3_.wvu.PrintTitles" localSheetId="2" hidden="1">#REF!</definedName>
    <definedName name="Z_893D3CDD_E6EC_4FBE_9F4B_7C063AADDAA3_.wvu.PrintTitles" localSheetId="17" hidden="1">#REF!</definedName>
    <definedName name="Z_893D3CDD_E6EC_4FBE_9F4B_7C063AADDAA3_.wvu.PrintTitles" localSheetId="19" hidden="1">#REF!</definedName>
    <definedName name="Z_893D3CDD_E6EC_4FBE_9F4B_7C063AADDAA3_.wvu.PrintTitles" hidden="1">#REF!</definedName>
    <definedName name="Z_893D3CDD_E6EC_4FBE_9F4B_7C063AADDAA3_.wvu.Rows" localSheetId="15" hidden="1">#REF!</definedName>
    <definedName name="Z_893D3CDD_E6EC_4FBE_9F4B_7C063AADDAA3_.wvu.Rows" localSheetId="7" hidden="1">#REF!</definedName>
    <definedName name="Z_893D3CDD_E6EC_4FBE_9F4B_7C063AADDAA3_.wvu.Rows" localSheetId="0" hidden="1">#REF!</definedName>
    <definedName name="Z_893D3CDD_E6EC_4FBE_9F4B_7C063AADDAA3_.wvu.Rows" localSheetId="12" hidden="1">#REF!</definedName>
    <definedName name="Z_893D3CDD_E6EC_4FBE_9F4B_7C063AADDAA3_.wvu.Rows" localSheetId="8" hidden="1">#REF!</definedName>
    <definedName name="Z_893D3CDD_E6EC_4FBE_9F4B_7C063AADDAA3_.wvu.Rows" localSheetId="5" hidden="1">#REF!</definedName>
    <definedName name="Z_893D3CDD_E6EC_4FBE_9F4B_7C063AADDAA3_.wvu.Rows" localSheetId="2" hidden="1">#REF!</definedName>
    <definedName name="Z_893D3CDD_E6EC_4FBE_9F4B_7C063AADDAA3_.wvu.Rows" localSheetId="17" hidden="1">#REF!</definedName>
    <definedName name="Z_893D3CDD_E6EC_4FBE_9F4B_7C063AADDAA3_.wvu.Rows" localSheetId="19" hidden="1">#REF!</definedName>
    <definedName name="Z_893D3CDD_E6EC_4FBE_9F4B_7C063AADDAA3_.wvu.Rows" hidden="1">#REF!</definedName>
    <definedName name="Z_911FCEE4_2CBF_4A90_9E55_ED72CBEECF9A_.wvu.FilterData" localSheetId="15" hidden="1">#REF!</definedName>
    <definedName name="Z_911FCEE4_2CBF_4A90_9E55_ED72CBEECF9A_.wvu.FilterData" localSheetId="7" hidden="1">#REF!</definedName>
    <definedName name="Z_911FCEE4_2CBF_4A90_9E55_ED72CBEECF9A_.wvu.FilterData" localSheetId="0" hidden="1">#REF!</definedName>
    <definedName name="Z_911FCEE4_2CBF_4A90_9E55_ED72CBEECF9A_.wvu.FilterData" localSheetId="12" hidden="1">#REF!</definedName>
    <definedName name="Z_911FCEE4_2CBF_4A90_9E55_ED72CBEECF9A_.wvu.FilterData" localSheetId="8" hidden="1">#REF!</definedName>
    <definedName name="Z_911FCEE4_2CBF_4A90_9E55_ED72CBEECF9A_.wvu.FilterData" localSheetId="5" hidden="1">#REF!</definedName>
    <definedName name="Z_911FCEE4_2CBF_4A90_9E55_ED72CBEECF9A_.wvu.FilterData" localSheetId="2" hidden="1">#REF!</definedName>
    <definedName name="Z_911FCEE4_2CBF_4A90_9E55_ED72CBEECF9A_.wvu.FilterData" localSheetId="17" hidden="1">#REF!</definedName>
    <definedName name="Z_911FCEE4_2CBF_4A90_9E55_ED72CBEECF9A_.wvu.FilterData" localSheetId="19" hidden="1">#REF!</definedName>
    <definedName name="Z_911FCEE4_2CBF_4A90_9E55_ED72CBEECF9A_.wvu.FilterData" hidden="1">#REF!</definedName>
    <definedName name="Z_C4987C22_A4BC_4088_8093_02A2E532FBED_.wvu.FilterData" localSheetId="15" hidden="1">#REF!</definedName>
    <definedName name="Z_C4987C22_A4BC_4088_8093_02A2E532FBED_.wvu.FilterData" localSheetId="7" hidden="1">#REF!</definedName>
    <definedName name="Z_C4987C22_A4BC_4088_8093_02A2E532FBED_.wvu.FilterData" localSheetId="0" hidden="1">#REF!</definedName>
    <definedName name="Z_C4987C22_A4BC_4088_8093_02A2E532FBED_.wvu.FilterData" localSheetId="12" hidden="1">#REF!</definedName>
    <definedName name="Z_C4987C22_A4BC_4088_8093_02A2E532FBED_.wvu.FilterData" localSheetId="8" hidden="1">#REF!</definedName>
    <definedName name="Z_C4987C22_A4BC_4088_8093_02A2E532FBED_.wvu.FilterData" localSheetId="5" hidden="1">#REF!</definedName>
    <definedName name="Z_C4987C22_A4BC_4088_8093_02A2E532FBED_.wvu.FilterData" localSheetId="2" hidden="1">#REF!</definedName>
    <definedName name="Z_C4987C22_A4BC_4088_8093_02A2E532FBED_.wvu.FilterData" localSheetId="17" hidden="1">#REF!</definedName>
    <definedName name="Z_C4987C22_A4BC_4088_8093_02A2E532FBED_.wvu.FilterData" localSheetId="19" hidden="1">#REF!</definedName>
    <definedName name="Z_C4987C22_A4BC_4088_8093_02A2E532FBED_.wvu.FilterData" hidden="1">#REF!</definedName>
    <definedName name="Z_C4987C22_A4BC_4088_8093_02A2E532FBED_.wvu.PrintTitles" localSheetId="15" hidden="1">#REF!</definedName>
    <definedName name="Z_C4987C22_A4BC_4088_8093_02A2E532FBED_.wvu.PrintTitles" localSheetId="7" hidden="1">#REF!</definedName>
    <definedName name="Z_C4987C22_A4BC_4088_8093_02A2E532FBED_.wvu.PrintTitles" localSheetId="0" hidden="1">#REF!</definedName>
    <definedName name="Z_C4987C22_A4BC_4088_8093_02A2E532FBED_.wvu.PrintTitles" localSheetId="12" hidden="1">#REF!</definedName>
    <definedName name="Z_C4987C22_A4BC_4088_8093_02A2E532FBED_.wvu.PrintTitles" localSheetId="8" hidden="1">#REF!</definedName>
    <definedName name="Z_C4987C22_A4BC_4088_8093_02A2E532FBED_.wvu.PrintTitles" localSheetId="5" hidden="1">#REF!</definedName>
    <definedName name="Z_C4987C22_A4BC_4088_8093_02A2E532FBED_.wvu.PrintTitles" localSheetId="2" hidden="1">#REF!</definedName>
    <definedName name="Z_C4987C22_A4BC_4088_8093_02A2E532FBED_.wvu.PrintTitles" localSheetId="17" hidden="1">#REF!</definedName>
    <definedName name="Z_C4987C22_A4BC_4088_8093_02A2E532FBED_.wvu.PrintTitles" localSheetId="19" hidden="1">#REF!</definedName>
    <definedName name="Z_C4987C22_A4BC_4088_8093_02A2E532FBED_.wvu.PrintTitles" hidden="1">#REF!</definedName>
    <definedName name="Z_D83484F2_3603_4615_A497_324BAFF2F5AC_.wvu.Rows" localSheetId="15" hidden="1">#REF!,#REF!</definedName>
    <definedName name="Z_D83484F2_3603_4615_A497_324BAFF2F5AC_.wvu.Rows" localSheetId="7" hidden="1">#REF!,#REF!</definedName>
    <definedName name="Z_D83484F2_3603_4615_A497_324BAFF2F5AC_.wvu.Rows" localSheetId="0" hidden="1">#REF!,#REF!</definedName>
    <definedName name="Z_D83484F2_3603_4615_A497_324BAFF2F5AC_.wvu.Rows" localSheetId="12" hidden="1">#REF!,#REF!</definedName>
    <definedName name="Z_D83484F2_3603_4615_A497_324BAFF2F5AC_.wvu.Rows" localSheetId="8" hidden="1">#REF!,#REF!</definedName>
    <definedName name="Z_D83484F2_3603_4615_A497_324BAFF2F5AC_.wvu.Rows" localSheetId="4" hidden="1">#REF!,#REF!</definedName>
    <definedName name="Z_D83484F2_3603_4615_A497_324BAFF2F5AC_.wvu.Rows" localSheetId="5" hidden="1">#REF!,#REF!</definedName>
    <definedName name="Z_D83484F2_3603_4615_A497_324BAFF2F5AC_.wvu.Rows" localSheetId="2" hidden="1">#REF!,#REF!</definedName>
    <definedName name="Z_D83484F2_3603_4615_A497_324BAFF2F5AC_.wvu.Rows" localSheetId="17" hidden="1">#REF!,#REF!</definedName>
    <definedName name="Z_D83484F2_3603_4615_A497_324BAFF2F5AC_.wvu.Rows" localSheetId="19" hidden="1">#REF!,#REF!</definedName>
    <definedName name="Z_D83484F2_3603_4615_A497_324BAFF2F5AC_.wvu.Rows" hidden="1">#REF!,#REF!</definedName>
    <definedName name="Z_F8A287BF_980C_4986_B08C_54EAB9AA17CB_.wvu.FilterData" localSheetId="15" hidden="1">#REF!</definedName>
    <definedName name="Z_F8A287BF_980C_4986_B08C_54EAB9AA17CB_.wvu.FilterData" localSheetId="7" hidden="1">#REF!</definedName>
    <definedName name="Z_F8A287BF_980C_4986_B08C_54EAB9AA17CB_.wvu.FilterData" localSheetId="0" hidden="1">#REF!</definedName>
    <definedName name="Z_F8A287BF_980C_4986_B08C_54EAB9AA17CB_.wvu.FilterData" localSheetId="12" hidden="1">#REF!</definedName>
    <definedName name="Z_F8A287BF_980C_4986_B08C_54EAB9AA17CB_.wvu.FilterData" localSheetId="8" hidden="1">#REF!</definedName>
    <definedName name="Z_F8A287BF_980C_4986_B08C_54EAB9AA17CB_.wvu.FilterData" localSheetId="5" hidden="1">#REF!</definedName>
    <definedName name="Z_F8A287BF_980C_4986_B08C_54EAB9AA17CB_.wvu.FilterData" localSheetId="2" hidden="1">#REF!</definedName>
    <definedName name="Z_F8A287BF_980C_4986_B08C_54EAB9AA17CB_.wvu.FilterData" localSheetId="17" hidden="1">#REF!</definedName>
    <definedName name="Z_F8A287BF_980C_4986_B08C_54EAB9AA17CB_.wvu.FilterData" localSheetId="19" hidden="1">#REF!</definedName>
    <definedName name="Z_F8A287BF_980C_4986_B08C_54EAB9AA17CB_.wvu.FilterData" hidden="1">#REF!</definedName>
    <definedName name="Z_F8A287BF_980C_4986_B08C_54EAB9AA17CB_.wvu.PrintTitles" localSheetId="15" hidden="1">#REF!</definedName>
    <definedName name="Z_F8A287BF_980C_4986_B08C_54EAB9AA17CB_.wvu.PrintTitles" localSheetId="7" hidden="1">#REF!</definedName>
    <definedName name="Z_F8A287BF_980C_4986_B08C_54EAB9AA17CB_.wvu.PrintTitles" localSheetId="0" hidden="1">#REF!</definedName>
    <definedName name="Z_F8A287BF_980C_4986_B08C_54EAB9AA17CB_.wvu.PrintTitles" localSheetId="12" hidden="1">#REF!</definedName>
    <definedName name="Z_F8A287BF_980C_4986_B08C_54EAB9AA17CB_.wvu.PrintTitles" localSheetId="8" hidden="1">#REF!</definedName>
    <definedName name="Z_F8A287BF_980C_4986_B08C_54EAB9AA17CB_.wvu.PrintTitles" localSheetId="5" hidden="1">#REF!</definedName>
    <definedName name="Z_F8A287BF_980C_4986_B08C_54EAB9AA17CB_.wvu.PrintTitles" localSheetId="2" hidden="1">#REF!</definedName>
    <definedName name="Z_F8A287BF_980C_4986_B08C_54EAB9AA17CB_.wvu.PrintTitles" localSheetId="17" hidden="1">#REF!</definedName>
    <definedName name="Z_F8A287BF_980C_4986_B08C_54EAB9AA17CB_.wvu.PrintTitles" localSheetId="19" hidden="1">#REF!</definedName>
    <definedName name="Z_F8A287BF_980C_4986_B08C_54EAB9AA17CB_.wvu.PrintTitles" hidden="1">#REF!</definedName>
    <definedName name="zhguz" localSheetId="19" hidden="1">{"DCF","UPSIDE CASE",FALSE,"Sheet1";"DCF","BASE CASE",FALSE,"Sheet1";"DCF","DOWNSIDE CASE",FALSE,"Sheet1"}</definedName>
    <definedName name="zhguz" hidden="1">{"DCF","UPSIDE CASE",FALSE,"Sheet1";"DCF","BASE CASE",FALSE,"Sheet1";"DCF","DOWNSIDE CASE",FALSE,"Sheet1"}</definedName>
    <definedName name="zPack" localSheetId="12"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8"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4"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2"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localSheetId="19"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tax" localSheetId="12"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8"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4"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2"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localSheetId="19"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ZZ" hidden="1">'[7]97Budget'!#REF!</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P22" i="9" l="1"/>
  <c r="P14" i="9"/>
  <c r="AD337" i="40" l="1"/>
  <c r="AC337" i="40"/>
  <c r="AB337" i="40"/>
  <c r="AA337" i="40"/>
  <c r="Z337" i="40"/>
  <c r="Y337" i="40"/>
  <c r="X337" i="40"/>
  <c r="W337" i="40"/>
  <c r="V337" i="40"/>
  <c r="U337" i="40"/>
  <c r="T337" i="40"/>
  <c r="S337" i="40"/>
  <c r="AD291" i="40"/>
  <c r="AC291" i="40"/>
  <c r="AB291" i="40"/>
  <c r="AA291" i="40"/>
  <c r="Z291" i="40"/>
  <c r="Y291" i="40"/>
  <c r="X291" i="40"/>
  <c r="W291" i="40"/>
  <c r="V291" i="40"/>
  <c r="U291" i="40"/>
  <c r="T291" i="40"/>
  <c r="S291" i="40"/>
  <c r="AD245" i="40"/>
  <c r="AC245" i="40"/>
  <c r="AB245" i="40"/>
  <c r="AA245" i="40"/>
  <c r="Z245" i="40"/>
  <c r="Y245" i="40"/>
  <c r="X245" i="40"/>
  <c r="W245" i="40"/>
  <c r="V245" i="40"/>
  <c r="U245" i="40"/>
  <c r="T245" i="40"/>
  <c r="S245" i="40"/>
  <c r="AD199" i="40"/>
  <c r="AC199" i="40"/>
  <c r="AB199" i="40"/>
  <c r="AA199" i="40"/>
  <c r="Z199" i="40"/>
  <c r="Y199" i="40"/>
  <c r="X199" i="40"/>
  <c r="W199" i="40"/>
  <c r="V199" i="40"/>
  <c r="U199" i="40"/>
  <c r="T199" i="40"/>
  <c r="S199" i="40"/>
  <c r="AD153" i="40"/>
  <c r="AC153" i="40"/>
  <c r="AB153" i="40"/>
  <c r="AA153" i="40"/>
  <c r="Z153" i="40"/>
  <c r="Y153" i="40"/>
  <c r="X153" i="40"/>
  <c r="W153" i="40"/>
  <c r="V153" i="40"/>
  <c r="U153" i="40"/>
  <c r="T153" i="40"/>
  <c r="S153" i="40"/>
  <c r="O47" i="45" a="1"/>
  <c r="O47" i="45" s="1"/>
  <c r="O46" i="45" a="1"/>
  <c r="O46" i="45" s="1"/>
  <c r="O45" i="45" a="1"/>
  <c r="O45" i="45" s="1"/>
  <c r="G142" i="71"/>
  <c r="H142" i="71"/>
  <c r="I142" i="71"/>
  <c r="J142" i="71"/>
  <c r="K142" i="71"/>
  <c r="L142" i="71"/>
  <c r="M142" i="71"/>
  <c r="N142" i="71"/>
  <c r="O142" i="71"/>
  <c r="P142" i="71"/>
  <c r="G149" i="71"/>
  <c r="P148" i="71"/>
  <c r="O148" i="71"/>
  <c r="N148" i="71"/>
  <c r="M148" i="71"/>
  <c r="L148" i="71"/>
  <c r="K148" i="71"/>
  <c r="J148" i="71"/>
  <c r="I148" i="71"/>
  <c r="H148" i="71"/>
  <c r="G148" i="71"/>
  <c r="P146" i="71"/>
  <c r="O146" i="71"/>
  <c r="N146" i="71"/>
  <c r="M146" i="71"/>
  <c r="L146" i="71"/>
  <c r="K146" i="71"/>
  <c r="J146" i="71"/>
  <c r="I146" i="71"/>
  <c r="H146" i="71"/>
  <c r="G146" i="71"/>
  <c r="P143" i="71"/>
  <c r="O143" i="71"/>
  <c r="N143" i="71"/>
  <c r="M143" i="71"/>
  <c r="L143" i="71"/>
  <c r="K143" i="71"/>
  <c r="J143" i="71"/>
  <c r="I143" i="71"/>
  <c r="H143" i="71"/>
  <c r="G143" i="71"/>
  <c r="P141" i="71"/>
  <c r="O141" i="71"/>
  <c r="N141" i="71"/>
  <c r="M141" i="71"/>
  <c r="L141" i="71"/>
  <c r="K141" i="71"/>
  <c r="J141" i="71"/>
  <c r="I141" i="71"/>
  <c r="H141" i="71"/>
  <c r="G141" i="71"/>
  <c r="P140" i="71"/>
  <c r="O140" i="71"/>
  <c r="N140" i="71"/>
  <c r="M140" i="71"/>
  <c r="L140" i="71"/>
  <c r="K140" i="71"/>
  <c r="J140" i="71"/>
  <c r="I140" i="71"/>
  <c r="H140" i="71"/>
  <c r="G140" i="71"/>
  <c r="P138" i="71"/>
  <c r="O138" i="71"/>
  <c r="N138" i="71"/>
  <c r="M138" i="71"/>
  <c r="L138" i="71"/>
  <c r="K138" i="71"/>
  <c r="J138" i="71"/>
  <c r="I138" i="71"/>
  <c r="H138" i="71"/>
  <c r="G138" i="71"/>
  <c r="P137" i="71"/>
  <c r="O137" i="71"/>
  <c r="N137" i="71"/>
  <c r="M137" i="71"/>
  <c r="L137" i="71"/>
  <c r="K137" i="71"/>
  <c r="J137" i="71"/>
  <c r="I137" i="71"/>
  <c r="H137" i="71"/>
  <c r="G137" i="71"/>
  <c r="P136" i="71"/>
  <c r="O136" i="71"/>
  <c r="N136" i="71"/>
  <c r="M136" i="71"/>
  <c r="L136" i="71"/>
  <c r="K136" i="71"/>
  <c r="J136" i="71"/>
  <c r="I136" i="71"/>
  <c r="H136" i="71"/>
  <c r="G136" i="71"/>
  <c r="P133" i="71"/>
  <c r="O133" i="71"/>
  <c r="N133" i="71"/>
  <c r="M133" i="71"/>
  <c r="L133" i="71"/>
  <c r="K133" i="71"/>
  <c r="J133" i="71"/>
  <c r="I133" i="71"/>
  <c r="H133" i="71"/>
  <c r="G133" i="71"/>
  <c r="P132" i="71"/>
  <c r="O132" i="71"/>
  <c r="N132" i="71"/>
  <c r="M132" i="71"/>
  <c r="L132" i="71"/>
  <c r="K132" i="71"/>
  <c r="J132" i="71"/>
  <c r="I132" i="71"/>
  <c r="H132" i="71"/>
  <c r="G132" i="71"/>
  <c r="P131" i="71"/>
  <c r="O131" i="71"/>
  <c r="N131" i="71"/>
  <c r="M131" i="71"/>
  <c r="L131" i="71"/>
  <c r="K131" i="71"/>
  <c r="J131" i="71"/>
  <c r="I131" i="71"/>
  <c r="H131" i="71"/>
  <c r="G131" i="71"/>
  <c r="P129" i="71"/>
  <c r="O129" i="71"/>
  <c r="N129" i="71"/>
  <c r="M129" i="71"/>
  <c r="L129" i="71"/>
  <c r="K129" i="71"/>
  <c r="J129" i="71"/>
  <c r="I129" i="71"/>
  <c r="H129" i="71"/>
  <c r="G129" i="71"/>
  <c r="P128" i="71"/>
  <c r="O128" i="71"/>
  <c r="N128" i="71"/>
  <c r="M128" i="71"/>
  <c r="L128" i="71"/>
  <c r="K128" i="71"/>
  <c r="J128" i="71"/>
  <c r="I128" i="71"/>
  <c r="H128" i="71"/>
  <c r="G128" i="71"/>
  <c r="P126" i="71"/>
  <c r="O126" i="71"/>
  <c r="N126" i="71"/>
  <c r="M126" i="71"/>
  <c r="L126" i="71"/>
  <c r="K126" i="71"/>
  <c r="J126" i="71"/>
  <c r="I126" i="71"/>
  <c r="H126" i="71"/>
  <c r="G126" i="71"/>
  <c r="P116" i="71"/>
  <c r="O116" i="71"/>
  <c r="N116" i="71"/>
  <c r="M116" i="71"/>
  <c r="L116" i="71"/>
  <c r="K116" i="71"/>
  <c r="J116" i="71"/>
  <c r="I116" i="71"/>
  <c r="H116" i="71"/>
  <c r="G116" i="71"/>
  <c r="P115" i="71"/>
  <c r="O115" i="71"/>
  <c r="N115" i="71"/>
  <c r="M115" i="71"/>
  <c r="L115" i="71"/>
  <c r="K115" i="71"/>
  <c r="J115" i="71"/>
  <c r="I115" i="71"/>
  <c r="H115" i="71"/>
  <c r="G115" i="71"/>
  <c r="P112" i="71"/>
  <c r="O112" i="71"/>
  <c r="N112" i="71"/>
  <c r="M112" i="71"/>
  <c r="L112" i="71"/>
  <c r="K112" i="71"/>
  <c r="J112" i="71"/>
  <c r="I112" i="71"/>
  <c r="H112" i="71"/>
  <c r="G112" i="71"/>
  <c r="P111" i="71"/>
  <c r="O111" i="71"/>
  <c r="N111" i="71"/>
  <c r="M111" i="71"/>
  <c r="L111" i="71"/>
  <c r="K111" i="71"/>
  <c r="J111" i="71"/>
  <c r="I111" i="71"/>
  <c r="H111" i="71"/>
  <c r="G111" i="71"/>
  <c r="P110" i="71"/>
  <c r="O110" i="71"/>
  <c r="N110" i="71"/>
  <c r="M110" i="71"/>
  <c r="L110" i="71"/>
  <c r="K110" i="71"/>
  <c r="J110" i="71"/>
  <c r="I110" i="71"/>
  <c r="H110" i="71"/>
  <c r="G110" i="71"/>
  <c r="P109" i="71"/>
  <c r="O109" i="71"/>
  <c r="N109" i="71"/>
  <c r="M109" i="71"/>
  <c r="L109" i="71"/>
  <c r="K109" i="71"/>
  <c r="J109" i="71"/>
  <c r="I109" i="71"/>
  <c r="H109" i="71"/>
  <c r="G109" i="71"/>
  <c r="P108" i="71"/>
  <c r="O108" i="71"/>
  <c r="N108" i="71"/>
  <c r="M108" i="71"/>
  <c r="L108" i="71"/>
  <c r="K108" i="71"/>
  <c r="J108" i="71"/>
  <c r="I108" i="71"/>
  <c r="H108" i="71"/>
  <c r="G108" i="71"/>
  <c r="P107" i="71"/>
  <c r="O107" i="71"/>
  <c r="N107" i="71"/>
  <c r="M107" i="71"/>
  <c r="L107" i="71"/>
  <c r="K107" i="71"/>
  <c r="J107" i="71"/>
  <c r="I107" i="71"/>
  <c r="H107" i="71"/>
  <c r="G107" i="71"/>
  <c r="P106" i="71"/>
  <c r="O106" i="71"/>
  <c r="N106" i="71"/>
  <c r="M106" i="71"/>
  <c r="L106" i="71"/>
  <c r="K106" i="71"/>
  <c r="J106" i="71"/>
  <c r="I106" i="71"/>
  <c r="H106" i="71"/>
  <c r="G106" i="71"/>
  <c r="P105" i="71"/>
  <c r="O105" i="71"/>
  <c r="N105" i="71"/>
  <c r="M105" i="71"/>
  <c r="L105" i="71"/>
  <c r="K105" i="71"/>
  <c r="J105" i="71"/>
  <c r="I105" i="71"/>
  <c r="H105" i="71"/>
  <c r="G105" i="71"/>
  <c r="P101" i="71"/>
  <c r="O101" i="71"/>
  <c r="N101" i="71"/>
  <c r="M101" i="71"/>
  <c r="L101" i="71"/>
  <c r="K101" i="71"/>
  <c r="J101" i="71"/>
  <c r="I101" i="71"/>
  <c r="H101" i="71"/>
  <c r="G101" i="71"/>
  <c r="P100" i="71"/>
  <c r="O100" i="71"/>
  <c r="N100" i="71"/>
  <c r="M100" i="71"/>
  <c r="L100" i="71"/>
  <c r="K100" i="71"/>
  <c r="J100" i="71"/>
  <c r="I100" i="71"/>
  <c r="H100" i="71"/>
  <c r="G100" i="71"/>
  <c r="P99" i="71"/>
  <c r="O99" i="71"/>
  <c r="N99" i="71"/>
  <c r="M99" i="71"/>
  <c r="L99" i="71"/>
  <c r="K99" i="71"/>
  <c r="J99" i="71"/>
  <c r="I99" i="71"/>
  <c r="H99" i="71"/>
  <c r="G99" i="71"/>
  <c r="P98" i="71"/>
  <c r="O98" i="71"/>
  <c r="N98" i="71"/>
  <c r="M98" i="71"/>
  <c r="L98" i="71"/>
  <c r="K98" i="71"/>
  <c r="J98" i="71"/>
  <c r="I98" i="71"/>
  <c r="H98" i="71"/>
  <c r="G98" i="71"/>
  <c r="P97" i="71"/>
  <c r="O97" i="71"/>
  <c r="N97" i="71"/>
  <c r="M97" i="71"/>
  <c r="L97" i="71"/>
  <c r="K97" i="71"/>
  <c r="J97" i="71"/>
  <c r="I97" i="71"/>
  <c r="H97" i="71"/>
  <c r="G97" i="71"/>
  <c r="P96" i="71"/>
  <c r="O96" i="71"/>
  <c r="N96" i="71"/>
  <c r="M96" i="71"/>
  <c r="L96" i="71"/>
  <c r="K96" i="71"/>
  <c r="J96" i="71"/>
  <c r="I96" i="71"/>
  <c r="H96" i="71"/>
  <c r="G96" i="71"/>
  <c r="P94" i="71"/>
  <c r="O94" i="71"/>
  <c r="N94" i="71"/>
  <c r="M94" i="71"/>
  <c r="L94" i="71"/>
  <c r="K94" i="71"/>
  <c r="J94" i="71"/>
  <c r="I94" i="71"/>
  <c r="H94" i="71"/>
  <c r="G94" i="71"/>
  <c r="P93" i="71"/>
  <c r="O93" i="71"/>
  <c r="N93" i="71"/>
  <c r="M93" i="71"/>
  <c r="L93" i="71"/>
  <c r="K93" i="71"/>
  <c r="J93" i="71"/>
  <c r="I93" i="71"/>
  <c r="H93" i="71"/>
  <c r="G93" i="71"/>
  <c r="P88" i="71"/>
  <c r="O88" i="71"/>
  <c r="N88" i="71"/>
  <c r="M88" i="71"/>
  <c r="L88" i="71"/>
  <c r="K88" i="71"/>
  <c r="J88" i="71"/>
  <c r="I88" i="71"/>
  <c r="H88" i="71"/>
  <c r="G88" i="71"/>
  <c r="P87" i="71"/>
  <c r="O87" i="71"/>
  <c r="N87" i="71"/>
  <c r="M87" i="71"/>
  <c r="L87" i="71"/>
  <c r="K87" i="71"/>
  <c r="J87" i="71"/>
  <c r="I87" i="71"/>
  <c r="H87" i="71"/>
  <c r="G87" i="71"/>
  <c r="P86" i="71"/>
  <c r="O86" i="71"/>
  <c r="N86" i="71"/>
  <c r="M86" i="71"/>
  <c r="L86" i="71"/>
  <c r="K86" i="71"/>
  <c r="J86" i="71"/>
  <c r="I86" i="71"/>
  <c r="H86" i="71"/>
  <c r="G86" i="71"/>
  <c r="P85" i="71"/>
  <c r="O85" i="71"/>
  <c r="N85" i="71"/>
  <c r="M85" i="71"/>
  <c r="L85" i="71"/>
  <c r="K85" i="71"/>
  <c r="J85" i="71"/>
  <c r="I85" i="71"/>
  <c r="H85" i="71"/>
  <c r="G85" i="71"/>
  <c r="P84" i="71"/>
  <c r="O84" i="71"/>
  <c r="N84" i="71"/>
  <c r="M84" i="71"/>
  <c r="L84" i="71"/>
  <c r="K84" i="71"/>
  <c r="J84" i="71"/>
  <c r="I84" i="71"/>
  <c r="H84" i="71"/>
  <c r="G84" i="71"/>
  <c r="P83" i="71"/>
  <c r="O83" i="71"/>
  <c r="N83" i="71"/>
  <c r="M83" i="71"/>
  <c r="L83" i="71"/>
  <c r="K83" i="71"/>
  <c r="J83" i="71"/>
  <c r="I83" i="71"/>
  <c r="H83" i="71"/>
  <c r="G83" i="71"/>
  <c r="P82" i="71"/>
  <c r="O82" i="71"/>
  <c r="N82" i="71"/>
  <c r="M82" i="71"/>
  <c r="L82" i="71"/>
  <c r="K82" i="71"/>
  <c r="J82" i="71"/>
  <c r="I82" i="71"/>
  <c r="H82" i="71"/>
  <c r="G82" i="71"/>
  <c r="P81" i="71"/>
  <c r="O81" i="71"/>
  <c r="N81" i="71"/>
  <c r="M81" i="71"/>
  <c r="L81" i="71"/>
  <c r="K81" i="71"/>
  <c r="J81" i="71"/>
  <c r="I81" i="71"/>
  <c r="H81" i="71"/>
  <c r="G81" i="71"/>
  <c r="P80" i="71"/>
  <c r="O80" i="71"/>
  <c r="N80" i="71"/>
  <c r="M80" i="71"/>
  <c r="L80" i="71"/>
  <c r="K80" i="71"/>
  <c r="J80" i="71"/>
  <c r="I80" i="71"/>
  <c r="H80" i="71"/>
  <c r="G80" i="71"/>
  <c r="P76" i="71"/>
  <c r="O76" i="71"/>
  <c r="N76" i="71"/>
  <c r="M76" i="71"/>
  <c r="L76" i="71"/>
  <c r="K76" i="71"/>
  <c r="J76" i="71"/>
  <c r="I76" i="71"/>
  <c r="H76" i="71"/>
  <c r="G76" i="71"/>
  <c r="P75" i="71"/>
  <c r="O75" i="71"/>
  <c r="N75" i="71"/>
  <c r="M75" i="71"/>
  <c r="L75" i="71"/>
  <c r="K75" i="71"/>
  <c r="J75" i="71"/>
  <c r="I75" i="71"/>
  <c r="H75" i="71"/>
  <c r="G75" i="71"/>
  <c r="P74" i="71"/>
  <c r="O74" i="71"/>
  <c r="N74" i="71"/>
  <c r="M74" i="71"/>
  <c r="L74" i="71"/>
  <c r="K74" i="71"/>
  <c r="J74" i="71"/>
  <c r="I74" i="71"/>
  <c r="H74" i="71"/>
  <c r="G74" i="71"/>
  <c r="P73" i="71"/>
  <c r="O73" i="71"/>
  <c r="N73" i="71"/>
  <c r="M73" i="71"/>
  <c r="L73" i="71"/>
  <c r="K73" i="71"/>
  <c r="J73" i="71"/>
  <c r="I73" i="71"/>
  <c r="H73" i="71"/>
  <c r="G73" i="71"/>
  <c r="P71" i="71"/>
  <c r="O71" i="71"/>
  <c r="N71" i="71"/>
  <c r="M71" i="71"/>
  <c r="L71" i="71"/>
  <c r="K71" i="71"/>
  <c r="J71" i="71"/>
  <c r="I71" i="71"/>
  <c r="H71" i="71"/>
  <c r="G71" i="71"/>
  <c r="P70" i="71"/>
  <c r="O70" i="71"/>
  <c r="N70" i="71"/>
  <c r="M70" i="71"/>
  <c r="L70" i="71"/>
  <c r="K70" i="71"/>
  <c r="J70" i="71"/>
  <c r="I70" i="71"/>
  <c r="H70" i="71"/>
  <c r="G70" i="71"/>
  <c r="P69" i="71"/>
  <c r="O69" i="71"/>
  <c r="N69" i="71"/>
  <c r="M69" i="71"/>
  <c r="L69" i="71"/>
  <c r="K69" i="71"/>
  <c r="J69" i="71"/>
  <c r="I69" i="71"/>
  <c r="H69" i="71"/>
  <c r="G69" i="71"/>
  <c r="P58" i="71"/>
  <c r="O58" i="71"/>
  <c r="N58" i="71"/>
  <c r="M58" i="71"/>
  <c r="L58" i="71"/>
  <c r="K58" i="71"/>
  <c r="J58" i="71"/>
  <c r="I58" i="71"/>
  <c r="H58" i="71"/>
  <c r="G58" i="71"/>
  <c r="P57" i="71"/>
  <c r="O57" i="71"/>
  <c r="N57" i="71"/>
  <c r="M57" i="71"/>
  <c r="L57" i="71"/>
  <c r="K57" i="71"/>
  <c r="J57" i="71"/>
  <c r="I57" i="71"/>
  <c r="H57" i="71"/>
  <c r="G57" i="71"/>
  <c r="P52" i="71"/>
  <c r="O52" i="71"/>
  <c r="N52" i="71"/>
  <c r="M52" i="71"/>
  <c r="L52" i="71"/>
  <c r="K52" i="71"/>
  <c r="J52" i="71"/>
  <c r="I52" i="71"/>
  <c r="H52" i="71"/>
  <c r="G52" i="71"/>
  <c r="P50" i="71"/>
  <c r="O50" i="71"/>
  <c r="N50" i="71"/>
  <c r="M50" i="71"/>
  <c r="L50" i="71"/>
  <c r="K50" i="71"/>
  <c r="J50" i="71"/>
  <c r="P49" i="71"/>
  <c r="O49" i="71"/>
  <c r="N49" i="71"/>
  <c r="M49" i="71"/>
  <c r="L49" i="71"/>
  <c r="K49" i="71"/>
  <c r="J49" i="71"/>
  <c r="P44" i="71"/>
  <c r="O44" i="71"/>
  <c r="N44" i="71"/>
  <c r="M44" i="71"/>
  <c r="L44" i="71"/>
  <c r="K44" i="71"/>
  <c r="J44" i="71"/>
  <c r="I44" i="71"/>
  <c r="H44" i="71"/>
  <c r="G44" i="71"/>
  <c r="Z166" i="3"/>
  <c r="Y166" i="3"/>
  <c r="X166" i="3"/>
  <c r="W166" i="3"/>
  <c r="T355" i="40"/>
  <c r="U355" i="40"/>
  <c r="R28" i="34"/>
  <c r="S26" i="34" s="1"/>
  <c r="R26" i="34"/>
  <c r="Q26" i="34"/>
  <c r="O32" i="12"/>
  <c r="V166" i="3"/>
  <c r="F34" i="49"/>
  <c r="N29" i="12" s="1"/>
  <c r="F30" i="49"/>
  <c r="N18" i="12" s="1"/>
  <c r="N19" i="12" s="1"/>
  <c r="F24" i="49"/>
  <c r="N16" i="12" s="1"/>
  <c r="F17" i="49"/>
  <c r="N15" i="12" s="1"/>
  <c r="N14" i="12"/>
  <c r="N22" i="12" s="1"/>
  <c r="F34" i="69"/>
  <c r="F33" i="69"/>
  <c r="F26" i="69"/>
  <c r="F21" i="69"/>
  <c r="Y28" i="69"/>
  <c r="W28" i="69"/>
  <c r="E32" i="53"/>
  <c r="Z36" i="52"/>
  <c r="Y36" i="52"/>
  <c r="X36" i="52"/>
  <c r="R86" i="52"/>
  <c r="C10" i="69"/>
  <c r="C9" i="69"/>
  <c r="C8" i="69"/>
  <c r="C7" i="69"/>
  <c r="I32" i="60"/>
  <c r="O28" i="60"/>
  <c r="M28" i="60"/>
  <c r="K28" i="60"/>
  <c r="J28" i="60"/>
  <c r="H28" i="60"/>
  <c r="G28" i="60"/>
  <c r="E28" i="60"/>
  <c r="D28" i="60"/>
  <c r="C28" i="60"/>
  <c r="O27" i="60"/>
  <c r="M27" i="60"/>
  <c r="K27" i="60"/>
  <c r="J27" i="60"/>
  <c r="H27" i="60"/>
  <c r="G27" i="60"/>
  <c r="E27" i="60"/>
  <c r="D27" i="60"/>
  <c r="C27" i="60"/>
  <c r="O26" i="60"/>
  <c r="M26" i="60"/>
  <c r="K26" i="60"/>
  <c r="J26" i="60"/>
  <c r="H26" i="60"/>
  <c r="G26" i="60"/>
  <c r="E26" i="60"/>
  <c r="D26" i="60"/>
  <c r="C26" i="60"/>
  <c r="O25" i="60"/>
  <c r="M25" i="60"/>
  <c r="K25" i="60"/>
  <c r="J25" i="60"/>
  <c r="H25" i="60"/>
  <c r="G25" i="60"/>
  <c r="E25" i="60"/>
  <c r="D25" i="60"/>
  <c r="C25" i="60"/>
  <c r="O24" i="60"/>
  <c r="M24" i="60"/>
  <c r="K24" i="60"/>
  <c r="J24" i="60"/>
  <c r="H24" i="60"/>
  <c r="G24" i="60"/>
  <c r="E24" i="60"/>
  <c r="D24" i="60"/>
  <c r="C24" i="60"/>
  <c r="O23" i="60"/>
  <c r="M23" i="60"/>
  <c r="K23" i="60"/>
  <c r="J23" i="60"/>
  <c r="H23" i="60"/>
  <c r="G23" i="60"/>
  <c r="E23" i="60"/>
  <c r="D23" i="60"/>
  <c r="C23" i="60"/>
  <c r="O22" i="60"/>
  <c r="M22" i="60"/>
  <c r="K22" i="60"/>
  <c r="J22" i="60"/>
  <c r="H22" i="60"/>
  <c r="G22" i="60"/>
  <c r="E22" i="60"/>
  <c r="D22" i="60"/>
  <c r="C22" i="60"/>
  <c r="O21" i="60"/>
  <c r="M21" i="60"/>
  <c r="K21" i="60"/>
  <c r="J21" i="60"/>
  <c r="H21" i="60"/>
  <c r="G21" i="60"/>
  <c r="E21" i="60"/>
  <c r="D21" i="60"/>
  <c r="C21" i="60"/>
  <c r="O20" i="60"/>
  <c r="M20" i="60"/>
  <c r="K20" i="60"/>
  <c r="J20" i="60"/>
  <c r="H20" i="60"/>
  <c r="G20" i="60"/>
  <c r="E20" i="60"/>
  <c r="D20" i="60"/>
  <c r="C20" i="60"/>
  <c r="O19" i="60"/>
  <c r="M19" i="60"/>
  <c r="K19" i="60"/>
  <c r="J19" i="60"/>
  <c r="H19" i="60"/>
  <c r="G19" i="60"/>
  <c r="E19" i="60"/>
  <c r="D19" i="60"/>
  <c r="C19" i="60"/>
  <c r="O18" i="60"/>
  <c r="M18" i="60"/>
  <c r="K18" i="60"/>
  <c r="J18" i="60"/>
  <c r="H18" i="60"/>
  <c r="G18" i="60"/>
  <c r="E18" i="60"/>
  <c r="D18" i="60"/>
  <c r="C18" i="60"/>
  <c r="O17" i="60"/>
  <c r="M17" i="60"/>
  <c r="K17" i="60"/>
  <c r="J17" i="60"/>
  <c r="H17" i="60"/>
  <c r="G17" i="60"/>
  <c r="E17" i="60"/>
  <c r="D17" i="60"/>
  <c r="C17" i="60"/>
  <c r="O16" i="60"/>
  <c r="M16" i="60"/>
  <c r="K16" i="60"/>
  <c r="J16" i="60"/>
  <c r="H16" i="60"/>
  <c r="G16" i="60"/>
  <c r="E16" i="60"/>
  <c r="D16" i="60"/>
  <c r="C16" i="60"/>
  <c r="O15" i="60"/>
  <c r="M15" i="60"/>
  <c r="K15" i="60"/>
  <c r="J15" i="60"/>
  <c r="H15" i="60"/>
  <c r="G15" i="60"/>
  <c r="E15" i="60"/>
  <c r="D15" i="60"/>
  <c r="C15" i="60"/>
  <c r="O14" i="60"/>
  <c r="M14" i="60"/>
  <c r="K14" i="60"/>
  <c r="J14" i="60"/>
  <c r="H14" i="60"/>
  <c r="G14" i="60"/>
  <c r="E14" i="60"/>
  <c r="D14" i="60"/>
  <c r="C14" i="60"/>
  <c r="O13" i="60"/>
  <c r="M13" i="60"/>
  <c r="K13" i="60"/>
  <c r="J13" i="60"/>
  <c r="H13" i="60"/>
  <c r="H33" i="60" s="1"/>
  <c r="G13" i="60"/>
  <c r="E13" i="60"/>
  <c r="D13" i="60"/>
  <c r="C13" i="60"/>
  <c r="O12" i="60"/>
  <c r="M12" i="60"/>
  <c r="K12" i="60"/>
  <c r="K31" i="60" s="1"/>
  <c r="J12" i="60"/>
  <c r="J31" i="60" s="1"/>
  <c r="H12" i="60"/>
  <c r="G12" i="60"/>
  <c r="E12" i="60"/>
  <c r="D12" i="60"/>
  <c r="C12" i="60"/>
  <c r="O11" i="60"/>
  <c r="M11" i="60"/>
  <c r="K11" i="60"/>
  <c r="J11" i="60"/>
  <c r="H11" i="60"/>
  <c r="G11" i="60"/>
  <c r="E11" i="60"/>
  <c r="D11" i="60"/>
  <c r="C11" i="60"/>
  <c r="O10" i="60"/>
  <c r="O33" i="60" s="1"/>
  <c r="M10" i="60"/>
  <c r="M32" i="60" s="1"/>
  <c r="K10" i="60"/>
  <c r="K32" i="60" s="1"/>
  <c r="J10" i="60"/>
  <c r="J32" i="60" s="1"/>
  <c r="H10" i="60"/>
  <c r="H31" i="60" s="1"/>
  <c r="G10" i="60"/>
  <c r="G30" i="60" s="1"/>
  <c r="E10" i="60"/>
  <c r="D10" i="60"/>
  <c r="C10" i="60"/>
  <c r="O9" i="60"/>
  <c r="M9" i="60"/>
  <c r="K9" i="60"/>
  <c r="J9" i="60"/>
  <c r="H9" i="60"/>
  <c r="G9" i="60"/>
  <c r="E9" i="60"/>
  <c r="D9" i="60"/>
  <c r="C9" i="60"/>
  <c r="O8" i="60"/>
  <c r="M8" i="60"/>
  <c r="K8" i="60"/>
  <c r="J8" i="60"/>
  <c r="H8" i="60"/>
  <c r="G8" i="60"/>
  <c r="E8" i="60"/>
  <c r="D8" i="60"/>
  <c r="C8" i="60"/>
  <c r="O7" i="60"/>
  <c r="M7" i="60"/>
  <c r="K7" i="60"/>
  <c r="J7" i="60"/>
  <c r="H7" i="60"/>
  <c r="G7" i="60"/>
  <c r="E7" i="60"/>
  <c r="D7" i="60"/>
  <c r="C7" i="60"/>
  <c r="B28" i="60"/>
  <c r="B27" i="60"/>
  <c r="B26" i="60"/>
  <c r="B25" i="60"/>
  <c r="B24" i="60"/>
  <c r="B23" i="60"/>
  <c r="B22" i="60"/>
  <c r="B21" i="60"/>
  <c r="B20" i="60"/>
  <c r="B19" i="60"/>
  <c r="B18" i="60"/>
  <c r="B17" i="60"/>
  <c r="B16" i="60"/>
  <c r="B15" i="60"/>
  <c r="B14" i="60"/>
  <c r="B13" i="60"/>
  <c r="B12" i="60"/>
  <c r="B11" i="60"/>
  <c r="B10" i="60"/>
  <c r="B9" i="60"/>
  <c r="B8" i="60"/>
  <c r="B7" i="60"/>
  <c r="B6" i="60"/>
  <c r="G32" i="53"/>
  <c r="G27" i="53"/>
  <c r="F27" i="53"/>
  <c r="E27" i="53"/>
  <c r="D27" i="53"/>
  <c r="H27" i="53"/>
  <c r="H26" i="53"/>
  <c r="H25" i="53"/>
  <c r="H24" i="53"/>
  <c r="H23" i="53"/>
  <c r="H22" i="53"/>
  <c r="H21" i="53"/>
  <c r="H20" i="53"/>
  <c r="H19" i="53"/>
  <c r="H18" i="53"/>
  <c r="H17" i="53"/>
  <c r="H16" i="53"/>
  <c r="H15" i="53"/>
  <c r="H14" i="53"/>
  <c r="H13" i="53"/>
  <c r="H12" i="53"/>
  <c r="H11" i="53"/>
  <c r="H10" i="53"/>
  <c r="H9" i="53"/>
  <c r="H8" i="53"/>
  <c r="H7" i="53"/>
  <c r="H6" i="53"/>
  <c r="H5" i="53"/>
  <c r="W57" i="52"/>
  <c r="K19" i="71" s="1"/>
  <c r="S57" i="52"/>
  <c r="G19" i="71" s="1"/>
  <c r="T36" i="52"/>
  <c r="U36" i="52" s="1"/>
  <c r="V36" i="52" s="1"/>
  <c r="W36" i="52" s="1"/>
  <c r="P13" i="45"/>
  <c r="R45" i="45"/>
  <c r="R316" i="40"/>
  <c r="AD146" i="3"/>
  <c r="AC146" i="3"/>
  <c r="AB146" i="3"/>
  <c r="AA146" i="3"/>
  <c r="Z146" i="3"/>
  <c r="Y146" i="3"/>
  <c r="X146" i="3"/>
  <c r="W146" i="3"/>
  <c r="V146" i="3"/>
  <c r="U146" i="3"/>
  <c r="T146" i="3"/>
  <c r="S146" i="3"/>
  <c r="M141" i="3"/>
  <c r="R270" i="40"/>
  <c r="Y124" i="3"/>
  <c r="X124" i="3"/>
  <c r="W124" i="3"/>
  <c r="V124" i="3"/>
  <c r="R224" i="40"/>
  <c r="R178" i="40"/>
  <c r="R84" i="10"/>
  <c r="AD104" i="3"/>
  <c r="AC104" i="3"/>
  <c r="AB104" i="3"/>
  <c r="AA104" i="3"/>
  <c r="Z104" i="3"/>
  <c r="Y104" i="3"/>
  <c r="X104" i="3"/>
  <c r="W104" i="3"/>
  <c r="V104" i="3"/>
  <c r="U104" i="3"/>
  <c r="T104" i="3"/>
  <c r="S104" i="3"/>
  <c r="Q129" i="37"/>
  <c r="Q115" i="37"/>
  <c r="R108" i="37"/>
  <c r="R123" i="37"/>
  <c r="Q123" i="37"/>
  <c r="R4" i="4"/>
  <c r="R89" i="37"/>
  <c r="R73" i="37"/>
  <c r="AD40" i="37"/>
  <c r="AD26" i="31" s="1"/>
  <c r="AD57" i="52" s="1"/>
  <c r="AC40" i="37"/>
  <c r="AC26" i="31" s="1"/>
  <c r="AC57" i="52" s="1"/>
  <c r="AB40" i="37"/>
  <c r="AB26" i="31" s="1"/>
  <c r="AB57" i="52" s="1"/>
  <c r="P19" i="71" s="1"/>
  <c r="AA40" i="37"/>
  <c r="AA26" i="31" s="1"/>
  <c r="AA57" i="52" s="1"/>
  <c r="O19" i="71" s="1"/>
  <c r="Z40" i="37"/>
  <c r="Z26" i="31" s="1"/>
  <c r="Z57" i="52" s="1"/>
  <c r="N19" i="71" s="1"/>
  <c r="Y40" i="37"/>
  <c r="Y26" i="31" s="1"/>
  <c r="Y57" i="52" s="1"/>
  <c r="M19" i="71" s="1"/>
  <c r="X40" i="37"/>
  <c r="X26" i="31" s="1"/>
  <c r="X57" i="52" s="1"/>
  <c r="L19" i="71" s="1"/>
  <c r="W40" i="37"/>
  <c r="W26" i="31" s="1"/>
  <c r="V40" i="37"/>
  <c r="V26" i="31" s="1"/>
  <c r="V57" i="52" s="1"/>
  <c r="J19" i="71" s="1"/>
  <c r="U40" i="37"/>
  <c r="U26" i="31" s="1"/>
  <c r="U57" i="52" s="1"/>
  <c r="I19" i="71" s="1"/>
  <c r="T40" i="37"/>
  <c r="T26" i="31" s="1"/>
  <c r="T57" i="52" s="1"/>
  <c r="H19" i="71" s="1"/>
  <c r="S40" i="37"/>
  <c r="S26" i="31" s="1"/>
  <c r="S87" i="3"/>
  <c r="T87" i="3" s="1"/>
  <c r="U87" i="3" s="1"/>
  <c r="V87" i="3" s="1"/>
  <c r="W87" i="3" s="1"/>
  <c r="X87" i="3" s="1"/>
  <c r="Y87" i="3" s="1"/>
  <c r="Z87" i="3" s="1"/>
  <c r="AA87" i="3" s="1"/>
  <c r="AB87" i="3" s="1"/>
  <c r="AC87" i="3" s="1"/>
  <c r="AD87" i="3" s="1"/>
  <c r="R52" i="37"/>
  <c r="R42" i="37"/>
  <c r="Q77" i="10"/>
  <c r="S81" i="3"/>
  <c r="T81" i="3" s="1"/>
  <c r="U81" i="3" s="1"/>
  <c r="V81" i="3" s="1"/>
  <c r="W81" i="3" s="1"/>
  <c r="X81" i="3" s="1"/>
  <c r="Y81" i="3" s="1"/>
  <c r="Z81" i="3" s="1"/>
  <c r="AA81" i="3" s="1"/>
  <c r="AB81" i="3" s="1"/>
  <c r="AC81" i="3" s="1"/>
  <c r="AD81" i="3" s="1"/>
  <c r="R31" i="37"/>
  <c r="R21" i="37"/>
  <c r="Q71" i="10"/>
  <c r="S15" i="4"/>
  <c r="S29" i="4"/>
  <c r="T29" i="4" s="1"/>
  <c r="U29" i="4" s="1"/>
  <c r="V29" i="4" s="1"/>
  <c r="W29" i="4" s="1"/>
  <c r="X29" i="4" s="1"/>
  <c r="Y29" i="4" s="1"/>
  <c r="Z29" i="4" s="1"/>
  <c r="AA29" i="4" s="1"/>
  <c r="AB29" i="4" s="1"/>
  <c r="AC29" i="4" s="1"/>
  <c r="AD29" i="4" s="1"/>
  <c r="S45" i="4"/>
  <c r="T45" i="4" s="1"/>
  <c r="U45" i="4" s="1"/>
  <c r="V45" i="4" s="1"/>
  <c r="W45" i="4" s="1"/>
  <c r="X45" i="4" s="1"/>
  <c r="Y45" i="4" s="1"/>
  <c r="Z45" i="4" s="1"/>
  <c r="AA45" i="4" s="1"/>
  <c r="AB45" i="4" s="1"/>
  <c r="AC45" i="4" s="1"/>
  <c r="AD45" i="4" s="1"/>
  <c r="T52" i="4"/>
  <c r="U52" i="4" s="1"/>
  <c r="V52" i="4" s="1"/>
  <c r="S53" i="4"/>
  <c r="T53" i="4" s="1"/>
  <c r="U53" i="4" s="1"/>
  <c r="V53" i="4" s="1"/>
  <c r="W53" i="4" s="1"/>
  <c r="X53" i="4" s="1"/>
  <c r="Y53" i="4" s="1"/>
  <c r="Z53" i="4" s="1"/>
  <c r="AA53" i="4" s="1"/>
  <c r="AB53" i="4" s="1"/>
  <c r="AC53" i="4" s="1"/>
  <c r="AD53" i="4" s="1"/>
  <c r="R39" i="32"/>
  <c r="Q38" i="32"/>
  <c r="R59" i="3"/>
  <c r="Q53" i="3"/>
  <c r="M47" i="3"/>
  <c r="AD47" i="3" s="1"/>
  <c r="M45" i="3"/>
  <c r="Z45" i="3" s="1"/>
  <c r="M44" i="3"/>
  <c r="W44" i="3" s="1"/>
  <c r="M37" i="3"/>
  <c r="X37" i="3" s="1"/>
  <c r="S43" i="3"/>
  <c r="S25" i="32" s="1"/>
  <c r="T43" i="3"/>
  <c r="U43" i="3"/>
  <c r="V43" i="3"/>
  <c r="W43" i="3"/>
  <c r="X43" i="3"/>
  <c r="Y43" i="3"/>
  <c r="Z43" i="3"/>
  <c r="AA43" i="3"/>
  <c r="AB43" i="3"/>
  <c r="AC43" i="3"/>
  <c r="AD43" i="3"/>
  <c r="M42" i="3"/>
  <c r="S42" i="3" s="1"/>
  <c r="S24" i="32" s="1"/>
  <c r="M41" i="3"/>
  <c r="X41" i="3" s="1"/>
  <c r="M38" i="3"/>
  <c r="AB38" i="3" s="1"/>
  <c r="M36" i="3"/>
  <c r="Z36" i="3" s="1"/>
  <c r="M35" i="3"/>
  <c r="AC35" i="3" s="1"/>
  <c r="M34" i="3"/>
  <c r="Z34" i="3" s="1"/>
  <c r="P28" i="32"/>
  <c r="P20" i="32"/>
  <c r="P32" i="32" s="1"/>
  <c r="R28" i="32"/>
  <c r="Q28" i="32"/>
  <c r="Q20" i="32"/>
  <c r="R20" i="32"/>
  <c r="R21" i="31"/>
  <c r="R17" i="31"/>
  <c r="R35" i="31"/>
  <c r="R33" i="31"/>
  <c r="R32" i="31"/>
  <c r="R31" i="31"/>
  <c r="R30" i="31"/>
  <c r="R29" i="31"/>
  <c r="R27" i="31"/>
  <c r="R26" i="31"/>
  <c r="R25" i="31"/>
  <c r="R23" i="31"/>
  <c r="R22" i="31"/>
  <c r="R20" i="31"/>
  <c r="R19" i="31"/>
  <c r="R18" i="31"/>
  <c r="R16" i="31"/>
  <c r="R15" i="31"/>
  <c r="R14" i="31"/>
  <c r="R13" i="31"/>
  <c r="R38" i="31"/>
  <c r="B8" i="31"/>
  <c r="AD5" i="31"/>
  <c r="AC5" i="31"/>
  <c r="AB5" i="31"/>
  <c r="AA5" i="31"/>
  <c r="Z5" i="31"/>
  <c r="Y5" i="31"/>
  <c r="X5" i="31"/>
  <c r="W5" i="31"/>
  <c r="V5" i="31"/>
  <c r="U5" i="31"/>
  <c r="T5" i="31"/>
  <c r="S5" i="31"/>
  <c r="R5" i="31"/>
  <c r="Q5" i="31"/>
  <c r="P5" i="31"/>
  <c r="O5" i="31"/>
  <c r="N5" i="31"/>
  <c r="AD4" i="31"/>
  <c r="AC4" i="31"/>
  <c r="AB4" i="31"/>
  <c r="AA4" i="31"/>
  <c r="Z4" i="31"/>
  <c r="Y4" i="31"/>
  <c r="X4" i="31"/>
  <c r="W4" i="31"/>
  <c r="V4" i="31"/>
  <c r="U4" i="31"/>
  <c r="T4" i="31"/>
  <c r="S4" i="31"/>
  <c r="R4" i="31"/>
  <c r="Q4" i="31"/>
  <c r="P4" i="31"/>
  <c r="O4" i="31"/>
  <c r="N4" i="31"/>
  <c r="B1" i="31"/>
  <c r="R29" i="11"/>
  <c r="R34" i="11" s="1"/>
  <c r="R27" i="11"/>
  <c r="R38" i="11"/>
  <c r="R13" i="11"/>
  <c r="R23" i="11"/>
  <c r="R33" i="11"/>
  <c r="R21" i="11"/>
  <c r="R20" i="11"/>
  <c r="R17" i="11"/>
  <c r="R55" i="4"/>
  <c r="R115" i="37" s="1"/>
  <c r="Q55" i="4"/>
  <c r="R43" i="4"/>
  <c r="Q43" i="4"/>
  <c r="Q108" i="37" s="1"/>
  <c r="R20" i="4"/>
  <c r="Q20" i="4"/>
  <c r="Q89" i="37" s="1"/>
  <c r="R62" i="4"/>
  <c r="R57" i="4"/>
  <c r="S57" i="4" s="1"/>
  <c r="T57" i="4" s="1"/>
  <c r="U57" i="4" s="1"/>
  <c r="V57" i="4" s="1"/>
  <c r="W57" i="4" s="1"/>
  <c r="X57" i="4" s="1"/>
  <c r="Y57" i="4" s="1"/>
  <c r="Z57" i="4" s="1"/>
  <c r="AA57" i="4" s="1"/>
  <c r="AB57" i="4" s="1"/>
  <c r="AC57" i="4" s="1"/>
  <c r="AD57" i="4" s="1"/>
  <c r="R56" i="4"/>
  <c r="S56" i="4" s="1"/>
  <c r="T56" i="4" s="1"/>
  <c r="U56" i="4" s="1"/>
  <c r="V56" i="4" s="1"/>
  <c r="W56" i="4" s="1"/>
  <c r="X56" i="4" s="1"/>
  <c r="Y56" i="4" s="1"/>
  <c r="Z56" i="4" s="1"/>
  <c r="AA56" i="4" s="1"/>
  <c r="AB56" i="4" s="1"/>
  <c r="AC56" i="4" s="1"/>
  <c r="AD56" i="4" s="1"/>
  <c r="R54" i="4"/>
  <c r="S54" i="4" s="1"/>
  <c r="T54" i="4" s="1"/>
  <c r="U54" i="4" s="1"/>
  <c r="V54" i="4" s="1"/>
  <c r="W54" i="4" s="1"/>
  <c r="X54" i="4" s="1"/>
  <c r="Y54" i="4" s="1"/>
  <c r="Z54" i="4" s="1"/>
  <c r="AA54" i="4" s="1"/>
  <c r="AB54" i="4" s="1"/>
  <c r="AC54" i="4" s="1"/>
  <c r="AD54" i="4" s="1"/>
  <c r="R53" i="4"/>
  <c r="R52" i="4"/>
  <c r="S52" i="4" s="1"/>
  <c r="R51" i="4"/>
  <c r="R47" i="4"/>
  <c r="R131" i="37" s="1"/>
  <c r="R46" i="4"/>
  <c r="S46" i="4" s="1"/>
  <c r="T46" i="4" s="1"/>
  <c r="U46" i="4" s="1"/>
  <c r="V46" i="4" s="1"/>
  <c r="W46" i="4" s="1"/>
  <c r="X46" i="4" s="1"/>
  <c r="Y46" i="4" s="1"/>
  <c r="Z46" i="4" s="1"/>
  <c r="AA46" i="4" s="1"/>
  <c r="AB46" i="4" s="1"/>
  <c r="AC46" i="4" s="1"/>
  <c r="AD46" i="4" s="1"/>
  <c r="R45" i="4"/>
  <c r="R44" i="4"/>
  <c r="S44" i="4" s="1"/>
  <c r="T44" i="4" s="1"/>
  <c r="U44" i="4" s="1"/>
  <c r="V44" i="4" s="1"/>
  <c r="W44" i="4" s="1"/>
  <c r="X44" i="4" s="1"/>
  <c r="Y44" i="4" s="1"/>
  <c r="Z44" i="4" s="1"/>
  <c r="AA44" i="4" s="1"/>
  <c r="AB44" i="4" s="1"/>
  <c r="AC44" i="4" s="1"/>
  <c r="AD44" i="4" s="1"/>
  <c r="R42" i="4"/>
  <c r="S42" i="4" s="1"/>
  <c r="T42" i="4" s="1"/>
  <c r="U42" i="4" s="1"/>
  <c r="V42" i="4" s="1"/>
  <c r="W42" i="4" s="1"/>
  <c r="X42" i="4" s="1"/>
  <c r="Y42" i="4" s="1"/>
  <c r="Z42" i="4" s="1"/>
  <c r="AA42" i="4" s="1"/>
  <c r="AB42" i="4" s="1"/>
  <c r="AC42" i="4" s="1"/>
  <c r="AD42" i="4" s="1"/>
  <c r="R41" i="4"/>
  <c r="R40" i="4"/>
  <c r="R83" i="52" s="1"/>
  <c r="R39" i="4"/>
  <c r="R33" i="4"/>
  <c r="S33" i="4" s="1"/>
  <c r="T33" i="4" s="1"/>
  <c r="U33" i="4" s="1"/>
  <c r="V33" i="4" s="1"/>
  <c r="W33" i="4" s="1"/>
  <c r="X33" i="4" s="1"/>
  <c r="Y33" i="4" s="1"/>
  <c r="Z33" i="4" s="1"/>
  <c r="AA33" i="4" s="1"/>
  <c r="AB33" i="4" s="1"/>
  <c r="AC33" i="4" s="1"/>
  <c r="AD33" i="4" s="1"/>
  <c r="R32" i="4"/>
  <c r="S32" i="4" s="1"/>
  <c r="T32" i="4" s="1"/>
  <c r="U32" i="4" s="1"/>
  <c r="V32" i="4" s="1"/>
  <c r="W32" i="4" s="1"/>
  <c r="X32" i="4" s="1"/>
  <c r="Y32" i="4" s="1"/>
  <c r="Z32" i="4" s="1"/>
  <c r="AA32" i="4" s="1"/>
  <c r="AB32" i="4" s="1"/>
  <c r="AC32" i="4" s="1"/>
  <c r="AD32" i="4" s="1"/>
  <c r="R31" i="4"/>
  <c r="S31" i="4" s="1"/>
  <c r="T31" i="4" s="1"/>
  <c r="U31" i="4" s="1"/>
  <c r="V31" i="4" s="1"/>
  <c r="W31" i="4" s="1"/>
  <c r="X31" i="4" s="1"/>
  <c r="Y31" i="4" s="1"/>
  <c r="Z31" i="4" s="1"/>
  <c r="AA31" i="4" s="1"/>
  <c r="AB31" i="4" s="1"/>
  <c r="AC31" i="4" s="1"/>
  <c r="AD31" i="4" s="1"/>
  <c r="R30" i="4"/>
  <c r="S30" i="4" s="1"/>
  <c r="T30" i="4" s="1"/>
  <c r="U30" i="4" s="1"/>
  <c r="V30" i="4" s="1"/>
  <c r="W30" i="4" s="1"/>
  <c r="X30" i="4" s="1"/>
  <c r="Y30" i="4" s="1"/>
  <c r="Z30" i="4" s="1"/>
  <c r="AA30" i="4" s="1"/>
  <c r="AB30" i="4" s="1"/>
  <c r="AC30" i="4" s="1"/>
  <c r="AD30" i="4" s="1"/>
  <c r="R29" i="4"/>
  <c r="R28" i="4"/>
  <c r="R27" i="4"/>
  <c r="R26" i="4"/>
  <c r="S26" i="4" s="1"/>
  <c r="R22" i="4"/>
  <c r="R98" i="37" s="1"/>
  <c r="R21" i="4"/>
  <c r="S21" i="4" s="1"/>
  <c r="T21" i="4" s="1"/>
  <c r="U21" i="4" s="1"/>
  <c r="V21" i="4" s="1"/>
  <c r="W21" i="4" s="1"/>
  <c r="X21" i="4" s="1"/>
  <c r="Y21" i="4" s="1"/>
  <c r="Z21" i="4" s="1"/>
  <c r="AA21" i="4" s="1"/>
  <c r="AB21" i="4" s="1"/>
  <c r="AC21" i="4" s="1"/>
  <c r="AD21" i="4" s="1"/>
  <c r="R19" i="4"/>
  <c r="S19" i="4" s="1"/>
  <c r="T19" i="4" s="1"/>
  <c r="U19" i="4" s="1"/>
  <c r="V19" i="4" s="1"/>
  <c r="W19" i="4" s="1"/>
  <c r="X19" i="4" s="1"/>
  <c r="Y19" i="4" s="1"/>
  <c r="Z19" i="4" s="1"/>
  <c r="AA19" i="4" s="1"/>
  <c r="AB19" i="4" s="1"/>
  <c r="AC19" i="4" s="1"/>
  <c r="AD19" i="4" s="1"/>
  <c r="R18" i="4"/>
  <c r="R81" i="37" s="1"/>
  <c r="R17" i="4"/>
  <c r="S17" i="4" s="1"/>
  <c r="T17" i="4" s="1"/>
  <c r="U17" i="4" s="1"/>
  <c r="V17" i="4" s="1"/>
  <c r="W17" i="4" s="1"/>
  <c r="X17" i="4" s="1"/>
  <c r="Y17" i="4" s="1"/>
  <c r="Z17" i="4" s="1"/>
  <c r="AA17" i="4" s="1"/>
  <c r="AB17" i="4" s="1"/>
  <c r="AC17" i="4" s="1"/>
  <c r="AD17" i="4" s="1"/>
  <c r="R16" i="4"/>
  <c r="R15" i="4"/>
  <c r="R14" i="4"/>
  <c r="Q62" i="4"/>
  <c r="Q61" i="4"/>
  <c r="Q57" i="4"/>
  <c r="Q56" i="4"/>
  <c r="Q54" i="4"/>
  <c r="Q53" i="4"/>
  <c r="Q52" i="4"/>
  <c r="Q51" i="4"/>
  <c r="Q47" i="4"/>
  <c r="Q131" i="37" s="1"/>
  <c r="Q46" i="4"/>
  <c r="Q45" i="4"/>
  <c r="Q44" i="4"/>
  <c r="Q42" i="4"/>
  <c r="Q41" i="4"/>
  <c r="Q40" i="4"/>
  <c r="Q39" i="4"/>
  <c r="Q33" i="4"/>
  <c r="Q32" i="4"/>
  <c r="Q31" i="4"/>
  <c r="Q30" i="4"/>
  <c r="Q29" i="4"/>
  <c r="Q28" i="4"/>
  <c r="Q27" i="4"/>
  <c r="Q45" i="45" s="1"/>
  <c r="Q26" i="4"/>
  <c r="Q22" i="4"/>
  <c r="Q98" i="37" s="1"/>
  <c r="Q21" i="4"/>
  <c r="Q19" i="4"/>
  <c r="Q18" i="4"/>
  <c r="Q81" i="37" s="1"/>
  <c r="Q17" i="4"/>
  <c r="Q16" i="4"/>
  <c r="Q73" i="37" s="1"/>
  <c r="Q15" i="4"/>
  <c r="Q14" i="4"/>
  <c r="B8" i="4"/>
  <c r="AD5" i="4"/>
  <c r="AC5" i="4"/>
  <c r="AB5" i="4"/>
  <c r="AA5" i="4"/>
  <c r="Z5" i="4"/>
  <c r="Y5" i="4"/>
  <c r="X5" i="4"/>
  <c r="W5" i="4"/>
  <c r="V5" i="4"/>
  <c r="U5" i="4"/>
  <c r="T5" i="4"/>
  <c r="S5" i="4"/>
  <c r="R5" i="4"/>
  <c r="Q5" i="4"/>
  <c r="P5" i="4"/>
  <c r="O5" i="4"/>
  <c r="N5" i="4"/>
  <c r="AD4" i="4"/>
  <c r="AC4" i="4"/>
  <c r="AB4" i="4"/>
  <c r="AA4" i="4"/>
  <c r="Z4" i="4"/>
  <c r="Y4" i="4"/>
  <c r="X4" i="4"/>
  <c r="W4" i="4"/>
  <c r="V4" i="4"/>
  <c r="U4" i="4"/>
  <c r="T4" i="4"/>
  <c r="S4" i="4"/>
  <c r="Q4" i="4"/>
  <c r="P4" i="4"/>
  <c r="O4" i="4"/>
  <c r="N4" i="4"/>
  <c r="B1" i="4"/>
  <c r="AD23" i="10"/>
  <c r="AC23" i="10"/>
  <c r="AB23" i="10"/>
  <c r="AA23" i="10"/>
  <c r="AA36" i="10" s="1"/>
  <c r="Z23" i="10"/>
  <c r="Z36" i="10" s="1"/>
  <c r="Y23" i="10"/>
  <c r="Y36" i="10" s="1"/>
  <c r="X23" i="10"/>
  <c r="W23" i="10"/>
  <c r="V23" i="10"/>
  <c r="U23" i="10"/>
  <c r="T23" i="10"/>
  <c r="S23" i="10"/>
  <c r="AD34" i="10"/>
  <c r="AD36" i="10" s="1"/>
  <c r="AC34" i="10"/>
  <c r="AB34" i="10"/>
  <c r="AA34" i="10"/>
  <c r="Z34" i="10"/>
  <c r="Y34" i="10"/>
  <c r="X34" i="10"/>
  <c r="W34" i="10"/>
  <c r="V34" i="10"/>
  <c r="U34" i="10"/>
  <c r="T34" i="10"/>
  <c r="S34" i="10"/>
  <c r="X36" i="10"/>
  <c r="S36" i="10"/>
  <c r="AD58" i="10"/>
  <c r="AC58" i="10"/>
  <c r="AB58" i="10"/>
  <c r="AA58" i="10"/>
  <c r="Z58" i="10"/>
  <c r="Y58" i="10"/>
  <c r="Y65" i="10" s="1"/>
  <c r="Y66" i="10" s="1"/>
  <c r="X58" i="10"/>
  <c r="X65" i="10" s="1"/>
  <c r="X66" i="10" s="1"/>
  <c r="W58" i="10"/>
  <c r="V58" i="10"/>
  <c r="U58" i="10"/>
  <c r="T58" i="10"/>
  <c r="S58" i="10"/>
  <c r="AD48" i="10"/>
  <c r="AC48" i="10"/>
  <c r="AC65" i="10" s="1"/>
  <c r="AB48" i="10"/>
  <c r="AA48" i="10"/>
  <c r="Z48" i="10"/>
  <c r="Z65" i="10" s="1"/>
  <c r="Y48" i="10"/>
  <c r="X48" i="10"/>
  <c r="W48" i="10"/>
  <c r="V48" i="10"/>
  <c r="U48" i="10"/>
  <c r="U65" i="10" s="1"/>
  <c r="T48" i="10"/>
  <c r="S48" i="10"/>
  <c r="S65" i="10" s="1"/>
  <c r="S66" i="10" s="1"/>
  <c r="AA65" i="10"/>
  <c r="Q63" i="10"/>
  <c r="Q63" i="4" s="1"/>
  <c r="Q64" i="4" s="1"/>
  <c r="Q47" i="45" s="1"/>
  <c r="R63" i="10"/>
  <c r="R63" i="4" s="1"/>
  <c r="R58" i="10"/>
  <c r="Q58" i="10"/>
  <c r="R48" i="10"/>
  <c r="Q48" i="10"/>
  <c r="R34" i="10"/>
  <c r="Q34" i="10"/>
  <c r="R23" i="10"/>
  <c r="Q23" i="10"/>
  <c r="R15" i="43"/>
  <c r="R24" i="43" s="1"/>
  <c r="R41" i="43"/>
  <c r="Q41" i="43"/>
  <c r="R37" i="43"/>
  <c r="Q37" i="43"/>
  <c r="R36" i="43"/>
  <c r="Q36" i="43"/>
  <c r="R35" i="43"/>
  <c r="Q35" i="43"/>
  <c r="R34" i="43"/>
  <c r="Q34" i="43"/>
  <c r="R33" i="43"/>
  <c r="Q33" i="43"/>
  <c r="R32" i="43"/>
  <c r="Q32" i="43"/>
  <c r="R31" i="43"/>
  <c r="Q31" i="43"/>
  <c r="R30" i="43"/>
  <c r="Q30" i="43"/>
  <c r="R29" i="43"/>
  <c r="Q29" i="43"/>
  <c r="R27" i="43"/>
  <c r="Q27" i="43"/>
  <c r="R26" i="43"/>
  <c r="Q26" i="43"/>
  <c r="R22" i="43"/>
  <c r="R44" i="32" s="1"/>
  <c r="Q22" i="43"/>
  <c r="R21" i="43"/>
  <c r="Q21" i="43"/>
  <c r="Q58" i="3" s="1"/>
  <c r="R19" i="43"/>
  <c r="Q19" i="43"/>
  <c r="R18" i="43"/>
  <c r="R38" i="32" s="1"/>
  <c r="Q18" i="43"/>
  <c r="R14" i="43"/>
  <c r="R121" i="37" s="1"/>
  <c r="Q14" i="43"/>
  <c r="R13" i="43"/>
  <c r="R54" i="3" s="1"/>
  <c r="Q13" i="43"/>
  <c r="P41" i="43"/>
  <c r="P37" i="43"/>
  <c r="P36" i="43"/>
  <c r="P35" i="43"/>
  <c r="P34" i="43"/>
  <c r="P33" i="43"/>
  <c r="P32" i="43"/>
  <c r="P31" i="43"/>
  <c r="P30" i="43"/>
  <c r="P29" i="43"/>
  <c r="P27" i="43"/>
  <c r="P26" i="43"/>
  <c r="P22" i="43"/>
  <c r="P44" i="32" s="1"/>
  <c r="P21" i="43"/>
  <c r="P19" i="43"/>
  <c r="P18" i="43"/>
  <c r="P14" i="43"/>
  <c r="P37" i="32" s="1"/>
  <c r="P13" i="43"/>
  <c r="B8" i="43"/>
  <c r="AD5" i="43"/>
  <c r="AC5" i="43"/>
  <c r="AB5" i="43"/>
  <c r="AA5" i="43"/>
  <c r="Z5" i="43"/>
  <c r="Y5" i="43"/>
  <c r="X5" i="43"/>
  <c r="W5" i="43"/>
  <c r="V5" i="43"/>
  <c r="U5" i="43"/>
  <c r="T5" i="43"/>
  <c r="S5" i="43"/>
  <c r="R5" i="43"/>
  <c r="Q5" i="43"/>
  <c r="P5" i="43"/>
  <c r="O5" i="43"/>
  <c r="N5" i="43"/>
  <c r="AD4" i="43"/>
  <c r="AC4" i="43"/>
  <c r="AB4" i="43"/>
  <c r="AA4" i="43"/>
  <c r="Z4" i="43"/>
  <c r="Y4" i="43"/>
  <c r="X4" i="43"/>
  <c r="W4" i="43"/>
  <c r="V4" i="43"/>
  <c r="U4" i="43"/>
  <c r="T4" i="43"/>
  <c r="S4" i="43"/>
  <c r="Q4" i="43"/>
  <c r="P4" i="43"/>
  <c r="O4" i="43"/>
  <c r="N4" i="43"/>
  <c r="B1" i="43"/>
  <c r="R43" i="9"/>
  <c r="Q43" i="9"/>
  <c r="R39" i="9"/>
  <c r="Q39" i="9"/>
  <c r="R36" i="9"/>
  <c r="R34" i="9"/>
  <c r="R14" i="9"/>
  <c r="R15" i="9" s="1"/>
  <c r="R24" i="9" s="1"/>
  <c r="P15" i="9"/>
  <c r="Q36" i="9"/>
  <c r="Q14" i="9"/>
  <c r="Q15" i="9" s="1"/>
  <c r="Q24" i="9" s="1"/>
  <c r="Q29" i="9"/>
  <c r="AD24" i="9"/>
  <c r="AC24" i="9"/>
  <c r="AB24" i="9"/>
  <c r="AA24" i="9"/>
  <c r="Z24" i="9"/>
  <c r="Y24" i="9"/>
  <c r="X24" i="9"/>
  <c r="W24" i="9"/>
  <c r="V24" i="9"/>
  <c r="U24" i="9"/>
  <c r="T24" i="9"/>
  <c r="S24" i="9"/>
  <c r="B1" i="52"/>
  <c r="B1" i="11"/>
  <c r="B1" i="10"/>
  <c r="B1" i="9"/>
  <c r="B1" i="40"/>
  <c r="B1" i="34"/>
  <c r="B1" i="32"/>
  <c r="B1" i="37"/>
  <c r="B1" i="45"/>
  <c r="B1" i="3"/>
  <c r="B1" i="12"/>
  <c r="I38" i="60"/>
  <c r="G26" i="71"/>
  <c r="X43" i="69"/>
  <c r="R117" i="52"/>
  <c r="P24" i="9" l="1"/>
  <c r="P39" i="9" s="1"/>
  <c r="P43" i="9" s="1"/>
  <c r="P15" i="43"/>
  <c r="P24" i="43" s="1"/>
  <c r="P59" i="3"/>
  <c r="P38" i="45"/>
  <c r="N24" i="12"/>
  <c r="N25" i="12" s="1"/>
  <c r="H30" i="60"/>
  <c r="O32" i="60"/>
  <c r="J30" i="60"/>
  <c r="M31" i="60"/>
  <c r="G32" i="60"/>
  <c r="K30" i="60"/>
  <c r="O31" i="60"/>
  <c r="G33" i="60"/>
  <c r="M30" i="60"/>
  <c r="G31" i="60"/>
  <c r="O30" i="60"/>
  <c r="H32" i="60"/>
  <c r="J33" i="60"/>
  <c r="K33" i="60"/>
  <c r="M33" i="60"/>
  <c r="R39" i="43"/>
  <c r="R39" i="45"/>
  <c r="R41" i="45" s="1"/>
  <c r="Q121" i="37"/>
  <c r="Q79" i="37"/>
  <c r="Q52" i="3"/>
  <c r="Q37" i="32"/>
  <c r="P58" i="3"/>
  <c r="P43" i="32"/>
  <c r="Q34" i="4"/>
  <c r="Q36" i="4" s="1"/>
  <c r="Q13" i="45"/>
  <c r="Q28" i="45"/>
  <c r="Q46" i="45"/>
  <c r="R13" i="45"/>
  <c r="R82" i="52"/>
  <c r="R31" i="45"/>
  <c r="R46" i="45"/>
  <c r="Q39" i="32"/>
  <c r="Q54" i="3"/>
  <c r="P53" i="3"/>
  <c r="M53" i="3" s="1"/>
  <c r="Q15" i="43"/>
  <c r="Q24" i="43" s="1"/>
  <c r="C11" i="69"/>
  <c r="P39" i="32"/>
  <c r="P54" i="3"/>
  <c r="R38" i="45"/>
  <c r="R113" i="37"/>
  <c r="R114" i="37" s="1"/>
  <c r="R72" i="3" s="1"/>
  <c r="R129" i="37"/>
  <c r="R106" i="37"/>
  <c r="R107" i="37" s="1"/>
  <c r="R71" i="3" s="1"/>
  <c r="R87" i="37"/>
  <c r="R43" i="32"/>
  <c r="R58" i="3"/>
  <c r="Q29" i="45"/>
  <c r="Q59" i="3"/>
  <c r="Q44" i="32"/>
  <c r="P52" i="3"/>
  <c r="M52" i="3" s="1"/>
  <c r="R37" i="32"/>
  <c r="R53" i="3"/>
  <c r="S40" i="4"/>
  <c r="T40" i="4" s="1"/>
  <c r="Q87" i="37"/>
  <c r="Q88" i="37" s="1"/>
  <c r="Q68" i="3" s="1"/>
  <c r="Q106" i="37"/>
  <c r="Q107" i="37" s="1"/>
  <c r="Q71" i="3" s="1"/>
  <c r="M71" i="3" s="1"/>
  <c r="W71" i="3" s="1"/>
  <c r="P38" i="32"/>
  <c r="Q113" i="37"/>
  <c r="Q114" i="37" s="1"/>
  <c r="Q72" i="3" s="1"/>
  <c r="Q38" i="45"/>
  <c r="Q43" i="32"/>
  <c r="R52" i="3"/>
  <c r="R79" i="37"/>
  <c r="AA36" i="52"/>
  <c r="Q80" i="37"/>
  <c r="Q67" i="3" s="1"/>
  <c r="R88" i="37"/>
  <c r="R68" i="3" s="1"/>
  <c r="R80" i="37"/>
  <c r="R67" i="3" s="1"/>
  <c r="R54" i="37"/>
  <c r="R33" i="37"/>
  <c r="T15" i="4"/>
  <c r="T26" i="4"/>
  <c r="U40" i="4"/>
  <c r="V40" i="4" s="1"/>
  <c r="W40" i="4" s="1"/>
  <c r="X40" i="4" s="1"/>
  <c r="Y40" i="4" s="1"/>
  <c r="Z40" i="4" s="1"/>
  <c r="AA40" i="4" s="1"/>
  <c r="AB40" i="4" s="1"/>
  <c r="AC40" i="4" s="1"/>
  <c r="AD40" i="4" s="1"/>
  <c r="W52" i="4"/>
  <c r="X52" i="4" s="1"/>
  <c r="Y52" i="4" s="1"/>
  <c r="Z52" i="4" s="1"/>
  <c r="AA52" i="4" s="1"/>
  <c r="AB52" i="4" s="1"/>
  <c r="AC52" i="4" s="1"/>
  <c r="AD52" i="4" s="1"/>
  <c r="U38" i="3"/>
  <c r="W38" i="3"/>
  <c r="Y38" i="3"/>
  <c r="AC38" i="3"/>
  <c r="S41" i="3"/>
  <c r="S23" i="32" s="1"/>
  <c r="AA41" i="3"/>
  <c r="Y35" i="3"/>
  <c r="AC41" i="3"/>
  <c r="S36" i="3"/>
  <c r="S17" i="32" s="1"/>
  <c r="S34" i="3"/>
  <c r="S15" i="32" s="1"/>
  <c r="AA35" i="3"/>
  <c r="AA34" i="3"/>
  <c r="AB35" i="3"/>
  <c r="S35" i="3"/>
  <c r="S16" i="32" s="1"/>
  <c r="AD35" i="3"/>
  <c r="T35" i="3"/>
  <c r="V35" i="3"/>
  <c r="U36" i="3"/>
  <c r="U41" i="3"/>
  <c r="W35" i="3"/>
  <c r="AA36" i="3"/>
  <c r="Y41" i="3"/>
  <c r="Z42" i="3"/>
  <c r="X35" i="3"/>
  <c r="AC36" i="3"/>
  <c r="Z41" i="3"/>
  <c r="X42" i="3"/>
  <c r="T34" i="3"/>
  <c r="AB34" i="3"/>
  <c r="T36" i="3"/>
  <c r="AB36" i="3"/>
  <c r="V38" i="3"/>
  <c r="AD38" i="3"/>
  <c r="Y42" i="3"/>
  <c r="V34" i="3"/>
  <c r="AD34" i="3"/>
  <c r="Z35" i="3"/>
  <c r="V36" i="3"/>
  <c r="AD36" i="3"/>
  <c r="X38" i="3"/>
  <c r="T41" i="3"/>
  <c r="AB41" i="3"/>
  <c r="W42" i="3"/>
  <c r="W34" i="3"/>
  <c r="W36" i="3"/>
  <c r="Y37" i="3"/>
  <c r="AD42" i="3"/>
  <c r="V42" i="3"/>
  <c r="T25" i="32"/>
  <c r="U25" i="32" s="1"/>
  <c r="V25" i="32" s="1"/>
  <c r="W25" i="32" s="1"/>
  <c r="X25" i="32" s="1"/>
  <c r="Y25" i="32" s="1"/>
  <c r="Z25" i="32" s="1"/>
  <c r="AA25" i="32" s="1"/>
  <c r="AB25" i="32" s="1"/>
  <c r="AC25" i="32" s="1"/>
  <c r="AD25" i="32" s="1"/>
  <c r="U34" i="3"/>
  <c r="X34" i="3"/>
  <c r="X36" i="3"/>
  <c r="Z37" i="3"/>
  <c r="Z38" i="3"/>
  <c r="V41" i="3"/>
  <c r="AD41" i="3"/>
  <c r="AC42" i="3"/>
  <c r="U42" i="3"/>
  <c r="Y34" i="3"/>
  <c r="U35" i="3"/>
  <c r="Y36" i="3"/>
  <c r="S38" i="3"/>
  <c r="S19" i="32" s="1"/>
  <c r="AA38" i="3"/>
  <c r="W41" i="3"/>
  <c r="X44" i="3"/>
  <c r="AB42" i="3"/>
  <c r="T42" i="3"/>
  <c r="T24" i="32" s="1"/>
  <c r="AC34" i="3"/>
  <c r="T38" i="3"/>
  <c r="S45" i="3"/>
  <c r="S27" i="32" s="1"/>
  <c r="AA42" i="3"/>
  <c r="AA45" i="3"/>
  <c r="AB45" i="3"/>
  <c r="T47" i="3"/>
  <c r="X47" i="3"/>
  <c r="Y47" i="3"/>
  <c r="W47" i="3"/>
  <c r="Z47" i="3"/>
  <c r="T45" i="3"/>
  <c r="AB47" i="3"/>
  <c r="S47" i="3"/>
  <c r="S30" i="32" s="1"/>
  <c r="AA47" i="3"/>
  <c r="U47" i="3"/>
  <c r="AC47" i="3"/>
  <c r="V47" i="3"/>
  <c r="V45" i="3"/>
  <c r="AD45" i="3"/>
  <c r="U45" i="3"/>
  <c r="AC45" i="3"/>
  <c r="W45" i="3"/>
  <c r="Y45" i="3"/>
  <c r="X45" i="3"/>
  <c r="Y44" i="3"/>
  <c r="Z44" i="3"/>
  <c r="T44" i="3"/>
  <c r="AB44" i="3"/>
  <c r="S44" i="3"/>
  <c r="S26" i="32" s="1"/>
  <c r="AA44" i="3"/>
  <c r="U44" i="3"/>
  <c r="AC44" i="3"/>
  <c r="V44" i="3"/>
  <c r="AD44" i="3"/>
  <c r="T37" i="3"/>
  <c r="AB37" i="3"/>
  <c r="U37" i="3"/>
  <c r="AC37" i="3"/>
  <c r="W37" i="3"/>
  <c r="S37" i="3"/>
  <c r="S18" i="32" s="1"/>
  <c r="AA37" i="3"/>
  <c r="V37" i="3"/>
  <c r="AD37" i="3"/>
  <c r="Q32" i="32"/>
  <c r="Q33" i="32" s="1"/>
  <c r="R32" i="32"/>
  <c r="R24" i="31"/>
  <c r="R28" i="31" s="1"/>
  <c r="R34" i="31" s="1"/>
  <c r="R36" i="31" s="1"/>
  <c r="R39" i="31" s="1"/>
  <c r="S38" i="31" s="1"/>
  <c r="AA66" i="10"/>
  <c r="Z66" i="10"/>
  <c r="U66" i="10"/>
  <c r="V36" i="10"/>
  <c r="Q23" i="4"/>
  <c r="R58" i="4"/>
  <c r="Q58" i="4"/>
  <c r="Q48" i="4"/>
  <c r="R23" i="4"/>
  <c r="R34" i="4"/>
  <c r="R48" i="4"/>
  <c r="T36" i="10"/>
  <c r="AB36" i="10"/>
  <c r="U36" i="10"/>
  <c r="AC36" i="10"/>
  <c r="AC66" i="10" s="1"/>
  <c r="W36" i="10"/>
  <c r="T65" i="10"/>
  <c r="AB65" i="10"/>
  <c r="AB66" i="10" s="1"/>
  <c r="V65" i="10"/>
  <c r="V66" i="10" s="1"/>
  <c r="AD65" i="10"/>
  <c r="AD66" i="10" s="1"/>
  <c r="W65" i="10"/>
  <c r="W66" i="10" s="1"/>
  <c r="Q36" i="10"/>
  <c r="R36" i="10"/>
  <c r="X27" i="69"/>
  <c r="M59" i="3" l="1"/>
  <c r="M54" i="3"/>
  <c r="N26" i="12"/>
  <c r="N33" i="12" s="1"/>
  <c r="Q44" i="45"/>
  <c r="Q30" i="45"/>
  <c r="M72" i="3"/>
  <c r="Q39" i="43"/>
  <c r="Q39" i="45"/>
  <c r="P39" i="45"/>
  <c r="P41" i="45" s="1"/>
  <c r="P39" i="43"/>
  <c r="Y52" i="3"/>
  <c r="Z52" i="3"/>
  <c r="AA52" i="3"/>
  <c r="AB52" i="3"/>
  <c r="AC52" i="3"/>
  <c r="AD52" i="3"/>
  <c r="W52" i="3"/>
  <c r="X52" i="3"/>
  <c r="R43" i="43"/>
  <c r="R40" i="45" s="1"/>
  <c r="R269" i="3"/>
  <c r="Q41" i="45"/>
  <c r="Q31" i="45"/>
  <c r="AB36" i="52"/>
  <c r="X71" i="3"/>
  <c r="X107" i="37" s="1"/>
  <c r="Y71" i="3"/>
  <c r="Y107" i="37" s="1"/>
  <c r="AD72" i="3"/>
  <c r="AD114" i="37" s="1"/>
  <c r="AC71" i="3"/>
  <c r="AC107" i="37" s="1"/>
  <c r="Z71" i="3"/>
  <c r="Z107" i="37" s="1"/>
  <c r="U71" i="3"/>
  <c r="U107" i="37" s="1"/>
  <c r="V71" i="3"/>
  <c r="W72" i="3"/>
  <c r="W114" i="37" s="1"/>
  <c r="AA71" i="3"/>
  <c r="AA107" i="37" s="1"/>
  <c r="S71" i="3"/>
  <c r="S107" i="37" s="1"/>
  <c r="AD71" i="3"/>
  <c r="AD107" i="37" s="1"/>
  <c r="T71" i="3"/>
  <c r="T107" i="37" s="1"/>
  <c r="AB71" i="3"/>
  <c r="AB107" i="37" s="1"/>
  <c r="Z72" i="3"/>
  <c r="Z114" i="37" s="1"/>
  <c r="T72" i="3"/>
  <c r="T114" i="37" s="1"/>
  <c r="S72" i="3"/>
  <c r="AA72" i="3"/>
  <c r="AA114" i="37" s="1"/>
  <c r="AB72" i="3"/>
  <c r="AB114" i="37" s="1"/>
  <c r="X72" i="3"/>
  <c r="X114" i="37" s="1"/>
  <c r="AC72" i="3"/>
  <c r="AC114" i="37" s="1"/>
  <c r="Y72" i="3"/>
  <c r="Y114" i="37" s="1"/>
  <c r="M68" i="3"/>
  <c r="AA68" i="3" s="1"/>
  <c r="AA88" i="37" s="1"/>
  <c r="W107" i="37"/>
  <c r="M67" i="3"/>
  <c r="Y67" i="3" s="1"/>
  <c r="Y80" i="37" s="1"/>
  <c r="V107" i="37"/>
  <c r="T30" i="32"/>
  <c r="U30" i="32" s="1"/>
  <c r="V30" i="32" s="1"/>
  <c r="W30" i="32" s="1"/>
  <c r="X30" i="32" s="1"/>
  <c r="Y30" i="32" s="1"/>
  <c r="Z30" i="32" s="1"/>
  <c r="AA30" i="32" s="1"/>
  <c r="AB30" i="32" s="1"/>
  <c r="AC30" i="32" s="1"/>
  <c r="AD30" i="32" s="1"/>
  <c r="U15" i="4"/>
  <c r="U26" i="4"/>
  <c r="Z58" i="3"/>
  <c r="Y58" i="3"/>
  <c r="S58" i="3"/>
  <c r="X58" i="3"/>
  <c r="AA58" i="3"/>
  <c r="W58" i="3"/>
  <c r="AD58" i="3"/>
  <c r="V58" i="3"/>
  <c r="AC58" i="3"/>
  <c r="U58" i="3"/>
  <c r="AB58" i="3"/>
  <c r="T58" i="3"/>
  <c r="AD59" i="3"/>
  <c r="V59" i="3"/>
  <c r="AC59" i="3"/>
  <c r="U59" i="3"/>
  <c r="AB59" i="3"/>
  <c r="T59" i="3"/>
  <c r="AA59" i="3"/>
  <c r="S59" i="3"/>
  <c r="Z59" i="3"/>
  <c r="Y59" i="3"/>
  <c r="X59" i="3"/>
  <c r="W59" i="3"/>
  <c r="V52" i="3"/>
  <c r="U52" i="3"/>
  <c r="T52" i="3"/>
  <c r="S52" i="3"/>
  <c r="U53" i="3"/>
  <c r="T53" i="3"/>
  <c r="S53" i="3"/>
  <c r="T19" i="32"/>
  <c r="U19" i="32" s="1"/>
  <c r="V19" i="32" s="1"/>
  <c r="W19" i="32" s="1"/>
  <c r="X19" i="32" s="1"/>
  <c r="Y19" i="32" s="1"/>
  <c r="Z19" i="32" s="1"/>
  <c r="AA19" i="32" s="1"/>
  <c r="AB19" i="32" s="1"/>
  <c r="AC19" i="32" s="1"/>
  <c r="AD19" i="32" s="1"/>
  <c r="U54" i="3"/>
  <c r="T54" i="3"/>
  <c r="S54" i="3"/>
  <c r="T17" i="32"/>
  <c r="U17" i="32" s="1"/>
  <c r="V17" i="32" s="1"/>
  <c r="W17" i="32" s="1"/>
  <c r="X17" i="32" s="1"/>
  <c r="Y17" i="32" s="1"/>
  <c r="Z17" i="32" s="1"/>
  <c r="AA17" i="32" s="1"/>
  <c r="AB17" i="32" s="1"/>
  <c r="AC17" i="32" s="1"/>
  <c r="AD17" i="32" s="1"/>
  <c r="T16" i="32"/>
  <c r="U16" i="32" s="1"/>
  <c r="V16" i="32" s="1"/>
  <c r="W16" i="32" s="1"/>
  <c r="X16" i="32" s="1"/>
  <c r="Y16" i="32" s="1"/>
  <c r="Z16" i="32" s="1"/>
  <c r="AA16" i="32" s="1"/>
  <c r="AB16" i="32" s="1"/>
  <c r="AC16" i="32" s="1"/>
  <c r="AD16" i="32" s="1"/>
  <c r="T15" i="32"/>
  <c r="U15" i="32" s="1"/>
  <c r="V15" i="32" s="1"/>
  <c r="W15" i="32" s="1"/>
  <c r="X15" i="32" s="1"/>
  <c r="Y15" i="32" s="1"/>
  <c r="Z15" i="32" s="1"/>
  <c r="AA15" i="32" s="1"/>
  <c r="AB15" i="32" s="1"/>
  <c r="AC15" i="32" s="1"/>
  <c r="AD15" i="32" s="1"/>
  <c r="T23" i="32"/>
  <c r="U23" i="32" s="1"/>
  <c r="V23" i="32" s="1"/>
  <c r="W23" i="32" s="1"/>
  <c r="X23" i="32" s="1"/>
  <c r="Y23" i="32" s="1"/>
  <c r="Z23" i="32" s="1"/>
  <c r="AA23" i="32" s="1"/>
  <c r="AB23" i="32" s="1"/>
  <c r="AC23" i="32" s="1"/>
  <c r="AD23" i="32" s="1"/>
  <c r="T18" i="32"/>
  <c r="U18" i="32" s="1"/>
  <c r="V18" i="32" s="1"/>
  <c r="W18" i="32" s="1"/>
  <c r="X18" i="32" s="1"/>
  <c r="Y18" i="32" s="1"/>
  <c r="Z18" i="32" s="1"/>
  <c r="AA18" i="32" s="1"/>
  <c r="AB18" i="32" s="1"/>
  <c r="AC18" i="32" s="1"/>
  <c r="AD18" i="32" s="1"/>
  <c r="T26" i="32"/>
  <c r="U26" i="32" s="1"/>
  <c r="V26" i="32" s="1"/>
  <c r="W26" i="32" s="1"/>
  <c r="X26" i="32" s="1"/>
  <c r="Y26" i="32" s="1"/>
  <c r="Z26" i="32" s="1"/>
  <c r="AA26" i="32" s="1"/>
  <c r="AB26" i="32" s="1"/>
  <c r="AC26" i="32" s="1"/>
  <c r="AD26" i="32" s="1"/>
  <c r="T27" i="32"/>
  <c r="U27" i="32" s="1"/>
  <c r="V27" i="32" s="1"/>
  <c r="W27" i="32" s="1"/>
  <c r="X27" i="32" s="1"/>
  <c r="Y27" i="32" s="1"/>
  <c r="Z27" i="32" s="1"/>
  <c r="AA27" i="32" s="1"/>
  <c r="AB27" i="32" s="1"/>
  <c r="AC27" i="32" s="1"/>
  <c r="AD27" i="32" s="1"/>
  <c r="U24" i="32"/>
  <c r="V24" i="32" s="1"/>
  <c r="W24" i="32" s="1"/>
  <c r="X24" i="32" s="1"/>
  <c r="Y24" i="32" s="1"/>
  <c r="Z24" i="32" s="1"/>
  <c r="AA24" i="32" s="1"/>
  <c r="AB24" i="32" s="1"/>
  <c r="AC24" i="32" s="1"/>
  <c r="AD24" i="32" s="1"/>
  <c r="S20" i="32"/>
  <c r="S28" i="32"/>
  <c r="T66" i="10"/>
  <c r="Q65" i="4"/>
  <c r="Q66" i="4" s="1"/>
  <c r="R36" i="4"/>
  <c r="Y43" i="69"/>
  <c r="W43" i="69"/>
  <c r="N30" i="12" l="1"/>
  <c r="N31" i="12" s="1"/>
  <c r="M155" i="3" s="1"/>
  <c r="V165" i="3" s="1"/>
  <c r="V27" i="34" s="1"/>
  <c r="V29" i="31" s="1"/>
  <c r="P43" i="43"/>
  <c r="P40" i="45" s="1"/>
  <c r="P269" i="3"/>
  <c r="Q43" i="43"/>
  <c r="Q40" i="45" s="1"/>
  <c r="Q269" i="3"/>
  <c r="M269" i="3" s="1"/>
  <c r="R44" i="45"/>
  <c r="R30" i="45"/>
  <c r="V72" i="3"/>
  <c r="V114" i="37" s="1"/>
  <c r="U72" i="3"/>
  <c r="U114" i="37" s="1"/>
  <c r="AC36" i="52"/>
  <c r="S114" i="37"/>
  <c r="AA67" i="3"/>
  <c r="AA80" i="37" s="1"/>
  <c r="U67" i="3"/>
  <c r="U80" i="37" s="1"/>
  <c r="AD67" i="3"/>
  <c r="AD80" i="37" s="1"/>
  <c r="AC67" i="3"/>
  <c r="AC80" i="37" s="1"/>
  <c r="Z67" i="3"/>
  <c r="Z80" i="37" s="1"/>
  <c r="T67" i="3"/>
  <c r="T80" i="37" s="1"/>
  <c r="S68" i="3"/>
  <c r="S88" i="37" s="1"/>
  <c r="AC68" i="3"/>
  <c r="AC88" i="37" s="1"/>
  <c r="V67" i="3"/>
  <c r="V80" i="37" s="1"/>
  <c r="S67" i="3"/>
  <c r="S80" i="37" s="1"/>
  <c r="W68" i="3"/>
  <c r="W88" i="37" s="1"/>
  <c r="W67" i="3"/>
  <c r="W80" i="37" s="1"/>
  <c r="V68" i="3"/>
  <c r="V88" i="37" s="1"/>
  <c r="X68" i="3"/>
  <c r="X88" i="37" s="1"/>
  <c r="AB68" i="3"/>
  <c r="AB88" i="37" s="1"/>
  <c r="X67" i="3"/>
  <c r="X80" i="37" s="1"/>
  <c r="Z68" i="3"/>
  <c r="Z88" i="37" s="1"/>
  <c r="T68" i="3"/>
  <c r="T88" i="37" s="1"/>
  <c r="Y68" i="3"/>
  <c r="Y88" i="37" s="1"/>
  <c r="AB67" i="3"/>
  <c r="AB80" i="37" s="1"/>
  <c r="U68" i="3"/>
  <c r="U88" i="37" s="1"/>
  <c r="AD68" i="3"/>
  <c r="AD88" i="37" s="1"/>
  <c r="S32" i="32"/>
  <c r="S13" i="43" s="1"/>
  <c r="V15" i="4"/>
  <c r="V26" i="4"/>
  <c r="U20" i="32"/>
  <c r="U28" i="32"/>
  <c r="T28" i="32"/>
  <c r="T20" i="32"/>
  <c r="V20" i="32"/>
  <c r="W20" i="32"/>
  <c r="V28" i="32"/>
  <c r="W27" i="69"/>
  <c r="Y27" i="69"/>
  <c r="N32" i="12" l="1"/>
  <c r="AD165" i="3"/>
  <c r="AD27" i="34" s="1"/>
  <c r="AD29" i="31" s="1"/>
  <c r="Z165" i="3"/>
  <c r="Z27" i="34" s="1"/>
  <c r="Z29" i="31" s="1"/>
  <c r="S165" i="3"/>
  <c r="AA165" i="3"/>
  <c r="AA27" i="34" s="1"/>
  <c r="AA29" i="31" s="1"/>
  <c r="T165" i="3"/>
  <c r="T27" i="34" s="1"/>
  <c r="T29" i="31" s="1"/>
  <c r="W165" i="3"/>
  <c r="W27" i="34" s="1"/>
  <c r="W29" i="31" s="1"/>
  <c r="AB165" i="3"/>
  <c r="AB27" i="34" s="1"/>
  <c r="AB29" i="31" s="1"/>
  <c r="Y165" i="3"/>
  <c r="Y27" i="34" s="1"/>
  <c r="Y29" i="31" s="1"/>
  <c r="X165" i="3"/>
  <c r="X27" i="34" s="1"/>
  <c r="X29" i="31" s="1"/>
  <c r="AC165" i="3"/>
  <c r="AC27" i="34" s="1"/>
  <c r="AC29" i="31" s="1"/>
  <c r="U165" i="3"/>
  <c r="U27" i="34" s="1"/>
  <c r="U29" i="31" s="1"/>
  <c r="S129" i="37"/>
  <c r="S38" i="45"/>
  <c r="V269" i="3"/>
  <c r="AC269" i="3"/>
  <c r="Y269" i="3"/>
  <c r="Z269" i="3"/>
  <c r="AD269" i="3"/>
  <c r="S269" i="3"/>
  <c r="W269" i="3"/>
  <c r="U269" i="3"/>
  <c r="AB269" i="3"/>
  <c r="AA269" i="3"/>
  <c r="X269" i="3"/>
  <c r="T269" i="3"/>
  <c r="AD36" i="52"/>
  <c r="U32" i="32"/>
  <c r="U13" i="43" s="1"/>
  <c r="S87" i="37"/>
  <c r="S89" i="37" s="1"/>
  <c r="S90" i="37" s="1"/>
  <c r="S17" i="31" s="1"/>
  <c r="S46" i="52" s="1"/>
  <c r="S113" i="37"/>
  <c r="S115" i="37" s="1"/>
  <c r="S38" i="32"/>
  <c r="S18" i="43" s="1"/>
  <c r="G49" i="71" s="1"/>
  <c r="S37" i="32"/>
  <c r="S14" i="43" s="1"/>
  <c r="S44" i="32"/>
  <c r="S22" i="43" s="1"/>
  <c r="G53" i="71" s="1"/>
  <c r="S39" i="32"/>
  <c r="S19" i="43" s="1"/>
  <c r="G50" i="71" s="1"/>
  <c r="S43" i="32"/>
  <c r="S21" i="43" s="1"/>
  <c r="V32" i="32"/>
  <c r="T32" i="32"/>
  <c r="W15" i="4"/>
  <c r="W26" i="4"/>
  <c r="W28" i="32"/>
  <c r="W32" i="32" s="1"/>
  <c r="X20" i="32"/>
  <c r="Y20" i="32"/>
  <c r="G26" i="53"/>
  <c r="G25" i="53"/>
  <c r="G24" i="53"/>
  <c r="G23" i="53"/>
  <c r="G22" i="53"/>
  <c r="G21" i="53"/>
  <c r="G20" i="53"/>
  <c r="G19" i="53"/>
  <c r="G18" i="53"/>
  <c r="G17" i="53"/>
  <c r="G16" i="53"/>
  <c r="G15" i="53"/>
  <c r="G14" i="53"/>
  <c r="G13" i="53"/>
  <c r="G12" i="53"/>
  <c r="G11" i="53"/>
  <c r="G10" i="53"/>
  <c r="G9" i="53"/>
  <c r="G8" i="53"/>
  <c r="G7" i="53"/>
  <c r="G6" i="53"/>
  <c r="G5" i="53"/>
  <c r="G4" i="53"/>
  <c r="E26" i="53"/>
  <c r="E25" i="53"/>
  <c r="E24" i="53"/>
  <c r="E23" i="53"/>
  <c r="E22" i="53"/>
  <c r="E21" i="53"/>
  <c r="E20" i="53"/>
  <c r="E19" i="53"/>
  <c r="E18" i="53"/>
  <c r="E17" i="53"/>
  <c r="E16" i="53"/>
  <c r="E15" i="53"/>
  <c r="E14" i="53"/>
  <c r="E13" i="53"/>
  <c r="E12" i="53"/>
  <c r="E11" i="53"/>
  <c r="E10" i="53"/>
  <c r="E9" i="53"/>
  <c r="E8" i="53"/>
  <c r="E7" i="53"/>
  <c r="E6" i="53"/>
  <c r="E5" i="53"/>
  <c r="D26" i="53"/>
  <c r="D25" i="53"/>
  <c r="D24" i="53"/>
  <c r="D23" i="53"/>
  <c r="D22" i="53"/>
  <c r="D21" i="53"/>
  <c r="D20" i="53"/>
  <c r="D19" i="53"/>
  <c r="D18" i="53"/>
  <c r="D17" i="53"/>
  <c r="D16" i="53"/>
  <c r="D15" i="53"/>
  <c r="D14" i="53"/>
  <c r="D13" i="53"/>
  <c r="D12" i="53"/>
  <c r="D11" i="53"/>
  <c r="D10" i="53"/>
  <c r="D9" i="53"/>
  <c r="D8" i="53"/>
  <c r="D7" i="53"/>
  <c r="D6" i="53"/>
  <c r="D5" i="53"/>
  <c r="D4" i="53"/>
  <c r="C26" i="53"/>
  <c r="C25" i="53"/>
  <c r="C24" i="53"/>
  <c r="C23" i="53"/>
  <c r="C22" i="53"/>
  <c r="C21" i="53"/>
  <c r="C20" i="53"/>
  <c r="C19" i="53"/>
  <c r="C18" i="53"/>
  <c r="C17" i="53"/>
  <c r="C16" i="53"/>
  <c r="C15" i="53"/>
  <c r="C14" i="53"/>
  <c r="C13" i="53"/>
  <c r="C12" i="53"/>
  <c r="C11" i="53"/>
  <c r="C10" i="53"/>
  <c r="C9" i="53"/>
  <c r="C8" i="53"/>
  <c r="C7" i="53"/>
  <c r="C6" i="53"/>
  <c r="C5" i="53"/>
  <c r="C4" i="53"/>
  <c r="E4" i="53"/>
  <c r="E4" i="60"/>
  <c r="G4" i="60"/>
  <c r="J4" i="60" s="1"/>
  <c r="M4" i="60" s="1"/>
  <c r="O4" i="60" s="1"/>
  <c r="C6" i="60"/>
  <c r="D6" i="60"/>
  <c r="E6" i="60"/>
  <c r="G6" i="60"/>
  <c r="H6" i="60"/>
  <c r="J6" i="60"/>
  <c r="K6" i="60"/>
  <c r="M6" i="60"/>
  <c r="O6" i="60"/>
  <c r="H44" i="53"/>
  <c r="Q14" i="52"/>
  <c r="B8" i="52"/>
  <c r="AD5" i="52"/>
  <c r="AC5" i="52"/>
  <c r="AB5" i="52"/>
  <c r="AA5" i="52"/>
  <c r="Z5" i="52"/>
  <c r="Y5" i="52"/>
  <c r="X5" i="52"/>
  <c r="W5" i="52"/>
  <c r="V5" i="52"/>
  <c r="U5" i="52"/>
  <c r="T5" i="52"/>
  <c r="S5" i="52"/>
  <c r="R5" i="52"/>
  <c r="Q5" i="52"/>
  <c r="P5" i="52"/>
  <c r="O5" i="52"/>
  <c r="N5" i="52"/>
  <c r="S121" i="37" l="1"/>
  <c r="G45" i="71"/>
  <c r="S27" i="34"/>
  <c r="S351" i="40"/>
  <c r="O39" i="60"/>
  <c r="O38" i="60"/>
  <c r="K38" i="60"/>
  <c r="K39" i="60"/>
  <c r="G38" i="60"/>
  <c r="G39" i="60"/>
  <c r="J38" i="60"/>
  <c r="J39" i="60"/>
  <c r="M38" i="60"/>
  <c r="M39" i="60"/>
  <c r="H38" i="60"/>
  <c r="H39" i="60"/>
  <c r="U129" i="37"/>
  <c r="U38" i="45"/>
  <c r="J36" i="60"/>
  <c r="J37" i="60"/>
  <c r="H36" i="60"/>
  <c r="H37" i="60"/>
  <c r="G37" i="60"/>
  <c r="G36" i="60"/>
  <c r="M37" i="60"/>
  <c r="M36" i="60"/>
  <c r="O37" i="60"/>
  <c r="O36" i="60"/>
  <c r="K36" i="60"/>
  <c r="K37" i="60"/>
  <c r="R116" i="52"/>
  <c r="U44" i="32"/>
  <c r="U22" i="43" s="1"/>
  <c r="I53" i="71" s="1"/>
  <c r="S20" i="4"/>
  <c r="S116" i="37"/>
  <c r="S55" i="4"/>
  <c r="U87" i="37"/>
  <c r="U89" i="37" s="1"/>
  <c r="U20" i="4" s="1"/>
  <c r="U113" i="37"/>
  <c r="U115" i="37" s="1"/>
  <c r="U55" i="4" s="1"/>
  <c r="U37" i="32"/>
  <c r="U14" i="43" s="1"/>
  <c r="U43" i="32"/>
  <c r="U21" i="43" s="1"/>
  <c r="U38" i="32"/>
  <c r="U18" i="43" s="1"/>
  <c r="I49" i="71" s="1"/>
  <c r="U39" i="32"/>
  <c r="U19" i="43" s="1"/>
  <c r="I50" i="71" s="1"/>
  <c r="S15" i="43"/>
  <c r="S79" i="37"/>
  <c r="S81" i="37" s="1"/>
  <c r="W13" i="43"/>
  <c r="W44" i="32"/>
  <c r="W22" i="43" s="1"/>
  <c r="K53" i="71" s="1"/>
  <c r="W37" i="32"/>
  <c r="W14" i="43" s="1"/>
  <c r="K45" i="71" s="1"/>
  <c r="W39" i="32"/>
  <c r="W19" i="43" s="1"/>
  <c r="W43" i="32"/>
  <c r="W21" i="43" s="1"/>
  <c r="W38" i="32"/>
  <c r="W18" i="43" s="1"/>
  <c r="T13" i="43"/>
  <c r="T43" i="32"/>
  <c r="T21" i="43" s="1"/>
  <c r="T38" i="32"/>
  <c r="T18" i="43" s="1"/>
  <c r="H49" i="71" s="1"/>
  <c r="T37" i="32"/>
  <c r="T14" i="43" s="1"/>
  <c r="H45" i="71" s="1"/>
  <c r="T44" i="32"/>
  <c r="T22" i="43" s="1"/>
  <c r="H53" i="71" s="1"/>
  <c r="T39" i="32"/>
  <c r="T19" i="43" s="1"/>
  <c r="H50" i="71" s="1"/>
  <c r="V13" i="43"/>
  <c r="V44" i="32"/>
  <c r="V22" i="43" s="1"/>
  <c r="J53" i="71" s="1"/>
  <c r="V39" i="32"/>
  <c r="V19" i="43" s="1"/>
  <c r="V38" i="32"/>
  <c r="V18" i="43" s="1"/>
  <c r="V43" i="32"/>
  <c r="V21" i="43" s="1"/>
  <c r="V37" i="32"/>
  <c r="V14" i="43" s="1"/>
  <c r="J45" i="71" s="1"/>
  <c r="X15" i="4"/>
  <c r="X26" i="4"/>
  <c r="X28" i="32"/>
  <c r="X32" i="32" s="1"/>
  <c r="Z20" i="32"/>
  <c r="R114" i="52"/>
  <c r="Q15" i="52"/>
  <c r="H4" i="53"/>
  <c r="D49" i="53"/>
  <c r="Q20" i="52"/>
  <c r="U121" i="37" l="1"/>
  <c r="I45" i="71"/>
  <c r="S24" i="43"/>
  <c r="G55" i="71" s="1"/>
  <c r="G46" i="71"/>
  <c r="S29" i="31"/>
  <c r="S28" i="34"/>
  <c r="S39" i="45"/>
  <c r="S52" i="45"/>
  <c r="V129" i="37"/>
  <c r="V38" i="45"/>
  <c r="T129" i="37"/>
  <c r="T38" i="45"/>
  <c r="W129" i="37"/>
  <c r="W38" i="45"/>
  <c r="D32" i="53"/>
  <c r="U79" i="37"/>
  <c r="U81" i="37" s="1"/>
  <c r="U15" i="43"/>
  <c r="W79" i="37"/>
  <c r="W81" i="37" s="1"/>
  <c r="W18" i="4" s="1"/>
  <c r="K72" i="71" s="1"/>
  <c r="W121" i="37"/>
  <c r="V79" i="37"/>
  <c r="V81" i="37" s="1"/>
  <c r="V18" i="4" s="1"/>
  <c r="J72" i="71" s="1"/>
  <c r="V121" i="37"/>
  <c r="T79" i="37"/>
  <c r="T81" i="37" s="1"/>
  <c r="T82" i="37" s="1"/>
  <c r="T16" i="31" s="1"/>
  <c r="T121" i="37"/>
  <c r="W87" i="37"/>
  <c r="W89" i="37" s="1"/>
  <c r="W113" i="37"/>
  <c r="W115" i="37" s="1"/>
  <c r="T87" i="37"/>
  <c r="T89" i="37" s="1"/>
  <c r="T20" i="4" s="1"/>
  <c r="T113" i="37"/>
  <c r="T115" i="37" s="1"/>
  <c r="V87" i="37"/>
  <c r="V89" i="37" s="1"/>
  <c r="V20" i="4" s="1"/>
  <c r="V113" i="37"/>
  <c r="V115" i="37" s="1"/>
  <c r="W20" i="4"/>
  <c r="S82" i="37"/>
  <c r="S16" i="31" s="1"/>
  <c r="S18" i="4"/>
  <c r="G72" i="71" s="1"/>
  <c r="X13" i="43"/>
  <c r="X37" i="32"/>
  <c r="X14" i="43" s="1"/>
  <c r="L45" i="71" s="1"/>
  <c r="X38" i="32"/>
  <c r="X18" i="43" s="1"/>
  <c r="X44" i="32"/>
  <c r="X22" i="43" s="1"/>
  <c r="L53" i="71" s="1"/>
  <c r="X43" i="32"/>
  <c r="X21" i="43" s="1"/>
  <c r="X39" i="32"/>
  <c r="X19" i="43" s="1"/>
  <c r="T15" i="43"/>
  <c r="W15" i="43"/>
  <c r="V15" i="43"/>
  <c r="Y15" i="4"/>
  <c r="Y26" i="4"/>
  <c r="Y28" i="32"/>
  <c r="Y32" i="32" s="1"/>
  <c r="AA20" i="32"/>
  <c r="R115" i="52"/>
  <c r="K33" i="69"/>
  <c r="X37" i="69"/>
  <c r="H33" i="69"/>
  <c r="G33" i="69"/>
  <c r="X38" i="69"/>
  <c r="G34" i="69"/>
  <c r="W38" i="69" s="1"/>
  <c r="H34" i="69"/>
  <c r="Y38" i="69" s="1"/>
  <c r="H26" i="69"/>
  <c r="Y40" i="69" s="1"/>
  <c r="G26" i="69"/>
  <c r="W40" i="69" s="1"/>
  <c r="X40" i="69"/>
  <c r="Y39" i="69"/>
  <c r="W39" i="69"/>
  <c r="X39" i="69"/>
  <c r="K21" i="69"/>
  <c r="X42" i="69"/>
  <c r="H21" i="69"/>
  <c r="G21" i="69"/>
  <c r="R113" i="52"/>
  <c r="T45" i="52" l="1"/>
  <c r="H127" i="71"/>
  <c r="S45" i="52"/>
  <c r="G127" i="71"/>
  <c r="T24" i="43"/>
  <c r="H55" i="71" s="1"/>
  <c r="H46" i="71"/>
  <c r="V24" i="43"/>
  <c r="J55" i="71" s="1"/>
  <c r="J46" i="71"/>
  <c r="W24" i="43"/>
  <c r="K55" i="71" s="1"/>
  <c r="K46" i="71"/>
  <c r="S13" i="31"/>
  <c r="G124" i="71" s="1"/>
  <c r="U24" i="43"/>
  <c r="I55" i="71" s="1"/>
  <c r="I46" i="71"/>
  <c r="T26" i="34"/>
  <c r="T28" i="34" s="1"/>
  <c r="U26" i="34" s="1"/>
  <c r="U28" i="34" s="1"/>
  <c r="V26" i="34" s="1"/>
  <c r="V28" i="34" s="1"/>
  <c r="W26" i="34" s="1"/>
  <c r="W28" i="34" s="1"/>
  <c r="X26" i="34" s="1"/>
  <c r="X28" i="34" s="1"/>
  <c r="Y26" i="34" s="1"/>
  <c r="Y28" i="34" s="1"/>
  <c r="Z26" i="34" s="1"/>
  <c r="Z28" i="34" s="1"/>
  <c r="AA26" i="34" s="1"/>
  <c r="AA28" i="34" s="1"/>
  <c r="AB26" i="34" s="1"/>
  <c r="AB28" i="34" s="1"/>
  <c r="AC26" i="34" s="1"/>
  <c r="AC28" i="34" s="1"/>
  <c r="AD26" i="34" s="1"/>
  <c r="AD28" i="34" s="1"/>
  <c r="S62" i="4"/>
  <c r="T62" i="4" s="1"/>
  <c r="U62" i="4" s="1"/>
  <c r="V62" i="4" s="1"/>
  <c r="W62" i="4" s="1"/>
  <c r="X62" i="4" s="1"/>
  <c r="Y62" i="4" s="1"/>
  <c r="Z62" i="4" s="1"/>
  <c r="AA62" i="4" s="1"/>
  <c r="AB62" i="4" s="1"/>
  <c r="AC62" i="4" s="1"/>
  <c r="AD62" i="4" s="1"/>
  <c r="X129" i="37"/>
  <c r="X39" i="52"/>
  <c r="L5" i="71" s="1"/>
  <c r="X38" i="45"/>
  <c r="W41" i="52"/>
  <c r="U13" i="31"/>
  <c r="I124" i="71" s="1"/>
  <c r="T52" i="45"/>
  <c r="W39" i="45"/>
  <c r="W52" i="45"/>
  <c r="V90" i="37"/>
  <c r="V17" i="31" s="1"/>
  <c r="V46" i="52" s="1"/>
  <c r="V82" i="37"/>
  <c r="V16" i="31" s="1"/>
  <c r="U82" i="37"/>
  <c r="U16" i="31" s="1"/>
  <c r="U18" i="4"/>
  <c r="I72" i="71" s="1"/>
  <c r="T18" i="4"/>
  <c r="H72" i="71" s="1"/>
  <c r="W90" i="37"/>
  <c r="W17" i="31" s="1"/>
  <c r="W46" i="52" s="1"/>
  <c r="V116" i="37"/>
  <c r="V55" i="4"/>
  <c r="T116" i="37"/>
  <c r="T55" i="4"/>
  <c r="W116" i="37"/>
  <c r="W55" i="4"/>
  <c r="X87" i="37"/>
  <c r="X89" i="37" s="1"/>
  <c r="X90" i="37" s="1"/>
  <c r="X17" i="31" s="1"/>
  <c r="X46" i="52" s="1"/>
  <c r="L10" i="71" s="1"/>
  <c r="X113" i="37"/>
  <c r="X115" i="37" s="1"/>
  <c r="T90" i="37"/>
  <c r="T17" i="31" s="1"/>
  <c r="T46" i="52" s="1"/>
  <c r="W82" i="37"/>
  <c r="W16" i="31" s="1"/>
  <c r="U90" i="37"/>
  <c r="U17" i="31" s="1"/>
  <c r="U46" i="52" s="1"/>
  <c r="X79" i="37"/>
  <c r="X81" i="37" s="1"/>
  <c r="X82" i="37" s="1"/>
  <c r="X16" i="31" s="1"/>
  <c r="X121" i="37"/>
  <c r="U116" i="37"/>
  <c r="W13" i="31"/>
  <c r="K124" i="71" s="1"/>
  <c r="Y13" i="43"/>
  <c r="Y38" i="32"/>
  <c r="Y18" i="43" s="1"/>
  <c r="Y37" i="32"/>
  <c r="Y14" i="43" s="1"/>
  <c r="M45" i="71" s="1"/>
  <c r="Y44" i="32"/>
  <c r="Y22" i="43" s="1"/>
  <c r="M53" i="71" s="1"/>
  <c r="Y39" i="32"/>
  <c r="Y19" i="43" s="1"/>
  <c r="Y43" i="32"/>
  <c r="Y21" i="43" s="1"/>
  <c r="X15" i="43"/>
  <c r="Z15" i="4"/>
  <c r="Z26" i="4"/>
  <c r="Z28" i="32"/>
  <c r="Z32" i="32" s="1"/>
  <c r="AB20" i="32"/>
  <c r="L33" i="69"/>
  <c r="W37" i="69"/>
  <c r="M33" i="69"/>
  <c r="Y37" i="69"/>
  <c r="X30" i="69"/>
  <c r="X41" i="69"/>
  <c r="X26" i="69"/>
  <c r="W42" i="69"/>
  <c r="L21" i="69"/>
  <c r="M21" i="69"/>
  <c r="Y26" i="69" s="1"/>
  <c r="Y42" i="69"/>
  <c r="S586" i="40"/>
  <c r="AD586" i="40"/>
  <c r="AC586" i="40"/>
  <c r="AB586" i="40"/>
  <c r="AA586" i="40"/>
  <c r="Z586" i="40"/>
  <c r="Y586" i="40"/>
  <c r="X586" i="40"/>
  <c r="W586" i="40"/>
  <c r="V586" i="40"/>
  <c r="U586" i="40"/>
  <c r="T586" i="40"/>
  <c r="T39" i="45" l="1"/>
  <c r="U52" i="45"/>
  <c r="U39" i="45"/>
  <c r="U45" i="52"/>
  <c r="I127" i="71"/>
  <c r="V45" i="52"/>
  <c r="J127" i="71"/>
  <c r="W45" i="52"/>
  <c r="K127" i="71"/>
  <c r="V13" i="31"/>
  <c r="J124" i="71" s="1"/>
  <c r="T13" i="31"/>
  <c r="H124" i="71" s="1"/>
  <c r="V39" i="45"/>
  <c r="X45" i="52"/>
  <c r="L9" i="71" s="1"/>
  <c r="L127" i="71"/>
  <c r="X24" i="43"/>
  <c r="L55" i="71" s="1"/>
  <c r="L46" i="71"/>
  <c r="V52" i="45"/>
  <c r="Y129" i="37"/>
  <c r="Y38" i="45"/>
  <c r="Y39" i="52"/>
  <c r="M5" i="71" s="1"/>
  <c r="X18" i="4"/>
  <c r="L72" i="71" s="1"/>
  <c r="X116" i="37"/>
  <c r="X55" i="4"/>
  <c r="Y87" i="37"/>
  <c r="Y89" i="37" s="1"/>
  <c r="Y20" i="4" s="1"/>
  <c r="Y113" i="37"/>
  <c r="Y115" i="37" s="1"/>
  <c r="Y79" i="37"/>
  <c r="Y81" i="37" s="1"/>
  <c r="Y82" i="37" s="1"/>
  <c r="Y16" i="31" s="1"/>
  <c r="Y121" i="37"/>
  <c r="X20" i="4"/>
  <c r="Y15" i="43"/>
  <c r="Z13" i="43"/>
  <c r="Z44" i="32"/>
  <c r="Z22" i="43" s="1"/>
  <c r="N53" i="71" s="1"/>
  <c r="Z39" i="32"/>
  <c r="Z19" i="43" s="1"/>
  <c r="Z37" i="32"/>
  <c r="Z14" i="43" s="1"/>
  <c r="N45" i="71" s="1"/>
  <c r="Z43" i="32"/>
  <c r="Z21" i="43" s="1"/>
  <c r="Z38" i="32"/>
  <c r="Z18" i="43" s="1"/>
  <c r="AA15" i="4"/>
  <c r="AA26" i="4"/>
  <c r="AA28" i="32"/>
  <c r="AA32" i="32" s="1"/>
  <c r="AD20" i="32"/>
  <c r="AC20" i="32"/>
  <c r="Y30" i="69"/>
  <c r="W30" i="69"/>
  <c r="W41" i="69"/>
  <c r="W26" i="69"/>
  <c r="Y41" i="69"/>
  <c r="X25" i="69"/>
  <c r="X91" i="3"/>
  <c r="W45" i="37"/>
  <c r="V45" i="37"/>
  <c r="U45" i="37"/>
  <c r="T45" i="37"/>
  <c r="S45" i="37"/>
  <c r="W24" i="37"/>
  <c r="V24" i="37"/>
  <c r="U24" i="37"/>
  <c r="T24" i="37"/>
  <c r="S24" i="37"/>
  <c r="AD24" i="37"/>
  <c r="X13" i="31" l="1"/>
  <c r="L124" i="71" s="1"/>
  <c r="X52" i="45"/>
  <c r="X39" i="45"/>
  <c r="Y24" i="43"/>
  <c r="M55" i="71" s="1"/>
  <c r="M46" i="71"/>
  <c r="Y45" i="52"/>
  <c r="M9" i="71" s="1"/>
  <c r="M127" i="71"/>
  <c r="X41" i="52"/>
  <c r="X42" i="52" s="1"/>
  <c r="Z129" i="37"/>
  <c r="Z38" i="45"/>
  <c r="Z39" i="52"/>
  <c r="N5" i="71" s="1"/>
  <c r="Y18" i="4"/>
  <c r="M72" i="71" s="1"/>
  <c r="Y39" i="45"/>
  <c r="Y52" i="45"/>
  <c r="Y90" i="37"/>
  <c r="Y17" i="31" s="1"/>
  <c r="Y46" i="52" s="1"/>
  <c r="M10" i="71" s="1"/>
  <c r="Y116" i="37"/>
  <c r="Y55" i="4"/>
  <c r="Z79" i="37"/>
  <c r="Z81" i="37" s="1"/>
  <c r="Z82" i="37" s="1"/>
  <c r="Z16" i="31" s="1"/>
  <c r="Z121" i="37"/>
  <c r="Z87" i="37"/>
  <c r="Z89" i="37" s="1"/>
  <c r="Z90" i="37" s="1"/>
  <c r="Z17" i="31" s="1"/>
  <c r="Z46" i="52" s="1"/>
  <c r="N10" i="71" s="1"/>
  <c r="Z113" i="37"/>
  <c r="Z115" i="37" s="1"/>
  <c r="AA13" i="43"/>
  <c r="AA43" i="32"/>
  <c r="AA21" i="43" s="1"/>
  <c r="AA37" i="32"/>
  <c r="AA14" i="43" s="1"/>
  <c r="O45" i="71" s="1"/>
  <c r="AA38" i="32"/>
  <c r="AA18" i="43" s="1"/>
  <c r="AA44" i="32"/>
  <c r="AA22" i="43" s="1"/>
  <c r="O53" i="71" s="1"/>
  <c r="AA39" i="32"/>
  <c r="AA19" i="43" s="1"/>
  <c r="Z15" i="43"/>
  <c r="AB15" i="4"/>
  <c r="AB26" i="4"/>
  <c r="AB28" i="32"/>
  <c r="AB32" i="32" s="1"/>
  <c r="Y25" i="69"/>
  <c r="W25" i="69"/>
  <c r="Y24" i="37"/>
  <c r="Z24" i="37"/>
  <c r="AA24" i="37"/>
  <c r="AB24" i="37"/>
  <c r="X45" i="37"/>
  <c r="AC24" i="37"/>
  <c r="Y45" i="37"/>
  <c r="X24" i="37"/>
  <c r="Y13" i="31" l="1"/>
  <c r="M124" i="71" s="1"/>
  <c r="Y41" i="52"/>
  <c r="M6" i="71" s="1"/>
  <c r="L6" i="71"/>
  <c r="Z24" i="43"/>
  <c r="N55" i="71" s="1"/>
  <c r="N46" i="71"/>
  <c r="Z45" i="52"/>
  <c r="N9" i="71" s="1"/>
  <c r="N127" i="71"/>
  <c r="Y42" i="52"/>
  <c r="AA129" i="37"/>
  <c r="AA38" i="45"/>
  <c r="AA39" i="52"/>
  <c r="O5" i="71" s="1"/>
  <c r="Z52" i="45"/>
  <c r="Z20" i="4"/>
  <c r="Z116" i="37"/>
  <c r="Z55" i="4"/>
  <c r="Z18" i="4"/>
  <c r="N72" i="71" s="1"/>
  <c r="AA87" i="37"/>
  <c r="AA89" i="37" s="1"/>
  <c r="AA20" i="4" s="1"/>
  <c r="AA113" i="37"/>
  <c r="AA115" i="37" s="1"/>
  <c r="AA79" i="37"/>
  <c r="AA81" i="37" s="1"/>
  <c r="AA82" i="37" s="1"/>
  <c r="AA16" i="31" s="1"/>
  <c r="AA121" i="37"/>
  <c r="AB13" i="43"/>
  <c r="AB38" i="32"/>
  <c r="AB18" i="43" s="1"/>
  <c r="AB43" i="32"/>
  <c r="AB21" i="43" s="1"/>
  <c r="AB44" i="32"/>
  <c r="AB22" i="43" s="1"/>
  <c r="P53" i="71" s="1"/>
  <c r="AB37" i="32"/>
  <c r="AB14" i="43" s="1"/>
  <c r="P45" i="71" s="1"/>
  <c r="AB39" i="32"/>
  <c r="AB19" i="43" s="1"/>
  <c r="AA15" i="43"/>
  <c r="Z13" i="31"/>
  <c r="N124" i="71" s="1"/>
  <c r="AC15" i="4"/>
  <c r="AC26" i="4"/>
  <c r="AD28" i="32"/>
  <c r="AD32" i="32" s="1"/>
  <c r="AC28" i="32"/>
  <c r="AC32" i="32" s="1"/>
  <c r="Z45" i="37"/>
  <c r="Z39" i="45" l="1"/>
  <c r="Z41" i="52"/>
  <c r="Z42" i="52" s="1"/>
  <c r="AA24" i="43"/>
  <c r="O55" i="71" s="1"/>
  <c r="O46" i="71"/>
  <c r="AA45" i="52"/>
  <c r="O9" i="71" s="1"/>
  <c r="O127" i="71"/>
  <c r="AB129" i="37"/>
  <c r="AB39" i="52"/>
  <c r="P5" i="71" s="1"/>
  <c r="AB38" i="45"/>
  <c r="N6" i="71"/>
  <c r="AA39" i="45"/>
  <c r="AA52" i="45"/>
  <c r="AA18" i="4"/>
  <c r="O72" i="71" s="1"/>
  <c r="AA116" i="37"/>
  <c r="AA55" i="4"/>
  <c r="AB87" i="37"/>
  <c r="AB89" i="37" s="1"/>
  <c r="AB90" i="37" s="1"/>
  <c r="AB17" i="31" s="1"/>
  <c r="AB46" i="52" s="1"/>
  <c r="P10" i="71" s="1"/>
  <c r="AB113" i="37"/>
  <c r="AB115" i="37" s="1"/>
  <c r="AB79" i="37"/>
  <c r="AB81" i="37" s="1"/>
  <c r="AB82" i="37" s="1"/>
  <c r="AB16" i="31" s="1"/>
  <c r="AB121" i="37"/>
  <c r="AA90" i="37"/>
  <c r="AA17" i="31" s="1"/>
  <c r="AA46" i="52" s="1"/>
  <c r="O10" i="71" s="1"/>
  <c r="AA13" i="31"/>
  <c r="O124" i="71" s="1"/>
  <c r="AD13" i="43"/>
  <c r="AD38" i="32"/>
  <c r="AD18" i="43" s="1"/>
  <c r="AD37" i="32"/>
  <c r="AD14" i="43" s="1"/>
  <c r="AD39" i="32"/>
  <c r="AD19" i="43" s="1"/>
  <c r="AD43" i="32"/>
  <c r="AD21" i="43" s="1"/>
  <c r="AD44" i="32"/>
  <c r="AD22" i="43" s="1"/>
  <c r="AC13" i="43"/>
  <c r="AC37" i="32"/>
  <c r="AC14" i="43" s="1"/>
  <c r="AC39" i="32"/>
  <c r="AC19" i="43" s="1"/>
  <c r="AC44" i="32"/>
  <c r="AC22" i="43" s="1"/>
  <c r="AC38" i="32"/>
  <c r="AC18" i="43" s="1"/>
  <c r="AC43" i="32"/>
  <c r="AC21" i="43" s="1"/>
  <c r="AB15" i="43"/>
  <c r="AD15" i="4"/>
  <c r="AD26" i="4"/>
  <c r="AA45" i="37"/>
  <c r="AA41" i="52" l="1"/>
  <c r="O6" i="71" s="1"/>
  <c r="AB24" i="43"/>
  <c r="P55" i="71" s="1"/>
  <c r="P46" i="71"/>
  <c r="AB45" i="52"/>
  <c r="P9" i="71" s="1"/>
  <c r="P127" i="71"/>
  <c r="AD129" i="37"/>
  <c r="AD38" i="45"/>
  <c r="AD39" i="52"/>
  <c r="AC129" i="37"/>
  <c r="AC38" i="45"/>
  <c r="AC39" i="52"/>
  <c r="AB20" i="4"/>
  <c r="AB116" i="37"/>
  <c r="AB55" i="4"/>
  <c r="AB18" i="4"/>
  <c r="P72" i="71" s="1"/>
  <c r="AC87" i="37"/>
  <c r="AC89" i="37" s="1"/>
  <c r="AC20" i="4" s="1"/>
  <c r="AC113" i="37"/>
  <c r="AC115" i="37" s="1"/>
  <c r="AD79" i="37"/>
  <c r="AD81" i="37" s="1"/>
  <c r="AD18" i="4" s="1"/>
  <c r="AD121" i="37"/>
  <c r="AD87" i="37"/>
  <c r="AD89" i="37" s="1"/>
  <c r="AD20" i="4" s="1"/>
  <c r="AD113" i="37"/>
  <c r="AD115" i="37" s="1"/>
  <c r="AC79" i="37"/>
  <c r="AC81" i="37" s="1"/>
  <c r="AC18" i="4" s="1"/>
  <c r="AC121" i="37"/>
  <c r="AD15" i="43"/>
  <c r="AD24" i="43" s="1"/>
  <c r="AC15" i="43"/>
  <c r="AC24" i="43" s="1"/>
  <c r="AB45" i="37"/>
  <c r="AA42" i="52" l="1"/>
  <c r="AB39" i="45"/>
  <c r="AB13" i="31"/>
  <c r="P124" i="71" s="1"/>
  <c r="AB52" i="45"/>
  <c r="AB41" i="52"/>
  <c r="P6" i="71" s="1"/>
  <c r="AB95" i="52"/>
  <c r="AC41" i="52"/>
  <c r="AC42" i="52" s="1"/>
  <c r="AD52" i="45"/>
  <c r="AD39" i="45"/>
  <c r="AC52" i="45"/>
  <c r="AC39" i="45"/>
  <c r="AC90" i="37"/>
  <c r="AC17" i="31" s="1"/>
  <c r="AC46" i="52" s="1"/>
  <c r="AC82" i="37"/>
  <c r="AC16" i="31" s="1"/>
  <c r="AC45" i="52" s="1"/>
  <c r="AD82" i="37"/>
  <c r="AD16" i="31" s="1"/>
  <c r="AD45" i="52" s="1"/>
  <c r="AD116" i="37"/>
  <c r="AD55" i="4"/>
  <c r="AC116" i="37"/>
  <c r="AC55" i="4"/>
  <c r="AD90" i="37"/>
  <c r="AD17" i="31" s="1"/>
  <c r="AD46" i="52" s="1"/>
  <c r="AC13" i="31"/>
  <c r="AD13" i="31"/>
  <c r="AD45" i="37"/>
  <c r="AC45" i="37"/>
  <c r="AB42" i="52" l="1"/>
  <c r="W47" i="34"/>
  <c r="V47" i="34"/>
  <c r="U47" i="34"/>
  <c r="T47" i="34"/>
  <c r="R21" i="34"/>
  <c r="Q21" i="34"/>
  <c r="R14" i="34"/>
  <c r="R61" i="4" s="1"/>
  <c r="R64" i="4" s="1"/>
  <c r="X92" i="3"/>
  <c r="S18" i="37"/>
  <c r="S25" i="31" s="1"/>
  <c r="W18" i="37"/>
  <c r="W25" i="31" s="1"/>
  <c r="V18" i="37"/>
  <c r="V25" i="31" s="1"/>
  <c r="U18" i="37"/>
  <c r="U25" i="31" s="1"/>
  <c r="T18" i="37"/>
  <c r="T25" i="31" s="1"/>
  <c r="R47" i="45" l="1"/>
  <c r="R28" i="45"/>
  <c r="R29" i="45"/>
  <c r="R65" i="4"/>
  <c r="R66" i="4" s="1"/>
  <c r="Y92" i="3"/>
  <c r="X18" i="37"/>
  <c r="X25" i="31" s="1"/>
  <c r="X56" i="52" s="1"/>
  <c r="L18" i="71" s="1"/>
  <c r="Y47" i="34"/>
  <c r="X47" i="34"/>
  <c r="Y18" i="37" l="1"/>
  <c r="Y25" i="31" s="1"/>
  <c r="Y56" i="52" s="1"/>
  <c r="M18" i="71" s="1"/>
  <c r="Z92" i="3"/>
  <c r="Z47" i="34"/>
  <c r="S60" i="37"/>
  <c r="S62" i="37" s="1"/>
  <c r="R24" i="11"/>
  <c r="R28" i="11" s="1"/>
  <c r="R36" i="11" s="1"/>
  <c r="R39" i="11" s="1"/>
  <c r="R64" i="10"/>
  <c r="R65" i="10" s="1"/>
  <c r="R66" i="10" s="1"/>
  <c r="Q64" i="10"/>
  <c r="Q65" i="10" s="1"/>
  <c r="Q66" i="10" s="1"/>
  <c r="R81" i="52" l="1"/>
  <c r="R84" i="52" s="1"/>
  <c r="Q71" i="37"/>
  <c r="Q72" i="37" s="1"/>
  <c r="Q66" i="3" s="1"/>
  <c r="O13" i="45"/>
  <c r="O14" i="45" s="1"/>
  <c r="P14" i="45"/>
  <c r="Q14" i="45"/>
  <c r="G38" i="71"/>
  <c r="H38" i="71"/>
  <c r="R14" i="45"/>
  <c r="Z18" i="37"/>
  <c r="Z25" i="31" s="1"/>
  <c r="Z56" i="52" s="1"/>
  <c r="N18" i="71" s="1"/>
  <c r="AA92" i="3"/>
  <c r="T60" i="37"/>
  <c r="T62" i="37" s="1"/>
  <c r="U60" i="37" s="1"/>
  <c r="U62" i="37" s="1"/>
  <c r="V60" i="37" s="1"/>
  <c r="V62" i="37" s="1"/>
  <c r="W60" i="37" s="1"/>
  <c r="W62" i="37" s="1"/>
  <c r="X60" i="37" s="1"/>
  <c r="X62" i="37" s="1"/>
  <c r="Y60" i="37" s="1"/>
  <c r="Y62" i="37" s="1"/>
  <c r="Z60" i="37" s="1"/>
  <c r="Z62" i="37" s="1"/>
  <c r="AA60" i="37" s="1"/>
  <c r="AA62" i="37" s="1"/>
  <c r="AB60" i="37" s="1"/>
  <c r="AB62" i="37" s="1"/>
  <c r="AC60" i="37" s="1"/>
  <c r="AC62" i="37" s="1"/>
  <c r="AD60" i="37" s="1"/>
  <c r="AD62" i="37" s="1"/>
  <c r="AA47" i="34"/>
  <c r="Y180" i="3"/>
  <c r="X180" i="3"/>
  <c r="W180" i="3"/>
  <c r="V180" i="3"/>
  <c r="U180" i="3"/>
  <c r="W152" i="3"/>
  <c r="V152" i="3"/>
  <c r="U152" i="3"/>
  <c r="T152" i="3"/>
  <c r="S152" i="3"/>
  <c r="G29" i="71" l="1"/>
  <c r="R112" i="52"/>
  <c r="E48" i="53"/>
  <c r="E49" i="53" s="1"/>
  <c r="AB92" i="3"/>
  <c r="AA18" i="37"/>
  <c r="AA25" i="31" s="1"/>
  <c r="AA56" i="52" s="1"/>
  <c r="O18" i="71" s="1"/>
  <c r="AB47" i="34"/>
  <c r="R180" i="3"/>
  <c r="R124" i="3"/>
  <c r="R138" i="3"/>
  <c r="R166" i="3"/>
  <c r="R152" i="3"/>
  <c r="R110" i="3"/>
  <c r="L26" i="69" l="1"/>
  <c r="L34" i="69"/>
  <c r="R109" i="52"/>
  <c r="R110" i="52"/>
  <c r="C13" i="69"/>
  <c r="K26" i="69" s="1"/>
  <c r="G28" i="71"/>
  <c r="R111" i="52"/>
  <c r="E50" i="53"/>
  <c r="Q23" i="52"/>
  <c r="Q24" i="52" s="1"/>
  <c r="H49" i="53"/>
  <c r="AB18" i="37"/>
  <c r="AB25" i="31" s="1"/>
  <c r="AB56" i="52" s="1"/>
  <c r="P18" i="71" s="1"/>
  <c r="AC92" i="3"/>
  <c r="AD47" i="34"/>
  <c r="AC47" i="34"/>
  <c r="M26" i="69" l="1"/>
  <c r="K34" i="69"/>
  <c r="M34" i="69"/>
  <c r="Y31" i="69" s="1"/>
  <c r="P33" i="69"/>
  <c r="Q21" i="69"/>
  <c r="U21" i="69"/>
  <c r="Q33" i="69"/>
  <c r="P21" i="69"/>
  <c r="U33" i="69"/>
  <c r="T21" i="69"/>
  <c r="O21" i="69"/>
  <c r="T33" i="69"/>
  <c r="S21" i="69"/>
  <c r="O33" i="69"/>
  <c r="S33" i="69"/>
  <c r="J21" i="69"/>
  <c r="J33" i="69"/>
  <c r="G39" i="71"/>
  <c r="H39" i="71"/>
  <c r="AD92" i="3"/>
  <c r="AD18" i="37"/>
  <c r="AD25" i="31" s="1"/>
  <c r="AD56" i="52" s="1"/>
  <c r="AC18" i="37"/>
  <c r="AC25" i="31" s="1"/>
  <c r="AC56" i="52" s="1"/>
  <c r="Q26" i="69" l="1"/>
  <c r="U26" i="69"/>
  <c r="Q34" i="69"/>
  <c r="U34" i="69"/>
  <c r="O26" i="69"/>
  <c r="S26" i="69"/>
  <c r="P34" i="69"/>
  <c r="T34" i="69"/>
  <c r="W24" i="69"/>
  <c r="P26" i="69"/>
  <c r="T26" i="69"/>
  <c r="O34" i="69"/>
  <c r="S34" i="69"/>
  <c r="X31" i="69"/>
  <c r="J34" i="69"/>
  <c r="J26" i="69"/>
  <c r="X23" i="69"/>
  <c r="Y24" i="69"/>
  <c r="W23" i="69"/>
  <c r="Y23" i="69"/>
  <c r="W31" i="69"/>
  <c r="X24" i="69"/>
  <c r="R25" i="45" l="1"/>
  <c r="Q25" i="45"/>
  <c r="AD45" i="34" l="1"/>
  <c r="AC45" i="34"/>
  <c r="AB45" i="34"/>
  <c r="AA45" i="34"/>
  <c r="Z45" i="34"/>
  <c r="Y45" i="34"/>
  <c r="X45" i="34"/>
  <c r="W45" i="34"/>
  <c r="V45" i="34"/>
  <c r="U45" i="34"/>
  <c r="T45" i="34"/>
  <c r="S47" i="34" l="1"/>
  <c r="AD39" i="34" l="1"/>
  <c r="AC39" i="34"/>
  <c r="AB39" i="34"/>
  <c r="AA39" i="34"/>
  <c r="Z39" i="34"/>
  <c r="Y39" i="34"/>
  <c r="X39" i="34"/>
  <c r="W39" i="34"/>
  <c r="V39" i="34"/>
  <c r="U39" i="34"/>
  <c r="T39" i="34"/>
  <c r="S39" i="34"/>
  <c r="AD34" i="34" l="1"/>
  <c r="AC34" i="34"/>
  <c r="AB34" i="34"/>
  <c r="AA34" i="34"/>
  <c r="Z34" i="34"/>
  <c r="Y34" i="34"/>
  <c r="X34" i="34"/>
  <c r="W34" i="34"/>
  <c r="V34" i="34"/>
  <c r="U34" i="34"/>
  <c r="T34" i="34"/>
  <c r="S34" i="34"/>
  <c r="R34" i="34"/>
  <c r="Q34" i="34"/>
  <c r="AD573" i="40" l="1"/>
  <c r="AC573" i="40"/>
  <c r="AB573" i="40"/>
  <c r="AA573" i="40"/>
  <c r="Z573" i="40"/>
  <c r="Y573" i="40"/>
  <c r="X573" i="40"/>
  <c r="W573" i="40"/>
  <c r="V573" i="40"/>
  <c r="U573" i="40"/>
  <c r="T573" i="40"/>
  <c r="S573" i="40"/>
  <c r="AD569" i="40"/>
  <c r="AC569" i="40"/>
  <c r="AB569" i="40"/>
  <c r="AA569" i="40"/>
  <c r="Z569" i="40"/>
  <c r="Y569" i="40"/>
  <c r="X569" i="40"/>
  <c r="W569" i="40"/>
  <c r="V569" i="40"/>
  <c r="U569" i="40"/>
  <c r="T569" i="40"/>
  <c r="S569" i="40"/>
  <c r="M250" i="3"/>
  <c r="AD565" i="40"/>
  <c r="AC565" i="40"/>
  <c r="AB565" i="40"/>
  <c r="AA565" i="40"/>
  <c r="Z565" i="40"/>
  <c r="Y565" i="40"/>
  <c r="X565" i="40"/>
  <c r="W565" i="40"/>
  <c r="V565" i="40"/>
  <c r="U565" i="40"/>
  <c r="T565" i="40"/>
  <c r="S565" i="40"/>
  <c r="Q596" i="40"/>
  <c r="Q597" i="40" s="1"/>
  <c r="Q582" i="40"/>
  <c r="S581" i="40"/>
  <c r="AD568" i="40"/>
  <c r="AC568" i="40"/>
  <c r="AB568" i="40"/>
  <c r="AA568" i="40"/>
  <c r="Z568" i="40"/>
  <c r="Y568" i="40"/>
  <c r="X568" i="40"/>
  <c r="W568" i="40"/>
  <c r="V568" i="40"/>
  <c r="U568" i="40"/>
  <c r="T568" i="40"/>
  <c r="S568" i="40"/>
  <c r="AD599" i="40"/>
  <c r="AC599" i="40"/>
  <c r="AB599" i="40"/>
  <c r="AA599" i="40"/>
  <c r="Z599" i="40"/>
  <c r="Y599" i="40"/>
  <c r="X599" i="40"/>
  <c r="W599" i="40"/>
  <c r="V599" i="40"/>
  <c r="U599" i="40"/>
  <c r="T599" i="40"/>
  <c r="S599" i="40"/>
  <c r="R247" i="3"/>
  <c r="Y252" i="3" l="1"/>
  <c r="V252" i="3"/>
  <c r="AA252" i="3"/>
  <c r="S252" i="3"/>
  <c r="Z252" i="3"/>
  <c r="X252" i="3"/>
  <c r="X582" i="40" s="1"/>
  <c r="W252" i="3"/>
  <c r="W582" i="40" s="1"/>
  <c r="AD252" i="3"/>
  <c r="AD582" i="40" s="1"/>
  <c r="AC252" i="3"/>
  <c r="U252" i="3"/>
  <c r="AB252" i="3"/>
  <c r="T252" i="3"/>
  <c r="T582" i="40" s="1"/>
  <c r="Y582" i="40"/>
  <c r="S582" i="40"/>
  <c r="AA582" i="40"/>
  <c r="U582" i="40"/>
  <c r="AC582" i="40"/>
  <c r="V582" i="40"/>
  <c r="Z582" i="40"/>
  <c r="AB582" i="40"/>
  <c r="Z570" i="40"/>
  <c r="T571" i="40"/>
  <c r="AB571" i="40"/>
  <c r="U570" i="40"/>
  <c r="AC570" i="40"/>
  <c r="Y570" i="40"/>
  <c r="X570" i="40"/>
  <c r="W570" i="40"/>
  <c r="S571" i="40"/>
  <c r="AA570" i="40"/>
  <c r="V570" i="40"/>
  <c r="AD570" i="40"/>
  <c r="W571" i="40"/>
  <c r="X571" i="40"/>
  <c r="Y571" i="40"/>
  <c r="Z571" i="40"/>
  <c r="AC571" i="40"/>
  <c r="S570" i="40"/>
  <c r="T570" i="40"/>
  <c r="AB570" i="40"/>
  <c r="AA571" i="40"/>
  <c r="U571" i="40"/>
  <c r="V571" i="40"/>
  <c r="AD571" i="40"/>
  <c r="S576" i="40" l="1"/>
  <c r="S578" i="40" s="1"/>
  <c r="S583" i="40"/>
  <c r="S606" i="40" s="1"/>
  <c r="V576" i="40"/>
  <c r="V578" i="40" s="1"/>
  <c r="U576" i="40"/>
  <c r="U578" i="40" s="1"/>
  <c r="V603" i="40" s="1"/>
  <c r="W576" i="40"/>
  <c r="W578" i="40" s="1"/>
  <c r="AB576" i="40"/>
  <c r="AB578" i="40" s="1"/>
  <c r="Y576" i="40"/>
  <c r="Y578" i="40" s="1"/>
  <c r="AA576" i="40"/>
  <c r="AA578" i="40" s="1"/>
  <c r="AD576" i="40"/>
  <c r="AD578" i="40" s="1"/>
  <c r="T576" i="40"/>
  <c r="T578" i="40" s="1"/>
  <c r="AC576" i="40"/>
  <c r="AC578" i="40" s="1"/>
  <c r="Z576" i="40"/>
  <c r="Z578" i="40" s="1"/>
  <c r="X576" i="40"/>
  <c r="X578" i="40" s="1"/>
  <c r="AD603" i="40" l="1"/>
  <c r="AC603" i="40"/>
  <c r="AA603" i="40"/>
  <c r="Y603" i="40"/>
  <c r="U603" i="40"/>
  <c r="Z603" i="40"/>
  <c r="X603" i="40"/>
  <c r="W603" i="40"/>
  <c r="T603" i="40"/>
  <c r="S603" i="40"/>
  <c r="AB603" i="40"/>
  <c r="M575" i="40"/>
  <c r="AD587" i="40" l="1"/>
  <c r="V587" i="40"/>
  <c r="AC587" i="40"/>
  <c r="U587" i="40"/>
  <c r="W587" i="40"/>
  <c r="AB587" i="40"/>
  <c r="T587" i="40"/>
  <c r="AA587" i="40"/>
  <c r="S587" i="40"/>
  <c r="Z587" i="40"/>
  <c r="Y587" i="40"/>
  <c r="X587" i="40"/>
  <c r="T184" i="40" l="1"/>
  <c r="U184" i="40"/>
  <c r="V184" i="40"/>
  <c r="W184" i="40"/>
  <c r="X184" i="40"/>
  <c r="Y184" i="40"/>
  <c r="Z184" i="40"/>
  <c r="AA184" i="40"/>
  <c r="AB184" i="40"/>
  <c r="AC184" i="40"/>
  <c r="AD184" i="40"/>
  <c r="AC536" i="40"/>
  <c r="AB536" i="40"/>
  <c r="AA536" i="40"/>
  <c r="Z536" i="40"/>
  <c r="Y536" i="40"/>
  <c r="X536" i="40"/>
  <c r="W536" i="40"/>
  <c r="V536" i="40"/>
  <c r="U536" i="40"/>
  <c r="S535" i="40"/>
  <c r="AD527" i="40"/>
  <c r="AC527" i="40"/>
  <c r="AB527" i="40"/>
  <c r="AA527" i="40"/>
  <c r="Z527" i="40"/>
  <c r="Y527" i="40"/>
  <c r="X527" i="40"/>
  <c r="W527" i="40"/>
  <c r="V527" i="40"/>
  <c r="U527" i="40"/>
  <c r="T527" i="40"/>
  <c r="S527" i="40"/>
  <c r="AD523" i="40"/>
  <c r="AC523" i="40"/>
  <c r="AB523" i="40"/>
  <c r="AA523" i="40"/>
  <c r="Z523" i="40"/>
  <c r="Y523" i="40"/>
  <c r="X523" i="40"/>
  <c r="W523" i="40"/>
  <c r="V523" i="40"/>
  <c r="U523" i="40"/>
  <c r="T523" i="40"/>
  <c r="S523" i="40"/>
  <c r="AD522" i="40"/>
  <c r="AC522" i="40"/>
  <c r="AB522" i="40"/>
  <c r="AA522" i="40"/>
  <c r="Z522" i="40"/>
  <c r="Y522" i="40"/>
  <c r="X522" i="40"/>
  <c r="W522" i="40"/>
  <c r="V522" i="40"/>
  <c r="U522" i="40"/>
  <c r="T522" i="40"/>
  <c r="S522" i="40"/>
  <c r="X512" i="40"/>
  <c r="S489" i="40"/>
  <c r="AD481" i="40"/>
  <c r="AC481" i="40"/>
  <c r="AB481" i="40"/>
  <c r="AA481" i="40"/>
  <c r="Z481" i="40"/>
  <c r="Y481" i="40"/>
  <c r="X481" i="40"/>
  <c r="W481" i="40"/>
  <c r="V481" i="40"/>
  <c r="U481" i="40"/>
  <c r="T481" i="40"/>
  <c r="S481" i="40"/>
  <c r="AD477" i="40"/>
  <c r="AC477" i="40"/>
  <c r="AB477" i="40"/>
  <c r="AA477" i="40"/>
  <c r="Z477" i="40"/>
  <c r="Y477" i="40"/>
  <c r="X477" i="40"/>
  <c r="W477" i="40"/>
  <c r="V477" i="40"/>
  <c r="U477" i="40"/>
  <c r="T477" i="40"/>
  <c r="S477" i="40"/>
  <c r="AD476" i="40"/>
  <c r="AC476" i="40"/>
  <c r="AB476" i="40"/>
  <c r="AA476" i="40"/>
  <c r="Z476" i="40"/>
  <c r="Y476" i="40"/>
  <c r="X476" i="40"/>
  <c r="W476" i="40"/>
  <c r="V476" i="40"/>
  <c r="U476" i="40"/>
  <c r="T476" i="40"/>
  <c r="S476" i="40"/>
  <c r="S443" i="40"/>
  <c r="AD435" i="40"/>
  <c r="AC435" i="40"/>
  <c r="AB435" i="40"/>
  <c r="AA435" i="40"/>
  <c r="Z435" i="40"/>
  <c r="Y435" i="40"/>
  <c r="X435" i="40"/>
  <c r="W435" i="40"/>
  <c r="V435" i="40"/>
  <c r="U435" i="40"/>
  <c r="T435" i="40"/>
  <c r="S435" i="40"/>
  <c r="AD431" i="40"/>
  <c r="AC431" i="40"/>
  <c r="AB431" i="40"/>
  <c r="AA431" i="40"/>
  <c r="Z431" i="40"/>
  <c r="Y431" i="40"/>
  <c r="X431" i="40"/>
  <c r="W431" i="40"/>
  <c r="V431" i="40"/>
  <c r="U431" i="40"/>
  <c r="T431" i="40"/>
  <c r="S431" i="40"/>
  <c r="AD430" i="40"/>
  <c r="AC430" i="40"/>
  <c r="AB430" i="40"/>
  <c r="AA430" i="40"/>
  <c r="Z430" i="40"/>
  <c r="Y430" i="40"/>
  <c r="X430" i="40"/>
  <c r="W430" i="40"/>
  <c r="V430" i="40"/>
  <c r="U430" i="40"/>
  <c r="T430" i="40"/>
  <c r="S430" i="40"/>
  <c r="S397" i="40"/>
  <c r="AD389" i="40"/>
  <c r="AC389" i="40"/>
  <c r="AB389" i="40"/>
  <c r="AA389" i="40"/>
  <c r="Z389" i="40"/>
  <c r="Y389" i="40"/>
  <c r="X389" i="40"/>
  <c r="W389" i="40"/>
  <c r="V389" i="40"/>
  <c r="U389" i="40"/>
  <c r="T389" i="40"/>
  <c r="S389" i="40"/>
  <c r="AD385" i="40"/>
  <c r="AC385" i="40"/>
  <c r="AB385" i="40"/>
  <c r="AA385" i="40"/>
  <c r="Z385" i="40"/>
  <c r="Y385" i="40"/>
  <c r="X385" i="40"/>
  <c r="W385" i="40"/>
  <c r="V385" i="40"/>
  <c r="U385" i="40"/>
  <c r="T385" i="40"/>
  <c r="S385" i="40"/>
  <c r="AD384" i="40"/>
  <c r="AC384" i="40"/>
  <c r="AB384" i="40"/>
  <c r="AA384" i="40"/>
  <c r="Z384" i="40"/>
  <c r="Y384" i="40"/>
  <c r="X384" i="40"/>
  <c r="W384" i="40"/>
  <c r="V384" i="40"/>
  <c r="U384" i="40"/>
  <c r="T384" i="40"/>
  <c r="S384" i="40"/>
  <c r="R368" i="40"/>
  <c r="AD351" i="40"/>
  <c r="AD70" i="40" s="1"/>
  <c r="AC351" i="40"/>
  <c r="AC70" i="40" s="1"/>
  <c r="AB351" i="40"/>
  <c r="AB70" i="40" s="1"/>
  <c r="AA351" i="40"/>
  <c r="AA70" i="40" s="1"/>
  <c r="Z351" i="40"/>
  <c r="Z70" i="40" s="1"/>
  <c r="Y351" i="40"/>
  <c r="Y70" i="40" s="1"/>
  <c r="X351" i="40"/>
  <c r="X70" i="40" s="1"/>
  <c r="W351" i="40"/>
  <c r="W70" i="40" s="1"/>
  <c r="V351" i="40"/>
  <c r="V70" i="40" s="1"/>
  <c r="U351" i="40"/>
  <c r="U70" i="40" s="1"/>
  <c r="T351" i="40"/>
  <c r="T70" i="40" s="1"/>
  <c r="S70" i="40"/>
  <c r="R350" i="40"/>
  <c r="AD342" i="40"/>
  <c r="AC342" i="40"/>
  <c r="AB342" i="40"/>
  <c r="AA342" i="40"/>
  <c r="Z342" i="40"/>
  <c r="Y342" i="40"/>
  <c r="X342" i="40"/>
  <c r="W342" i="40"/>
  <c r="V342" i="40"/>
  <c r="U342" i="40"/>
  <c r="T342" i="40"/>
  <c r="S342" i="40"/>
  <c r="R342" i="40"/>
  <c r="AD338" i="40"/>
  <c r="AC338" i="40"/>
  <c r="AB338" i="40"/>
  <c r="AA338" i="40"/>
  <c r="Z338" i="40"/>
  <c r="Y338" i="40"/>
  <c r="X338" i="40"/>
  <c r="W338" i="40"/>
  <c r="V338" i="40"/>
  <c r="U338" i="40"/>
  <c r="T338" i="40"/>
  <c r="S338" i="40"/>
  <c r="R322" i="40"/>
  <c r="AD305" i="40"/>
  <c r="AD69" i="40" s="1"/>
  <c r="AC305" i="40"/>
  <c r="AC69" i="40" s="1"/>
  <c r="AB305" i="40"/>
  <c r="AB69" i="40" s="1"/>
  <c r="AA305" i="40"/>
  <c r="AA69" i="40" s="1"/>
  <c r="Z305" i="40"/>
  <c r="Z69" i="40" s="1"/>
  <c r="Y305" i="40"/>
  <c r="Y69" i="40" s="1"/>
  <c r="X305" i="40"/>
  <c r="X69" i="40" s="1"/>
  <c r="W305" i="40"/>
  <c r="W69" i="40" s="1"/>
  <c r="V305" i="40"/>
  <c r="V69" i="40" s="1"/>
  <c r="U305" i="40"/>
  <c r="U69" i="40" s="1"/>
  <c r="T305" i="40"/>
  <c r="T69" i="40" s="1"/>
  <c r="S305" i="40"/>
  <c r="S69" i="40" s="1"/>
  <c r="R304" i="40"/>
  <c r="AD296" i="40"/>
  <c r="AC296" i="40"/>
  <c r="AB296" i="40"/>
  <c r="AA296" i="40"/>
  <c r="Z296" i="40"/>
  <c r="Y296" i="40"/>
  <c r="X296" i="40"/>
  <c r="W296" i="40"/>
  <c r="V296" i="40"/>
  <c r="U296" i="40"/>
  <c r="T296" i="40"/>
  <c r="S296" i="40"/>
  <c r="R296" i="40"/>
  <c r="AD292" i="40"/>
  <c r="AC292" i="40"/>
  <c r="AC294" i="40" s="1"/>
  <c r="AB292" i="40"/>
  <c r="AA292" i="40"/>
  <c r="Z292" i="40"/>
  <c r="Y292" i="40"/>
  <c r="X292" i="40"/>
  <c r="W292" i="40"/>
  <c r="V292" i="40"/>
  <c r="U292" i="40"/>
  <c r="U294" i="40" s="1"/>
  <c r="T292" i="40"/>
  <c r="S292" i="40"/>
  <c r="AD276" i="40"/>
  <c r="R276" i="40"/>
  <c r="AD259" i="40"/>
  <c r="AD68" i="40" s="1"/>
  <c r="AC259" i="40"/>
  <c r="AC68" i="40" s="1"/>
  <c r="AB259" i="40"/>
  <c r="AB68" i="40" s="1"/>
  <c r="AA259" i="40"/>
  <c r="AA68" i="40" s="1"/>
  <c r="Z259" i="40"/>
  <c r="Z68" i="40" s="1"/>
  <c r="Y259" i="40"/>
  <c r="Y68" i="40" s="1"/>
  <c r="X259" i="40"/>
  <c r="X68" i="40" s="1"/>
  <c r="W259" i="40"/>
  <c r="W68" i="40" s="1"/>
  <c r="V259" i="40"/>
  <c r="V68" i="40" s="1"/>
  <c r="U259" i="40"/>
  <c r="U68" i="40" s="1"/>
  <c r="T259" i="40"/>
  <c r="T68" i="40" s="1"/>
  <c r="S259" i="40"/>
  <c r="S68" i="40" s="1"/>
  <c r="R258" i="40"/>
  <c r="AD250" i="40"/>
  <c r="AC250" i="40"/>
  <c r="AB250" i="40"/>
  <c r="AA250" i="40"/>
  <c r="Z250" i="40"/>
  <c r="Y250" i="40"/>
  <c r="X250" i="40"/>
  <c r="W250" i="40"/>
  <c r="V250" i="40"/>
  <c r="U250" i="40"/>
  <c r="T250" i="40"/>
  <c r="S250" i="40"/>
  <c r="R250" i="40"/>
  <c r="AD246" i="40"/>
  <c r="AC246" i="40"/>
  <c r="AB246" i="40"/>
  <c r="AA246" i="40"/>
  <c r="Z246" i="40"/>
  <c r="Y246" i="40"/>
  <c r="X246" i="40"/>
  <c r="W246" i="40"/>
  <c r="V246" i="40"/>
  <c r="U246" i="40"/>
  <c r="T246" i="40"/>
  <c r="S246" i="40"/>
  <c r="R230" i="40"/>
  <c r="AD213" i="40"/>
  <c r="AD67" i="40" s="1"/>
  <c r="AC213" i="40"/>
  <c r="AC67" i="40" s="1"/>
  <c r="AB213" i="40"/>
  <c r="AB67" i="40" s="1"/>
  <c r="AA213" i="40"/>
  <c r="AA67" i="40" s="1"/>
  <c r="Z213" i="40"/>
  <c r="Z67" i="40" s="1"/>
  <c r="Y213" i="40"/>
  <c r="Y67" i="40" s="1"/>
  <c r="X213" i="40"/>
  <c r="X67" i="40" s="1"/>
  <c r="W213" i="40"/>
  <c r="W67" i="40" s="1"/>
  <c r="V213" i="40"/>
  <c r="V67" i="40" s="1"/>
  <c r="U213" i="40"/>
  <c r="U67" i="40" s="1"/>
  <c r="T213" i="40"/>
  <c r="S213" i="40"/>
  <c r="S67" i="40" s="1"/>
  <c r="R212" i="40"/>
  <c r="AD204" i="40"/>
  <c r="AC204" i="40"/>
  <c r="AB204" i="40"/>
  <c r="AA204" i="40"/>
  <c r="Z204" i="40"/>
  <c r="Y204" i="40"/>
  <c r="X204" i="40"/>
  <c r="W204" i="40"/>
  <c r="V204" i="40"/>
  <c r="U204" i="40"/>
  <c r="T204" i="40"/>
  <c r="S204" i="40"/>
  <c r="R204" i="40"/>
  <c r="AD200" i="40"/>
  <c r="AC200" i="40"/>
  <c r="AB200" i="40"/>
  <c r="AA200" i="40"/>
  <c r="Z200" i="40"/>
  <c r="Y200" i="40"/>
  <c r="X200" i="40"/>
  <c r="W200" i="40"/>
  <c r="V200" i="40"/>
  <c r="U200" i="40"/>
  <c r="T200" i="40"/>
  <c r="S200" i="40"/>
  <c r="R189" i="40"/>
  <c r="R184" i="40"/>
  <c r="AD167" i="40"/>
  <c r="AD66" i="40" s="1"/>
  <c r="AC167" i="40"/>
  <c r="AC66" i="40" s="1"/>
  <c r="AB167" i="40"/>
  <c r="AB66" i="40" s="1"/>
  <c r="AA167" i="40"/>
  <c r="AA66" i="40" s="1"/>
  <c r="Z167" i="40"/>
  <c r="Z66" i="40" s="1"/>
  <c r="Y167" i="40"/>
  <c r="Y66" i="40" s="1"/>
  <c r="X167" i="40"/>
  <c r="X66" i="40" s="1"/>
  <c r="W167" i="40"/>
  <c r="W66" i="40" s="1"/>
  <c r="V167" i="40"/>
  <c r="V66" i="40" s="1"/>
  <c r="U167" i="40"/>
  <c r="U66" i="40" s="1"/>
  <c r="T167" i="40"/>
  <c r="T66" i="40" s="1"/>
  <c r="S167" i="40"/>
  <c r="S66" i="40" s="1"/>
  <c r="R166" i="40"/>
  <c r="AD158" i="40"/>
  <c r="AC158" i="40"/>
  <c r="AB158" i="40"/>
  <c r="AA158" i="40"/>
  <c r="Z158" i="40"/>
  <c r="Y158" i="40"/>
  <c r="X158" i="40"/>
  <c r="W158" i="40"/>
  <c r="V158" i="40"/>
  <c r="U158" i="40"/>
  <c r="T158" i="40"/>
  <c r="S158" i="40"/>
  <c r="AD154" i="40"/>
  <c r="AC154" i="40"/>
  <c r="AB154" i="40"/>
  <c r="AA154" i="40"/>
  <c r="Z154" i="40"/>
  <c r="Y154" i="40"/>
  <c r="X154" i="40"/>
  <c r="W154" i="40"/>
  <c r="V154" i="40"/>
  <c r="U154" i="40"/>
  <c r="T154" i="40"/>
  <c r="S154" i="40"/>
  <c r="AD104" i="40"/>
  <c r="AC104" i="40"/>
  <c r="AB104" i="40"/>
  <c r="AA104" i="40"/>
  <c r="Z104" i="40"/>
  <c r="Y104" i="40"/>
  <c r="X104" i="40"/>
  <c r="W104" i="40"/>
  <c r="V104" i="40"/>
  <c r="U104" i="40"/>
  <c r="T104" i="40"/>
  <c r="S104" i="40"/>
  <c r="AD103" i="40"/>
  <c r="AC103" i="40"/>
  <c r="AB103" i="40"/>
  <c r="AA103" i="40"/>
  <c r="Z103" i="40"/>
  <c r="Y103" i="40"/>
  <c r="X103" i="40"/>
  <c r="W103" i="40"/>
  <c r="V103" i="40"/>
  <c r="U103" i="40"/>
  <c r="T103" i="40"/>
  <c r="S103" i="40"/>
  <c r="AD102" i="40"/>
  <c r="AC102" i="40"/>
  <c r="AB102" i="40"/>
  <c r="AA102" i="40"/>
  <c r="Z102" i="40"/>
  <c r="Y102" i="40"/>
  <c r="X102" i="40"/>
  <c r="W102" i="40"/>
  <c r="V102" i="40"/>
  <c r="U102" i="40"/>
  <c r="T102" i="40"/>
  <c r="S102" i="40"/>
  <c r="AD101" i="40"/>
  <c r="AC101" i="40"/>
  <c r="AB101" i="40"/>
  <c r="AA101" i="40"/>
  <c r="Z101" i="40"/>
  <c r="Y101" i="40"/>
  <c r="X101" i="40"/>
  <c r="W101" i="40"/>
  <c r="V101" i="40"/>
  <c r="U101" i="40"/>
  <c r="T101" i="40"/>
  <c r="S101" i="40"/>
  <c r="AD100" i="40"/>
  <c r="AC100" i="40"/>
  <c r="AB100" i="40"/>
  <c r="AA100" i="40"/>
  <c r="Z100" i="40"/>
  <c r="Y100" i="40"/>
  <c r="X100" i="40"/>
  <c r="W100" i="40"/>
  <c r="V100" i="40"/>
  <c r="U100" i="40"/>
  <c r="T100" i="40"/>
  <c r="S100" i="40"/>
  <c r="X113" i="40" l="1"/>
  <c r="Z113" i="40"/>
  <c r="Y113" i="40"/>
  <c r="S113" i="40"/>
  <c r="AA113" i="40"/>
  <c r="V113" i="40"/>
  <c r="AD113" i="40"/>
  <c r="W113" i="40"/>
  <c r="T113" i="40"/>
  <c r="AB113" i="40"/>
  <c r="U113" i="40"/>
  <c r="AC113" i="40"/>
  <c r="W525" i="40"/>
  <c r="X339" i="40"/>
  <c r="AD433" i="40"/>
  <c r="AC479" i="40"/>
  <c r="S156" i="40"/>
  <c r="AA156" i="40"/>
  <c r="W156" i="40"/>
  <c r="Z294" i="40"/>
  <c r="V293" i="40"/>
  <c r="U432" i="40"/>
  <c r="V248" i="40"/>
  <c r="AD248" i="40"/>
  <c r="W294" i="40"/>
  <c r="U387" i="40"/>
  <c r="AC387" i="40"/>
  <c r="X201" i="40"/>
  <c r="V386" i="40"/>
  <c r="T433" i="40"/>
  <c r="AB433" i="40"/>
  <c r="Y524" i="40"/>
  <c r="T479" i="40"/>
  <c r="AB479" i="40"/>
  <c r="T525" i="40"/>
  <c r="AB525" i="40"/>
  <c r="X247" i="40"/>
  <c r="S524" i="40"/>
  <c r="AA201" i="40"/>
  <c r="X387" i="40"/>
  <c r="Z432" i="40"/>
  <c r="AA524" i="40"/>
  <c r="T202" i="40"/>
  <c r="AB202" i="40"/>
  <c r="AC340" i="40"/>
  <c r="U433" i="40"/>
  <c r="AC433" i="40"/>
  <c r="V525" i="40"/>
  <c r="AD525" i="40"/>
  <c r="AD156" i="40"/>
  <c r="X248" i="40"/>
  <c r="U293" i="40"/>
  <c r="W524" i="40"/>
  <c r="Y156" i="40"/>
  <c r="U340" i="40"/>
  <c r="AC339" i="40"/>
  <c r="Y340" i="40"/>
  <c r="T524" i="40"/>
  <c r="X525" i="40"/>
  <c r="AB524" i="40"/>
  <c r="V202" i="40"/>
  <c r="Z155" i="40"/>
  <c r="S248" i="40"/>
  <c r="AA248" i="40"/>
  <c r="Z340" i="40"/>
  <c r="Y478" i="40"/>
  <c r="S525" i="40"/>
  <c r="AD202" i="40"/>
  <c r="W433" i="40"/>
  <c r="Y202" i="40"/>
  <c r="T248" i="40"/>
  <c r="AB247" i="40"/>
  <c r="T294" i="40"/>
  <c r="AB294" i="40"/>
  <c r="V387" i="40"/>
  <c r="AD387" i="40"/>
  <c r="AD479" i="40"/>
  <c r="Z478" i="40"/>
  <c r="W155" i="40"/>
  <c r="AB248" i="40"/>
  <c r="X156" i="40"/>
  <c r="X202" i="40"/>
  <c r="AC248" i="40"/>
  <c r="V294" i="40"/>
  <c r="AD294" i="40"/>
  <c r="Y339" i="40"/>
  <c r="W387" i="40"/>
  <c r="U386" i="40"/>
  <c r="S479" i="40"/>
  <c r="AA479" i="40"/>
  <c r="Z202" i="40"/>
  <c r="W248" i="40"/>
  <c r="X433" i="40"/>
  <c r="S155" i="40"/>
  <c r="AA155" i="40"/>
  <c r="Y293" i="40"/>
  <c r="AC293" i="40"/>
  <c r="Z386" i="40"/>
  <c r="AD386" i="40"/>
  <c r="Y432" i="40"/>
  <c r="AC432" i="40"/>
  <c r="Z525" i="40"/>
  <c r="X524" i="40"/>
  <c r="Y525" i="40"/>
  <c r="T247" i="40"/>
  <c r="X294" i="40"/>
  <c r="Y386" i="40"/>
  <c r="T67" i="40"/>
  <c r="T156" i="40"/>
  <c r="AB156" i="40"/>
  <c r="T201" i="40"/>
  <c r="AB201" i="40"/>
  <c r="Z293" i="40"/>
  <c r="AD293" i="40"/>
  <c r="S387" i="40"/>
  <c r="AA387" i="40"/>
  <c r="Y387" i="40"/>
  <c r="Y433" i="40"/>
  <c r="W479" i="40"/>
  <c r="AA525" i="40"/>
  <c r="AC386" i="40"/>
  <c r="U156" i="40"/>
  <c r="AC156" i="40"/>
  <c r="U202" i="40"/>
  <c r="AC202" i="40"/>
  <c r="Z248" i="40"/>
  <c r="S294" i="40"/>
  <c r="AA294" i="40"/>
  <c r="Y294" i="40"/>
  <c r="U339" i="40"/>
  <c r="T387" i="40"/>
  <c r="AB387" i="40"/>
  <c r="Z387" i="40"/>
  <c r="S433" i="40"/>
  <c r="AA433" i="40"/>
  <c r="X479" i="40"/>
  <c r="V512" i="40"/>
  <c r="AD512" i="40"/>
  <c r="W512" i="40"/>
  <c r="S512" i="40"/>
  <c r="AA512" i="40"/>
  <c r="T512" i="40"/>
  <c r="AB512" i="40"/>
  <c r="U512" i="40"/>
  <c r="AC512" i="40"/>
  <c r="Y512" i="40"/>
  <c r="Z512" i="40"/>
  <c r="V553" i="40"/>
  <c r="Z553" i="40"/>
  <c r="AD553" i="40"/>
  <c r="W553" i="40"/>
  <c r="AA553" i="40"/>
  <c r="T553" i="40"/>
  <c r="X553" i="40"/>
  <c r="AB553" i="40"/>
  <c r="U553" i="40"/>
  <c r="Y553" i="40"/>
  <c r="AC553" i="40"/>
  <c r="U247" i="40"/>
  <c r="Y248" i="40"/>
  <c r="Y247" i="40"/>
  <c r="S340" i="40"/>
  <c r="W340" i="40"/>
  <c r="W339" i="40"/>
  <c r="AA340" i="40"/>
  <c r="AA339" i="40"/>
  <c r="S339" i="40"/>
  <c r="V155" i="40"/>
  <c r="Z156" i="40"/>
  <c r="AD155" i="40"/>
  <c r="V156" i="40"/>
  <c r="S202" i="40"/>
  <c r="W201" i="40"/>
  <c r="AA202" i="40"/>
  <c r="S201" i="40"/>
  <c r="W202" i="40"/>
  <c r="AC247" i="40"/>
  <c r="U248" i="40"/>
  <c r="V340" i="40"/>
  <c r="V339" i="40"/>
  <c r="Z339" i="40"/>
  <c r="AD340" i="40"/>
  <c r="AD339" i="40"/>
  <c r="U525" i="40"/>
  <c r="AC524" i="40"/>
  <c r="U524" i="40"/>
  <c r="AC525" i="40"/>
  <c r="T155" i="40"/>
  <c r="X155" i="40"/>
  <c r="AB155" i="40"/>
  <c r="U201" i="40"/>
  <c r="Y201" i="40"/>
  <c r="AC201" i="40"/>
  <c r="V247" i="40"/>
  <c r="Z247" i="40"/>
  <c r="AD247" i="40"/>
  <c r="S293" i="40"/>
  <c r="W293" i="40"/>
  <c r="AA293" i="40"/>
  <c r="T340" i="40"/>
  <c r="X340" i="40"/>
  <c r="AB340" i="40"/>
  <c r="AB339" i="40"/>
  <c r="T339" i="40"/>
  <c r="V432" i="40"/>
  <c r="Z433" i="40"/>
  <c r="AD432" i="40"/>
  <c r="V433" i="40"/>
  <c r="U478" i="40"/>
  <c r="Y479" i="40"/>
  <c r="AC478" i="40"/>
  <c r="U479" i="40"/>
  <c r="U155" i="40"/>
  <c r="Y155" i="40"/>
  <c r="AC155" i="40"/>
  <c r="V201" i="40"/>
  <c r="Z201" i="40"/>
  <c r="AD201" i="40"/>
  <c r="S247" i="40"/>
  <c r="W247" i="40"/>
  <c r="AA247" i="40"/>
  <c r="T293" i="40"/>
  <c r="X293" i="40"/>
  <c r="AB293" i="40"/>
  <c r="V478" i="40"/>
  <c r="Z479" i="40"/>
  <c r="AD478" i="40"/>
  <c r="V479" i="40"/>
  <c r="V524" i="40"/>
  <c r="Z524" i="40"/>
  <c r="AD524" i="40"/>
  <c r="S386" i="40"/>
  <c r="W386" i="40"/>
  <c r="AA386" i="40"/>
  <c r="S432" i="40"/>
  <c r="W432" i="40"/>
  <c r="AA432" i="40"/>
  <c r="S478" i="40"/>
  <c r="W478" i="40"/>
  <c r="AA478" i="40"/>
  <c r="T386" i="40"/>
  <c r="X386" i="40"/>
  <c r="AB386" i="40"/>
  <c r="T432" i="40"/>
  <c r="X432" i="40"/>
  <c r="AB432" i="40"/>
  <c r="T478" i="40"/>
  <c r="X478" i="40"/>
  <c r="AB478" i="40"/>
  <c r="S355" i="40" l="1"/>
  <c r="S309" i="40"/>
  <c r="S263" i="40"/>
  <c r="S217" i="40"/>
  <c r="S171" i="40"/>
  <c r="AD540" i="40"/>
  <c r="AC540" i="40"/>
  <c r="AB540" i="40"/>
  <c r="AA540" i="40"/>
  <c r="Z540" i="40"/>
  <c r="Y540" i="40"/>
  <c r="X540" i="40"/>
  <c r="W540" i="40"/>
  <c r="V540" i="40"/>
  <c r="U540" i="40"/>
  <c r="T540" i="40"/>
  <c r="S540" i="40"/>
  <c r="AD448" i="40"/>
  <c r="AC448" i="40"/>
  <c r="AB448" i="40"/>
  <c r="AA448" i="40"/>
  <c r="Z448" i="40"/>
  <c r="Y448" i="40"/>
  <c r="X448" i="40"/>
  <c r="W448" i="40"/>
  <c r="V448" i="40"/>
  <c r="U448" i="40"/>
  <c r="T448" i="40"/>
  <c r="S448" i="40"/>
  <c r="AD402" i="40"/>
  <c r="AC402" i="40"/>
  <c r="AB402" i="40"/>
  <c r="AA402" i="40"/>
  <c r="Z402" i="40"/>
  <c r="Y402" i="40"/>
  <c r="X402" i="40"/>
  <c r="W402" i="40"/>
  <c r="V402" i="40"/>
  <c r="U402" i="40"/>
  <c r="T402" i="40"/>
  <c r="S402" i="40"/>
  <c r="AA519" i="40" l="1"/>
  <c r="W381" i="40"/>
  <c r="AD381" i="40"/>
  <c r="V381" i="40"/>
  <c r="X381" i="40"/>
  <c r="AC381" i="40"/>
  <c r="U381" i="40"/>
  <c r="AB381" i="40"/>
  <c r="T381" i="40"/>
  <c r="AA381" i="40"/>
  <c r="S381" i="40"/>
  <c r="Z381" i="40"/>
  <c r="Y381" i="40"/>
  <c r="Z427" i="40"/>
  <c r="S427" i="40"/>
  <c r="Y427" i="40"/>
  <c r="X427" i="40"/>
  <c r="W427" i="40"/>
  <c r="AD427" i="40"/>
  <c r="V427" i="40"/>
  <c r="AC427" i="40"/>
  <c r="U427" i="40"/>
  <c r="AB427" i="40"/>
  <c r="T427" i="40"/>
  <c r="AA427" i="40"/>
  <c r="V494" i="40"/>
  <c r="Z494" i="40"/>
  <c r="AD494" i="40"/>
  <c r="S494" i="40"/>
  <c r="W494" i="40"/>
  <c r="AA494" i="40"/>
  <c r="T494" i="40"/>
  <c r="X494" i="40"/>
  <c r="AB494" i="40"/>
  <c r="U494" i="40"/>
  <c r="Y494" i="40"/>
  <c r="AC494" i="40"/>
  <c r="Z519" i="40" l="1"/>
  <c r="T519" i="40"/>
  <c r="AB519" i="40"/>
  <c r="U519" i="40"/>
  <c r="AC519" i="40"/>
  <c r="X519" i="40"/>
  <c r="V519" i="40"/>
  <c r="Y519" i="40"/>
  <c r="AD519" i="40"/>
  <c r="S519" i="40"/>
  <c r="W519" i="40"/>
  <c r="S184" i="40" l="1"/>
  <c r="AD171" i="40"/>
  <c r="AC171" i="40"/>
  <c r="AB171" i="40"/>
  <c r="AA171" i="40"/>
  <c r="Z171" i="40"/>
  <c r="Y171" i="40"/>
  <c r="X171" i="40"/>
  <c r="W171" i="40"/>
  <c r="V171" i="40"/>
  <c r="U171" i="40"/>
  <c r="T171" i="40"/>
  <c r="AD415" i="40" l="1"/>
  <c r="AC415" i="40"/>
  <c r="AB415" i="40"/>
  <c r="AA415" i="40"/>
  <c r="Z415" i="40"/>
  <c r="Y415" i="40"/>
  <c r="X415" i="40"/>
  <c r="W415" i="40"/>
  <c r="V415" i="40"/>
  <c r="U415" i="40"/>
  <c r="T415" i="40"/>
  <c r="AD230" i="40"/>
  <c r="AC230" i="40"/>
  <c r="AB230" i="40"/>
  <c r="AA230" i="40"/>
  <c r="Z230" i="40"/>
  <c r="Y230" i="40"/>
  <c r="X230" i="40"/>
  <c r="W230" i="40"/>
  <c r="V230" i="40"/>
  <c r="U230" i="40"/>
  <c r="T230" i="40"/>
  <c r="S230" i="40"/>
  <c r="AD217" i="40"/>
  <c r="AC217" i="40"/>
  <c r="AB217" i="40"/>
  <c r="AA217" i="40"/>
  <c r="Z217" i="40"/>
  <c r="Y217" i="40"/>
  <c r="X217" i="40"/>
  <c r="W217" i="40"/>
  <c r="V217" i="40"/>
  <c r="U217" i="40"/>
  <c r="T217" i="40"/>
  <c r="AD368" i="40"/>
  <c r="AC368" i="40"/>
  <c r="AB368" i="40"/>
  <c r="AA368" i="40"/>
  <c r="Z368" i="40"/>
  <c r="Y368" i="40"/>
  <c r="X368" i="40"/>
  <c r="W368" i="40"/>
  <c r="V368" i="40"/>
  <c r="U368" i="40"/>
  <c r="T368" i="40"/>
  <c r="S368" i="40"/>
  <c r="AD322" i="40"/>
  <c r="AC322" i="40"/>
  <c r="AB322" i="40"/>
  <c r="AA322" i="40"/>
  <c r="Z322" i="40"/>
  <c r="Y322" i="40"/>
  <c r="X322" i="40"/>
  <c r="W322" i="40"/>
  <c r="V322" i="40"/>
  <c r="U322" i="40"/>
  <c r="T322" i="40"/>
  <c r="S322" i="40"/>
  <c r="S553" i="40"/>
  <c r="AC461" i="40"/>
  <c r="AB461" i="40"/>
  <c r="AA461" i="40"/>
  <c r="Z461" i="40"/>
  <c r="Y461" i="40"/>
  <c r="X461" i="40"/>
  <c r="W461" i="40"/>
  <c r="V461" i="40"/>
  <c r="U461" i="40"/>
  <c r="T461" i="40"/>
  <c r="S461" i="40"/>
  <c r="AC276" i="40"/>
  <c r="AB276" i="40"/>
  <c r="AA276" i="40"/>
  <c r="Z276" i="40"/>
  <c r="Y276" i="40"/>
  <c r="X276" i="40"/>
  <c r="W276" i="40"/>
  <c r="V276" i="40"/>
  <c r="U276" i="40"/>
  <c r="T276" i="40"/>
  <c r="S276" i="40"/>
  <c r="S415" i="40"/>
  <c r="AD355" i="40" l="1"/>
  <c r="AC355" i="40"/>
  <c r="AB355" i="40"/>
  <c r="AA355" i="40"/>
  <c r="Z355" i="40"/>
  <c r="Y355" i="40"/>
  <c r="X355" i="40"/>
  <c r="W355" i="40"/>
  <c r="V355" i="40"/>
  <c r="AD309" i="40"/>
  <c r="AC309" i="40"/>
  <c r="AB309" i="40"/>
  <c r="AA309" i="40"/>
  <c r="Z309" i="40"/>
  <c r="Y309" i="40"/>
  <c r="X309" i="40"/>
  <c r="W309" i="40"/>
  <c r="V309" i="40"/>
  <c r="U309" i="40"/>
  <c r="T309" i="40"/>
  <c r="AD263" i="40"/>
  <c r="AC263" i="40"/>
  <c r="AB263" i="40"/>
  <c r="AA263" i="40"/>
  <c r="Z263" i="40"/>
  <c r="Y263" i="40"/>
  <c r="X263" i="40"/>
  <c r="W263" i="40"/>
  <c r="V263" i="40"/>
  <c r="U263" i="40"/>
  <c r="T263" i="40"/>
  <c r="Q15" i="45"/>
  <c r="P15" i="45"/>
  <c r="O15" i="45"/>
  <c r="R15" i="45"/>
  <c r="R16" i="45"/>
  <c r="Q16" i="45"/>
  <c r="P16" i="45"/>
  <c r="O16" i="45"/>
  <c r="O12" i="45"/>
  <c r="Q550" i="40"/>
  <c r="Q551" i="40" s="1"/>
  <c r="Q536" i="40"/>
  <c r="Q504" i="40"/>
  <c r="Q505" i="40" s="1"/>
  <c r="Q490" i="40"/>
  <c r="Q18" i="45" l="1"/>
  <c r="O18" i="45"/>
  <c r="P18" i="45"/>
  <c r="R18" i="45"/>
  <c r="AD507" i="40" l="1"/>
  <c r="AC507" i="40"/>
  <c r="AB507" i="40"/>
  <c r="AA507" i="40"/>
  <c r="Z507" i="40"/>
  <c r="Y507" i="40"/>
  <c r="X507" i="40"/>
  <c r="W507" i="40"/>
  <c r="V507" i="40"/>
  <c r="U507" i="40"/>
  <c r="T507" i="40"/>
  <c r="S507" i="40"/>
  <c r="A2" i="8" l="1"/>
  <c r="B8" i="49"/>
  <c r="AD5" i="49"/>
  <c r="AC5" i="49"/>
  <c r="AB5" i="49"/>
  <c r="AA5" i="49"/>
  <c r="Z5" i="49"/>
  <c r="Y5" i="49"/>
  <c r="X5" i="49"/>
  <c r="W5" i="49"/>
  <c r="V5" i="49"/>
  <c r="U5" i="49"/>
  <c r="T5" i="49"/>
  <c r="S5" i="49"/>
  <c r="R5" i="49"/>
  <c r="Q5" i="49"/>
  <c r="P5" i="49"/>
  <c r="O5" i="49"/>
  <c r="N5" i="49"/>
  <c r="O39" i="45" l="1"/>
  <c r="O38" i="45"/>
  <c r="B8" i="45"/>
  <c r="AD5" i="45"/>
  <c r="AC5" i="45"/>
  <c r="AB5" i="45"/>
  <c r="AA5" i="45"/>
  <c r="Z5" i="45"/>
  <c r="Y5" i="45"/>
  <c r="X5" i="45"/>
  <c r="W5" i="45"/>
  <c r="V5" i="45"/>
  <c r="U5" i="45"/>
  <c r="T5" i="45"/>
  <c r="S5" i="45"/>
  <c r="R5" i="45"/>
  <c r="Q5" i="45"/>
  <c r="P5" i="45"/>
  <c r="O5" i="45"/>
  <c r="N5" i="45"/>
  <c r="AD4" i="45"/>
  <c r="AC4" i="45"/>
  <c r="AB4" i="45"/>
  <c r="AA4" i="45"/>
  <c r="Z4" i="45"/>
  <c r="Y4" i="45"/>
  <c r="X4" i="45"/>
  <c r="W4" i="45"/>
  <c r="V4" i="45"/>
  <c r="U4" i="45"/>
  <c r="T4" i="45"/>
  <c r="S4" i="45"/>
  <c r="R4" i="45"/>
  <c r="Q4" i="45"/>
  <c r="P4" i="45"/>
  <c r="O4" i="45"/>
  <c r="N4" i="45"/>
  <c r="M205" i="3" l="1"/>
  <c r="M191" i="3"/>
  <c r="Q458" i="40"/>
  <c r="Q459" i="40" s="1"/>
  <c r="Q444" i="40"/>
  <c r="Q412" i="40"/>
  <c r="Q413" i="40" s="1"/>
  <c r="Q398" i="40"/>
  <c r="AD461" i="40"/>
  <c r="AA207" i="3" l="1"/>
  <c r="AA444" i="40" s="1"/>
  <c r="S207" i="3"/>
  <c r="Z207" i="3"/>
  <c r="Z444" i="40" s="1"/>
  <c r="Y207" i="3"/>
  <c r="Y444" i="40" s="1"/>
  <c r="AD207" i="3"/>
  <c r="AD444" i="40" s="1"/>
  <c r="V207" i="3"/>
  <c r="V444" i="40" s="1"/>
  <c r="X207" i="3"/>
  <c r="X444" i="40" s="1"/>
  <c r="W207" i="3"/>
  <c r="W444" i="40" s="1"/>
  <c r="AC207" i="3"/>
  <c r="AC444" i="40" s="1"/>
  <c r="U207" i="3"/>
  <c r="U444" i="40" s="1"/>
  <c r="AB207" i="3"/>
  <c r="AB444" i="40" s="1"/>
  <c r="T207" i="3"/>
  <c r="T444" i="40" s="1"/>
  <c r="AB193" i="3"/>
  <c r="AB398" i="40" s="1"/>
  <c r="T193" i="3"/>
  <c r="T398" i="40" s="1"/>
  <c r="AC193" i="3"/>
  <c r="AC398" i="40" s="1"/>
  <c r="AA193" i="3"/>
  <c r="AA398" i="40" s="1"/>
  <c r="S193" i="3"/>
  <c r="W193" i="3"/>
  <c r="W398" i="40" s="1"/>
  <c r="V193" i="3"/>
  <c r="V398" i="40" s="1"/>
  <c r="Z193" i="3"/>
  <c r="Z398" i="40" s="1"/>
  <c r="Y193" i="3"/>
  <c r="Y398" i="40" s="1"/>
  <c r="AD193" i="3"/>
  <c r="AD398" i="40" s="1"/>
  <c r="U193" i="3"/>
  <c r="U398" i="40" s="1"/>
  <c r="X193" i="3"/>
  <c r="X398" i="40" s="1"/>
  <c r="S444" i="40"/>
  <c r="S398" i="40"/>
  <c r="M236" i="3"/>
  <c r="AD238" i="3" l="1"/>
  <c r="S238" i="3"/>
  <c r="T238" i="3"/>
  <c r="S536" i="40"/>
  <c r="T536" i="40"/>
  <c r="AD536" i="40"/>
  <c r="T438" i="40"/>
  <c r="T440" i="40" s="1"/>
  <c r="S438" i="40"/>
  <c r="S440" i="40" s="1"/>
  <c r="Y438" i="40"/>
  <c r="Y440" i="40" s="1"/>
  <c r="X438" i="40"/>
  <c r="X440" i="40" s="1"/>
  <c r="U438" i="40"/>
  <c r="U440" i="40" s="1"/>
  <c r="AD438" i="40"/>
  <c r="AD440" i="40" s="1"/>
  <c r="S445" i="40"/>
  <c r="S468" i="40" s="1"/>
  <c r="AA438" i="40"/>
  <c r="AA440" i="40" s="1"/>
  <c r="Z438" i="40"/>
  <c r="Z440" i="40" s="1"/>
  <c r="W438" i="40"/>
  <c r="W440" i="40" s="1"/>
  <c r="V438" i="40"/>
  <c r="V440" i="40" s="1"/>
  <c r="AB438" i="40"/>
  <c r="AB440" i="40" s="1"/>
  <c r="AC438" i="40"/>
  <c r="AC440" i="40" s="1"/>
  <c r="Z392" i="40"/>
  <c r="Z394" i="40" s="1"/>
  <c r="U392" i="40"/>
  <c r="U394" i="40" s="1"/>
  <c r="T392" i="40"/>
  <c r="T394" i="40" s="1"/>
  <c r="S392" i="40"/>
  <c r="S394" i="40" s="1"/>
  <c r="AD392" i="40"/>
  <c r="AD394" i="40" s="1"/>
  <c r="AA392" i="40"/>
  <c r="AA394" i="40" s="1"/>
  <c r="S399" i="40"/>
  <c r="X392" i="40"/>
  <c r="X394" i="40" s="1"/>
  <c r="V392" i="40"/>
  <c r="V394" i="40" s="1"/>
  <c r="W392" i="40"/>
  <c r="W394" i="40" s="1"/>
  <c r="AB392" i="40"/>
  <c r="AB394" i="40" s="1"/>
  <c r="AC392" i="40"/>
  <c r="AC394" i="40" s="1"/>
  <c r="Y392" i="40"/>
  <c r="Y394" i="40" s="1"/>
  <c r="U465" i="40" l="1"/>
  <c r="W465" i="40"/>
  <c r="Z419" i="40"/>
  <c r="AC465" i="40"/>
  <c r="Z465" i="40"/>
  <c r="X465" i="40"/>
  <c r="Y465" i="40"/>
  <c r="AA465" i="40"/>
  <c r="T465" i="40"/>
  <c r="S465" i="40"/>
  <c r="AB465" i="40"/>
  <c r="W419" i="40"/>
  <c r="AD465" i="40"/>
  <c r="V465" i="40"/>
  <c r="AC419" i="40"/>
  <c r="AB419" i="40"/>
  <c r="AD419" i="40"/>
  <c r="T419" i="40"/>
  <c r="S419" i="40"/>
  <c r="U419" i="40"/>
  <c r="X419" i="40"/>
  <c r="Y419" i="40"/>
  <c r="AA419" i="40"/>
  <c r="V419" i="40"/>
  <c r="S422" i="40"/>
  <c r="T530" i="40"/>
  <c r="T532" i="40" s="1"/>
  <c r="W530" i="40"/>
  <c r="W532" i="40" s="1"/>
  <c r="X530" i="40"/>
  <c r="X532" i="40" s="1"/>
  <c r="AD530" i="40"/>
  <c r="AD532" i="40" s="1"/>
  <c r="V530" i="40"/>
  <c r="V532" i="40" s="1"/>
  <c r="W557" i="40" s="1"/>
  <c r="Y530" i="40"/>
  <c r="Y532" i="40" s="1"/>
  <c r="S530" i="40"/>
  <c r="S532" i="40" s="1"/>
  <c r="AC530" i="40"/>
  <c r="AC532" i="40" s="1"/>
  <c r="S537" i="40"/>
  <c r="S560" i="40" s="1"/>
  <c r="AB530" i="40"/>
  <c r="AB532" i="40" s="1"/>
  <c r="U530" i="40"/>
  <c r="U532" i="40" s="1"/>
  <c r="Z530" i="40"/>
  <c r="Z532" i="40" s="1"/>
  <c r="AA530" i="40"/>
  <c r="AA532" i="40" s="1"/>
  <c r="M437" i="40"/>
  <c r="M391" i="40"/>
  <c r="AC557" i="40" l="1"/>
  <c r="AB557" i="40"/>
  <c r="T557" i="40"/>
  <c r="S557" i="40"/>
  <c r="Z557" i="40"/>
  <c r="AA557" i="40"/>
  <c r="V557" i="40"/>
  <c r="Y557" i="40"/>
  <c r="X557" i="40"/>
  <c r="AD557" i="40"/>
  <c r="U557" i="40"/>
  <c r="AB403" i="40"/>
  <c r="X403" i="40"/>
  <c r="T403" i="40"/>
  <c r="AA403" i="40"/>
  <c r="W403" i="40"/>
  <c r="S403" i="40"/>
  <c r="S404" i="40" s="1"/>
  <c r="AC403" i="40"/>
  <c r="U403" i="40"/>
  <c r="Z403" i="40"/>
  <c r="AD403" i="40"/>
  <c r="Y403" i="40"/>
  <c r="V403" i="40"/>
  <c r="AB449" i="40"/>
  <c r="X449" i="40"/>
  <c r="T449" i="40"/>
  <c r="AA449" i="40"/>
  <c r="W449" i="40"/>
  <c r="S449" i="40"/>
  <c r="S450" i="40" s="1"/>
  <c r="Z449" i="40"/>
  <c r="Y449" i="40"/>
  <c r="AD449" i="40"/>
  <c r="AC449" i="40"/>
  <c r="V449" i="40"/>
  <c r="U449" i="40"/>
  <c r="Q96" i="37"/>
  <c r="Q97" i="37" s="1"/>
  <c r="Q69" i="3" s="1"/>
  <c r="M529" i="40"/>
  <c r="S588" i="40" l="1"/>
  <c r="S452" i="40"/>
  <c r="S455" i="40" s="1"/>
  <c r="S406" i="40"/>
  <c r="S409" i="40" s="1"/>
  <c r="AB541" i="40"/>
  <c r="X541" i="40"/>
  <c r="T541" i="40"/>
  <c r="AA541" i="40"/>
  <c r="W541" i="40"/>
  <c r="S541" i="40"/>
  <c r="S542" i="40" s="1"/>
  <c r="Z541" i="40"/>
  <c r="Y541" i="40"/>
  <c r="V541" i="40"/>
  <c r="U541" i="40"/>
  <c r="AD541" i="40"/>
  <c r="AC541" i="40"/>
  <c r="Q130" i="37" l="1"/>
  <c r="Q73" i="3" s="1"/>
  <c r="S590" i="40"/>
  <c r="S593" i="40" s="1"/>
  <c r="T581" i="40" s="1"/>
  <c r="Q12" i="45"/>
  <c r="P12" i="45"/>
  <c r="S544" i="40"/>
  <c r="S547" i="40" s="1"/>
  <c r="T397" i="40"/>
  <c r="S412" i="40"/>
  <c r="T443" i="40"/>
  <c r="S458" i="40"/>
  <c r="R71" i="37"/>
  <c r="R72" i="37" s="1"/>
  <c r="R66" i="3" s="1"/>
  <c r="M66" i="3" s="1"/>
  <c r="Q23" i="45"/>
  <c r="G36" i="71" s="1"/>
  <c r="R96" i="37"/>
  <c r="R97" i="37" s="1"/>
  <c r="R69" i="3" s="1"/>
  <c r="M69" i="3" s="1"/>
  <c r="V69" i="3" l="1"/>
  <c r="V97" i="37" s="1"/>
  <c r="U69" i="3"/>
  <c r="U97" i="37" s="1"/>
  <c r="W69" i="3"/>
  <c r="W97" i="37" s="1"/>
  <c r="T69" i="3"/>
  <c r="T97" i="37" s="1"/>
  <c r="S69" i="3"/>
  <c r="S97" i="37" s="1"/>
  <c r="AD69" i="3"/>
  <c r="AD97" i="37" s="1"/>
  <c r="Z69" i="3"/>
  <c r="Z97" i="37" s="1"/>
  <c r="AB69" i="3"/>
  <c r="AB97" i="37" s="1"/>
  <c r="Y69" i="3"/>
  <c r="Y97" i="37" s="1"/>
  <c r="AA69" i="3"/>
  <c r="AA97" i="37" s="1"/>
  <c r="AC69" i="3"/>
  <c r="AC97" i="37" s="1"/>
  <c r="X69" i="3"/>
  <c r="X97" i="37" s="1"/>
  <c r="AA66" i="3"/>
  <c r="AA72" i="37" s="1"/>
  <c r="S66" i="3"/>
  <c r="S72" i="37" s="1"/>
  <c r="Z66" i="3"/>
  <c r="Z72" i="37" s="1"/>
  <c r="W66" i="3"/>
  <c r="W72" i="37" s="1"/>
  <c r="V66" i="3"/>
  <c r="V72" i="37" s="1"/>
  <c r="Y66" i="3"/>
  <c r="Y72" i="37" s="1"/>
  <c r="X66" i="3"/>
  <c r="X72" i="37" s="1"/>
  <c r="AC66" i="3"/>
  <c r="AC72" i="37" s="1"/>
  <c r="U66" i="3"/>
  <c r="U72" i="37" s="1"/>
  <c r="AD66" i="3"/>
  <c r="AD72" i="37" s="1"/>
  <c r="AB66" i="3"/>
  <c r="AB72" i="37" s="1"/>
  <c r="T66" i="3"/>
  <c r="T72" i="37" s="1"/>
  <c r="S596" i="40"/>
  <c r="S597" i="40" s="1"/>
  <c r="T583" i="40"/>
  <c r="T588" i="40" s="1"/>
  <c r="R12" i="45"/>
  <c r="S413" i="40"/>
  <c r="S459" i="40"/>
  <c r="T399" i="40"/>
  <c r="T422" i="40" s="1"/>
  <c r="T445" i="40"/>
  <c r="T535" i="40"/>
  <c r="S550" i="40"/>
  <c r="R23" i="45"/>
  <c r="H36" i="71" s="1"/>
  <c r="T590" i="40" l="1"/>
  <c r="T593" i="40" s="1"/>
  <c r="U581" i="40" s="1"/>
  <c r="T606" i="40"/>
  <c r="S551" i="40"/>
  <c r="T404" i="40"/>
  <c r="T537" i="40"/>
  <c r="T560" i="40" s="1"/>
  <c r="T450" i="40"/>
  <c r="T468" i="40"/>
  <c r="U583" i="40" l="1"/>
  <c r="U588" i="40" s="1"/>
  <c r="T596" i="40" s="1"/>
  <c r="T542" i="40"/>
  <c r="T452" i="40"/>
  <c r="T455" i="40" s="1"/>
  <c r="T406" i="40"/>
  <c r="T409" i="40" s="1"/>
  <c r="T597" i="40" l="1"/>
  <c r="U590" i="40"/>
  <c r="U593" i="40" s="1"/>
  <c r="U606" i="40"/>
  <c r="U397" i="40"/>
  <c r="U443" i="40"/>
  <c r="T544" i="40"/>
  <c r="T547" i="40" s="1"/>
  <c r="V581" i="40" l="1"/>
  <c r="V583" i="40" s="1"/>
  <c r="V588" i="40" s="1"/>
  <c r="U596" i="40" s="1"/>
  <c r="U535" i="40"/>
  <c r="U399" i="40"/>
  <c r="U445" i="40"/>
  <c r="U468" i="40" s="1"/>
  <c r="U422" i="40" l="1"/>
  <c r="U597" i="40"/>
  <c r="V590" i="40"/>
  <c r="V593" i="40" s="1"/>
  <c r="W581" i="40" s="1"/>
  <c r="V606" i="40"/>
  <c r="U537" i="40"/>
  <c r="U450" i="40"/>
  <c r="U404" i="40"/>
  <c r="W583" i="40" l="1"/>
  <c r="U542" i="40"/>
  <c r="T458" i="40"/>
  <c r="U452" i="40"/>
  <c r="U455" i="40" s="1"/>
  <c r="T412" i="40"/>
  <c r="U406" i="40"/>
  <c r="U409" i="40" s="1"/>
  <c r="U560" i="40"/>
  <c r="W588" i="40" l="1"/>
  <c r="V596" i="40" s="1"/>
  <c r="W606" i="40"/>
  <c r="V397" i="40"/>
  <c r="T459" i="40"/>
  <c r="T413" i="40"/>
  <c r="T550" i="40"/>
  <c r="V443" i="40"/>
  <c r="U544" i="40"/>
  <c r="U547" i="40" s="1"/>
  <c r="V597" i="40" l="1"/>
  <c r="W590" i="40"/>
  <c r="W593" i="40" s="1"/>
  <c r="X581" i="40" s="1"/>
  <c r="V445" i="40"/>
  <c r="V468" i="40" s="1"/>
  <c r="V399" i="40"/>
  <c r="V535" i="40"/>
  <c r="T551" i="40"/>
  <c r="V422" i="40" l="1"/>
  <c r="X583" i="40"/>
  <c r="X588" i="40" s="1"/>
  <c r="W596" i="40" s="1"/>
  <c r="V537" i="40"/>
  <c r="V560" i="40" s="1"/>
  <c r="V404" i="40"/>
  <c r="V406" i="40" s="1"/>
  <c r="V409" i="40" s="1"/>
  <c r="V450" i="40"/>
  <c r="W597" i="40" l="1"/>
  <c r="X590" i="40"/>
  <c r="X593" i="40" s="1"/>
  <c r="Y581" i="40" s="1"/>
  <c r="X606" i="40"/>
  <c r="W397" i="40"/>
  <c r="U412" i="40"/>
  <c r="U458" i="40"/>
  <c r="V452" i="40"/>
  <c r="V455" i="40" s="1"/>
  <c r="V542" i="40"/>
  <c r="Y583" i="40" l="1"/>
  <c r="Y588" i="40" s="1"/>
  <c r="X596" i="40" s="1"/>
  <c r="X597" i="40" s="1"/>
  <c r="W443" i="40"/>
  <c r="U459" i="40"/>
  <c r="U550" i="40"/>
  <c r="V544" i="40"/>
  <c r="V547" i="40" s="1"/>
  <c r="U413" i="40"/>
  <c r="W399" i="40"/>
  <c r="W422" i="40" s="1"/>
  <c r="Y590" i="40" l="1"/>
  <c r="Y593" i="40" s="1"/>
  <c r="Y606" i="40"/>
  <c r="W404" i="40"/>
  <c r="W535" i="40"/>
  <c r="U551" i="40"/>
  <c r="W445" i="40"/>
  <c r="Z581" i="40" l="1"/>
  <c r="Z583" i="40" s="1"/>
  <c r="Z588" i="40" s="1"/>
  <c r="Y596" i="40" s="1"/>
  <c r="W537" i="40"/>
  <c r="W560" i="40" s="1"/>
  <c r="W450" i="40"/>
  <c r="W452" i="40" s="1"/>
  <c r="W455" i="40" s="1"/>
  <c r="V412" i="40"/>
  <c r="W468" i="40"/>
  <c r="W406" i="40"/>
  <c r="W409" i="40" s="1"/>
  <c r="Y597" i="40" l="1"/>
  <c r="Z590" i="40"/>
  <c r="Z593" i="40" s="1"/>
  <c r="Z606" i="40"/>
  <c r="X443" i="40"/>
  <c r="X397" i="40"/>
  <c r="V413" i="40"/>
  <c r="V458" i="40"/>
  <c r="W542" i="40"/>
  <c r="AA581" i="40" l="1"/>
  <c r="AA583" i="40" s="1"/>
  <c r="AA588" i="40" s="1"/>
  <c r="Z596" i="40" s="1"/>
  <c r="V550" i="40"/>
  <c r="V459" i="40"/>
  <c r="X399" i="40"/>
  <c r="X422" i="40" s="1"/>
  <c r="W544" i="40"/>
  <c r="W547" i="40" s="1"/>
  <c r="X445" i="40"/>
  <c r="X468" i="40" s="1"/>
  <c r="Z597" i="40" l="1"/>
  <c r="AA590" i="40"/>
  <c r="AA593" i="40" s="1"/>
  <c r="AA606" i="40"/>
  <c r="X535" i="40"/>
  <c r="X404" i="40"/>
  <c r="X406" i="40" s="1"/>
  <c r="X409" i="40" s="1"/>
  <c r="V551" i="40"/>
  <c r="X450" i="40"/>
  <c r="X452" i="40" s="1"/>
  <c r="X455" i="40" s="1"/>
  <c r="AB581" i="40" l="1"/>
  <c r="AB583" i="40" s="1"/>
  <c r="AB588" i="40" s="1"/>
  <c r="AA596" i="40" s="1"/>
  <c r="Y443" i="40"/>
  <c r="Y397" i="40"/>
  <c r="W458" i="40"/>
  <c r="W412" i="40"/>
  <c r="X537" i="40"/>
  <c r="X560" i="40" s="1"/>
  <c r="AA597" i="40" l="1"/>
  <c r="AB590" i="40"/>
  <c r="AB593" i="40" s="1"/>
  <c r="AC581" i="40" s="1"/>
  <c r="AB606" i="40"/>
  <c r="W459" i="40"/>
  <c r="X542" i="40"/>
  <c r="X544" i="40" s="1"/>
  <c r="X547" i="40" s="1"/>
  <c r="Y445" i="40"/>
  <c r="W413" i="40"/>
  <c r="Y399" i="40"/>
  <c r="Y422" i="40" l="1"/>
  <c r="AC583" i="40"/>
  <c r="Y535" i="40"/>
  <c r="W550" i="40"/>
  <c r="Y450" i="40"/>
  <c r="Y404" i="40"/>
  <c r="Y406" i="40" s="1"/>
  <c r="Y409" i="40" s="1"/>
  <c r="Y468" i="40"/>
  <c r="AC588" i="40" l="1"/>
  <c r="AB596" i="40" s="1"/>
  <c r="AC606" i="40"/>
  <c r="Z397" i="40"/>
  <c r="X458" i="40"/>
  <c r="Y537" i="40"/>
  <c r="Y452" i="40"/>
  <c r="Y455" i="40" s="1"/>
  <c r="X412" i="40"/>
  <c r="W551" i="40"/>
  <c r="N5" i="40"/>
  <c r="O5" i="40"/>
  <c r="P5" i="40"/>
  <c r="Q5" i="40"/>
  <c r="R5" i="40"/>
  <c r="S5" i="40"/>
  <c r="T5" i="40"/>
  <c r="U5" i="40"/>
  <c r="V5" i="40"/>
  <c r="W5" i="40"/>
  <c r="X5" i="40"/>
  <c r="Y5" i="40"/>
  <c r="Z5" i="40"/>
  <c r="AA5" i="40"/>
  <c r="AB5" i="40"/>
  <c r="AC5" i="40"/>
  <c r="AD5" i="40"/>
  <c r="B8" i="40"/>
  <c r="S464" i="40" l="1"/>
  <c r="S602" i="40"/>
  <c r="S556" i="40"/>
  <c r="X602" i="40"/>
  <c r="X556" i="40"/>
  <c r="X464" i="40"/>
  <c r="Z602" i="40"/>
  <c r="Z556" i="40"/>
  <c r="Z464" i="40"/>
  <c r="W602" i="40"/>
  <c r="W556" i="40"/>
  <c r="W464" i="40"/>
  <c r="AD602" i="40"/>
  <c r="AD556" i="40"/>
  <c r="AD464" i="40"/>
  <c r="V602" i="40"/>
  <c r="V556" i="40"/>
  <c r="V464" i="40"/>
  <c r="AA464" i="40"/>
  <c r="AA556" i="40"/>
  <c r="AA602" i="40"/>
  <c r="AA604" i="40" s="1"/>
  <c r="U602" i="40"/>
  <c r="U556" i="40"/>
  <c r="U464" i="40"/>
  <c r="Y602" i="40"/>
  <c r="Y556" i="40"/>
  <c r="Y464" i="40"/>
  <c r="AC602" i="40"/>
  <c r="AC556" i="40"/>
  <c r="AC464" i="40"/>
  <c r="AB602" i="40"/>
  <c r="AB556" i="40"/>
  <c r="AB464" i="40"/>
  <c r="T602" i="40"/>
  <c r="T556" i="40"/>
  <c r="T464" i="40"/>
  <c r="Z418" i="40"/>
  <c r="Z420" i="40" s="1"/>
  <c r="AC418" i="40"/>
  <c r="AC420" i="40" s="1"/>
  <c r="AB418" i="40"/>
  <c r="AB420" i="40" s="1"/>
  <c r="S418" i="40"/>
  <c r="S420" i="40" s="1"/>
  <c r="Y418" i="40"/>
  <c r="Y420" i="40" s="1"/>
  <c r="X418" i="40"/>
  <c r="X420" i="40" s="1"/>
  <c r="AA418" i="40"/>
  <c r="AA420" i="40" s="1"/>
  <c r="W418" i="40"/>
  <c r="W420" i="40" s="1"/>
  <c r="AD418" i="40"/>
  <c r="AD420" i="40" s="1"/>
  <c r="V418" i="40"/>
  <c r="V420" i="40" s="1"/>
  <c r="U418" i="40"/>
  <c r="U420" i="40" s="1"/>
  <c r="T418" i="40"/>
  <c r="T420" i="40" s="1"/>
  <c r="R305" i="40"/>
  <c r="S304" i="40"/>
  <c r="R351" i="40"/>
  <c r="S350" i="40"/>
  <c r="S166" i="40"/>
  <c r="R167" i="40"/>
  <c r="S212" i="40"/>
  <c r="R213" i="40"/>
  <c r="R259" i="40"/>
  <c r="S258" i="40"/>
  <c r="AB597" i="40"/>
  <c r="AC590" i="40"/>
  <c r="AC593" i="40" s="1"/>
  <c r="AD581" i="40" s="1"/>
  <c r="X279" i="40"/>
  <c r="X371" i="40"/>
  <c r="X325" i="40"/>
  <c r="X187" i="40"/>
  <c r="X233" i="40"/>
  <c r="W233" i="40"/>
  <c r="W371" i="40"/>
  <c r="W187" i="40"/>
  <c r="W279" i="40"/>
  <c r="W325" i="40"/>
  <c r="AD233" i="40"/>
  <c r="AD279" i="40"/>
  <c r="AD325" i="40"/>
  <c r="AD371" i="40"/>
  <c r="AD187" i="40"/>
  <c r="V233" i="40"/>
  <c r="V325" i="40"/>
  <c r="V279" i="40"/>
  <c r="V371" i="40"/>
  <c r="V187" i="40"/>
  <c r="U233" i="40"/>
  <c r="U279" i="40"/>
  <c r="U325" i="40"/>
  <c r="U371" i="40"/>
  <c r="U187" i="40"/>
  <c r="AB279" i="40"/>
  <c r="AB233" i="40"/>
  <c r="AB325" i="40"/>
  <c r="AB371" i="40"/>
  <c r="AB187" i="40"/>
  <c r="AA371" i="40"/>
  <c r="AA187" i="40"/>
  <c r="AA325" i="40"/>
  <c r="AA233" i="40"/>
  <c r="AA279" i="40"/>
  <c r="Y325" i="40"/>
  <c r="Y371" i="40"/>
  <c r="Y187" i="40"/>
  <c r="Y279" i="40"/>
  <c r="Y233" i="40"/>
  <c r="AC279" i="40"/>
  <c r="AC233" i="40"/>
  <c r="AC325" i="40"/>
  <c r="AC371" i="40"/>
  <c r="AC187" i="40"/>
  <c r="T233" i="40"/>
  <c r="T279" i="40"/>
  <c r="T187" i="40"/>
  <c r="T325" i="40"/>
  <c r="T371" i="40"/>
  <c r="Z325" i="40"/>
  <c r="Z371" i="40"/>
  <c r="Z187" i="40"/>
  <c r="Z233" i="40"/>
  <c r="Z279" i="40"/>
  <c r="R325" i="40"/>
  <c r="R371" i="40"/>
  <c r="R233" i="40"/>
  <c r="R279" i="40"/>
  <c r="Y542" i="40"/>
  <c r="X413" i="40"/>
  <c r="Y560" i="40"/>
  <c r="Z399" i="40"/>
  <c r="Z422" i="40" s="1"/>
  <c r="Z443" i="40"/>
  <c r="X459" i="40"/>
  <c r="S187" i="40"/>
  <c r="S233" i="40"/>
  <c r="S279" i="40"/>
  <c r="S325" i="40"/>
  <c r="R168" i="40" l="1"/>
  <c r="R191" i="40" s="1"/>
  <c r="AC161" i="40"/>
  <c r="AB161" i="40"/>
  <c r="U161" i="40"/>
  <c r="X161" i="40"/>
  <c r="Z161" i="40"/>
  <c r="T161" i="40"/>
  <c r="R161" i="40"/>
  <c r="AA161" i="40"/>
  <c r="AD161" i="40"/>
  <c r="W161" i="40"/>
  <c r="V161" i="40"/>
  <c r="S161" i="40"/>
  <c r="Y161" i="40"/>
  <c r="S168" i="40"/>
  <c r="S191" i="40" s="1"/>
  <c r="S15" i="40" s="1"/>
  <c r="S352" i="40"/>
  <c r="S375" i="40" s="1"/>
  <c r="S19" i="40" s="1"/>
  <c r="U345" i="40"/>
  <c r="W345" i="40"/>
  <c r="AD345" i="40"/>
  <c r="AB345" i="40"/>
  <c r="R352" i="40"/>
  <c r="R375" i="40" s="1"/>
  <c r="Z345" i="40"/>
  <c r="T345" i="40"/>
  <c r="R345" i="40"/>
  <c r="V345" i="40"/>
  <c r="AA345" i="40"/>
  <c r="S345" i="40"/>
  <c r="AC345" i="40"/>
  <c r="X345" i="40"/>
  <c r="Y345" i="40"/>
  <c r="S260" i="40"/>
  <c r="S283" i="40" s="1"/>
  <c r="S17" i="40" s="1"/>
  <c r="S306" i="40"/>
  <c r="S329" i="40" s="1"/>
  <c r="S18" i="40" s="1"/>
  <c r="W604" i="40"/>
  <c r="Y253" i="40"/>
  <c r="AD253" i="40"/>
  <c r="U253" i="40"/>
  <c r="S253" i="40"/>
  <c r="AB253" i="40"/>
  <c r="R260" i="40"/>
  <c r="R283" i="40" s="1"/>
  <c r="X253" i="40"/>
  <c r="T253" i="40"/>
  <c r="AA253" i="40"/>
  <c r="V253" i="40"/>
  <c r="Z253" i="40"/>
  <c r="R253" i="40"/>
  <c r="AC253" i="40"/>
  <c r="W253" i="40"/>
  <c r="R299" i="40"/>
  <c r="U299" i="40"/>
  <c r="R306" i="40"/>
  <c r="R329" i="40" s="1"/>
  <c r="W299" i="40"/>
  <c r="V299" i="40"/>
  <c r="AB299" i="40"/>
  <c r="AA299" i="40"/>
  <c r="AD299" i="40"/>
  <c r="T299" i="40"/>
  <c r="Z299" i="40"/>
  <c r="X299" i="40"/>
  <c r="AC299" i="40"/>
  <c r="S299" i="40"/>
  <c r="Y299" i="40"/>
  <c r="Y604" i="40"/>
  <c r="R207" i="40"/>
  <c r="X207" i="40"/>
  <c r="Z207" i="40"/>
  <c r="AD207" i="40"/>
  <c r="V207" i="40"/>
  <c r="W207" i="40"/>
  <c r="S207" i="40"/>
  <c r="Y207" i="40"/>
  <c r="R214" i="40"/>
  <c r="R237" i="40" s="1"/>
  <c r="AA207" i="40"/>
  <c r="T207" i="40"/>
  <c r="AC207" i="40"/>
  <c r="AB207" i="40"/>
  <c r="U207" i="40"/>
  <c r="S214" i="40"/>
  <c r="S237" i="40" s="1"/>
  <c r="S16" i="40" s="1"/>
  <c r="X604" i="40"/>
  <c r="S604" i="40"/>
  <c r="T604" i="40"/>
  <c r="AB604" i="40"/>
  <c r="AC604" i="40"/>
  <c r="Z604" i="40"/>
  <c r="U604" i="40"/>
  <c r="AD604" i="40"/>
  <c r="V604" i="40"/>
  <c r="AD583" i="40"/>
  <c r="AD606" i="40" s="1"/>
  <c r="AA558" i="40"/>
  <c r="V558" i="40"/>
  <c r="S558" i="40"/>
  <c r="U558" i="40"/>
  <c r="Y466" i="40"/>
  <c r="Z558" i="40"/>
  <c r="S466" i="40"/>
  <c r="AC466" i="40"/>
  <c r="T466" i="40"/>
  <c r="X466" i="40"/>
  <c r="AB558" i="40"/>
  <c r="U466" i="40"/>
  <c r="Z466" i="40"/>
  <c r="AC558" i="40"/>
  <c r="V466" i="40"/>
  <c r="AD466" i="40"/>
  <c r="T558" i="40"/>
  <c r="Y558" i="40"/>
  <c r="X558" i="40"/>
  <c r="AA466" i="40"/>
  <c r="AB466" i="40"/>
  <c r="AD558" i="40"/>
  <c r="W558" i="40"/>
  <c r="W466" i="40"/>
  <c r="S32" i="40"/>
  <c r="Z35" i="40"/>
  <c r="AA32" i="40"/>
  <c r="AC33" i="40"/>
  <c r="AD32" i="40"/>
  <c r="AC34" i="40"/>
  <c r="S33" i="40"/>
  <c r="AB32" i="40"/>
  <c r="U34" i="40"/>
  <c r="AD36" i="40"/>
  <c r="W33" i="40"/>
  <c r="T32" i="40"/>
  <c r="Y33" i="40"/>
  <c r="AB36" i="40"/>
  <c r="U33" i="40"/>
  <c r="AD35" i="40"/>
  <c r="X33" i="40"/>
  <c r="AC334" i="40"/>
  <c r="AC347" i="40" s="1"/>
  <c r="U334" i="40"/>
  <c r="Y334" i="40"/>
  <c r="V334" i="40"/>
  <c r="AB334" i="40"/>
  <c r="AB347" i="40" s="1"/>
  <c r="T334" i="40"/>
  <c r="Z334" i="40"/>
  <c r="AA334" i="40"/>
  <c r="S334" i="40"/>
  <c r="S347" i="40" s="1"/>
  <c r="R334" i="40"/>
  <c r="X334" i="40"/>
  <c r="W334" i="40"/>
  <c r="AD334" i="40"/>
  <c r="AD347" i="40" s="1"/>
  <c r="AC35" i="40"/>
  <c r="V33" i="40"/>
  <c r="T36" i="40"/>
  <c r="AA36" i="40"/>
  <c r="Z34" i="40"/>
  <c r="Y34" i="40"/>
  <c r="X32" i="40"/>
  <c r="AA288" i="40"/>
  <c r="S288" i="40"/>
  <c r="T288" i="40"/>
  <c r="Z288" i="40"/>
  <c r="Z301" i="40" s="1"/>
  <c r="R288" i="40"/>
  <c r="AB288" i="40"/>
  <c r="Y288" i="40"/>
  <c r="Y301" i="40" s="1"/>
  <c r="X288" i="40"/>
  <c r="W288" i="40"/>
  <c r="AD288" i="40"/>
  <c r="V288" i="40"/>
  <c r="AC288" i="40"/>
  <c r="U288" i="40"/>
  <c r="U301" i="40" s="1"/>
  <c r="AC196" i="40"/>
  <c r="AC209" i="40" s="1"/>
  <c r="U196" i="40"/>
  <c r="Z196" i="40"/>
  <c r="Z209" i="40" s="1"/>
  <c r="Y196" i="40"/>
  <c r="AB196" i="40"/>
  <c r="T196" i="40"/>
  <c r="T209" i="40" s="1"/>
  <c r="R196" i="40"/>
  <c r="AA196" i="40"/>
  <c r="S196" i="40"/>
  <c r="AD196" i="40"/>
  <c r="V196" i="40"/>
  <c r="X196" i="40"/>
  <c r="W196" i="40"/>
  <c r="Z33" i="40"/>
  <c r="T33" i="40"/>
  <c r="Y32" i="40"/>
  <c r="AA34" i="40"/>
  <c r="AB33" i="40"/>
  <c r="V36" i="40"/>
  <c r="AD33" i="40"/>
  <c r="X35" i="40"/>
  <c r="S35" i="40"/>
  <c r="U36" i="40"/>
  <c r="W36" i="40"/>
  <c r="T34" i="40"/>
  <c r="AB35" i="40"/>
  <c r="V32" i="40"/>
  <c r="AC150" i="40"/>
  <c r="AC163" i="40" s="1"/>
  <c r="U150" i="40"/>
  <c r="Z150" i="40"/>
  <c r="Y150" i="40"/>
  <c r="AB150" i="40"/>
  <c r="AB163" i="40" s="1"/>
  <c r="T150" i="40"/>
  <c r="R150" i="40"/>
  <c r="AA150" i="40"/>
  <c r="AA163" i="40" s="1"/>
  <c r="S150" i="40"/>
  <c r="X150" i="40"/>
  <c r="W150" i="40"/>
  <c r="W163" i="40" s="1"/>
  <c r="AD150" i="40"/>
  <c r="AD163" i="40" s="1"/>
  <c r="V150" i="40"/>
  <c r="Z32" i="40"/>
  <c r="AC32" i="40"/>
  <c r="Y36" i="40"/>
  <c r="AA33" i="40"/>
  <c r="AB34" i="40"/>
  <c r="V34" i="40"/>
  <c r="W35" i="40"/>
  <c r="X36" i="40"/>
  <c r="W32" i="40"/>
  <c r="S34" i="40"/>
  <c r="U35" i="40"/>
  <c r="T35" i="40"/>
  <c r="S371" i="40"/>
  <c r="AD34" i="40"/>
  <c r="Z242" i="40"/>
  <c r="R242" i="40"/>
  <c r="R255" i="40" s="1"/>
  <c r="V242" i="40"/>
  <c r="V255" i="40" s="1"/>
  <c r="AA242" i="40"/>
  <c r="S242" i="40"/>
  <c r="Y242" i="40"/>
  <c r="Y255" i="40" s="1"/>
  <c r="W242" i="40"/>
  <c r="AD242" i="40"/>
  <c r="AD255" i="40" s="1"/>
  <c r="X242" i="40"/>
  <c r="AC242" i="40"/>
  <c r="AC255" i="40" s="1"/>
  <c r="U242" i="40"/>
  <c r="U255" i="40" s="1"/>
  <c r="AB242" i="40"/>
  <c r="AB255" i="40" s="1"/>
  <c r="T242" i="40"/>
  <c r="T255" i="40" s="1"/>
  <c r="Z36" i="40"/>
  <c r="AC36" i="40"/>
  <c r="Y35" i="40"/>
  <c r="AA35" i="40"/>
  <c r="U32" i="40"/>
  <c r="V35" i="40"/>
  <c r="W34" i="40"/>
  <c r="X34" i="40"/>
  <c r="Z404" i="40"/>
  <c r="Z445" i="40"/>
  <c r="Z468" i="40" s="1"/>
  <c r="X550" i="40"/>
  <c r="Y544" i="40"/>
  <c r="Y547" i="40" s="1"/>
  <c r="M149" i="3"/>
  <c r="M163" i="3"/>
  <c r="M107" i="3"/>
  <c r="M135" i="3"/>
  <c r="M121" i="3"/>
  <c r="U347" i="40" l="1"/>
  <c r="X347" i="40"/>
  <c r="V347" i="40"/>
  <c r="Y209" i="40"/>
  <c r="AA301" i="40"/>
  <c r="AA326" i="40" s="1"/>
  <c r="V163" i="40"/>
  <c r="U163" i="40"/>
  <c r="Y163" i="40"/>
  <c r="Z163" i="40"/>
  <c r="Z188" i="40" s="1"/>
  <c r="Z49" i="40" s="1"/>
  <c r="X255" i="40"/>
  <c r="R209" i="40"/>
  <c r="R234" i="40" s="1"/>
  <c r="R235" i="40" s="1"/>
  <c r="S209" i="40"/>
  <c r="T234" i="40" s="1"/>
  <c r="AB301" i="40"/>
  <c r="AB326" i="40" s="1"/>
  <c r="X163" i="40"/>
  <c r="S163" i="40"/>
  <c r="S255" i="40"/>
  <c r="S280" i="40" s="1"/>
  <c r="W255" i="40"/>
  <c r="W280" i="40" s="1"/>
  <c r="W51" i="40" s="1"/>
  <c r="T347" i="40"/>
  <c r="T163" i="40"/>
  <c r="U188" i="40" s="1"/>
  <c r="AA347" i="40"/>
  <c r="AB372" i="40" s="1"/>
  <c r="W347" i="40"/>
  <c r="AA255" i="40"/>
  <c r="AB280" i="40" s="1"/>
  <c r="AD301" i="40"/>
  <c r="AC301" i="40"/>
  <c r="AB209" i="40"/>
  <c r="AC234" i="40" s="1"/>
  <c r="W301" i="40"/>
  <c r="V209" i="40"/>
  <c r="R347" i="40"/>
  <c r="S372" i="40" s="1"/>
  <c r="S53" i="40" s="1"/>
  <c r="R301" i="40"/>
  <c r="R326" i="40" s="1"/>
  <c r="R327" i="40" s="1"/>
  <c r="X301" i="40"/>
  <c r="AD209" i="40"/>
  <c r="AD234" i="40" s="1"/>
  <c r="M206" i="40"/>
  <c r="Y218" i="40" s="1"/>
  <c r="T301" i="40"/>
  <c r="U326" i="40" s="1"/>
  <c r="U52" i="40" s="1"/>
  <c r="X209" i="40"/>
  <c r="Y234" i="40" s="1"/>
  <c r="Y50" i="40" s="1"/>
  <c r="AA209" i="40"/>
  <c r="AA234" i="40" s="1"/>
  <c r="AA50" i="40" s="1"/>
  <c r="M344" i="40"/>
  <c r="AB356" i="40" s="1"/>
  <c r="M298" i="40"/>
  <c r="T310" i="40" s="1"/>
  <c r="M252" i="40"/>
  <c r="W264" i="40" s="1"/>
  <c r="Z255" i="40"/>
  <c r="Z280" i="40" s="1"/>
  <c r="V301" i="40"/>
  <c r="V326" i="40" s="1"/>
  <c r="Z347" i="40"/>
  <c r="W209" i="40"/>
  <c r="X234" i="40" s="1"/>
  <c r="X50" i="40" s="1"/>
  <c r="S301" i="40"/>
  <c r="R163" i="40"/>
  <c r="U209" i="40"/>
  <c r="Y347" i="40"/>
  <c r="Y372" i="40" s="1"/>
  <c r="Y53" i="40" s="1"/>
  <c r="AD188" i="40"/>
  <c r="AD49" i="40" s="1"/>
  <c r="Z326" i="40"/>
  <c r="Z52" i="40" s="1"/>
  <c r="AD588" i="40"/>
  <c r="AC596" i="40" s="1"/>
  <c r="U280" i="40"/>
  <c r="U51" i="40" s="1"/>
  <c r="AD280" i="40"/>
  <c r="AD51" i="40" s="1"/>
  <c r="W188" i="40"/>
  <c r="W49" i="40" s="1"/>
  <c r="V280" i="40"/>
  <c r="V51" i="40" s="1"/>
  <c r="X45" i="40"/>
  <c r="AD372" i="40"/>
  <c r="Y280" i="40"/>
  <c r="Y51" i="40" s="1"/>
  <c r="AA45" i="40"/>
  <c r="AC280" i="40"/>
  <c r="AC372" i="40"/>
  <c r="AB45" i="40"/>
  <c r="R280" i="40"/>
  <c r="R281" i="40" s="1"/>
  <c r="AC188" i="40"/>
  <c r="Z234" i="40"/>
  <c r="AB188" i="40"/>
  <c r="V45" i="40"/>
  <c r="Y45" i="40"/>
  <c r="AC45" i="40"/>
  <c r="Z45" i="40"/>
  <c r="U45" i="40"/>
  <c r="S36" i="40"/>
  <c r="S45" i="40" s="1"/>
  <c r="W45" i="40"/>
  <c r="AD45" i="40"/>
  <c r="Z535" i="40"/>
  <c r="Y356" i="40"/>
  <c r="AD356" i="40"/>
  <c r="X551" i="40"/>
  <c r="Y412" i="40"/>
  <c r="Z450" i="40"/>
  <c r="Z406" i="40"/>
  <c r="Z409" i="40" s="1"/>
  <c r="Q319" i="40"/>
  <c r="Q320" i="40" s="1"/>
  <c r="Q273" i="40"/>
  <c r="Q274" i="40" s="1"/>
  <c r="Q365" i="40"/>
  <c r="Q366" i="40" s="1"/>
  <c r="X372" i="40" l="1"/>
  <c r="X53" i="40" s="1"/>
  <c r="V372" i="40"/>
  <c r="V53" i="40" s="1"/>
  <c r="U372" i="40"/>
  <c r="T372" i="40"/>
  <c r="R372" i="40"/>
  <c r="R373" i="40" s="1"/>
  <c r="W372" i="40"/>
  <c r="W53" i="40" s="1"/>
  <c r="S234" i="40"/>
  <c r="AA188" i="40"/>
  <c r="Y188" i="40"/>
  <c r="Y49" i="40" s="1"/>
  <c r="T188" i="40"/>
  <c r="T49" i="40" s="1"/>
  <c r="V188" i="40"/>
  <c r="V49" i="40" s="1"/>
  <c r="X188" i="40"/>
  <c r="X189" i="40" s="1"/>
  <c r="W218" i="40"/>
  <c r="X280" i="40"/>
  <c r="X281" i="40" s="1"/>
  <c r="T280" i="40"/>
  <c r="T281" i="40" s="1"/>
  <c r="AC218" i="40"/>
  <c r="S188" i="40"/>
  <c r="S189" i="40" s="1"/>
  <c r="T326" i="40"/>
  <c r="T327" i="40" s="1"/>
  <c r="AD326" i="40"/>
  <c r="AD327" i="40" s="1"/>
  <c r="T218" i="40"/>
  <c r="V218" i="40"/>
  <c r="AB218" i="40"/>
  <c r="X218" i="40"/>
  <c r="Z218" i="40"/>
  <c r="AC326" i="40"/>
  <c r="AC52" i="40" s="1"/>
  <c r="AA218" i="40"/>
  <c r="S218" i="40"/>
  <c r="S219" i="40" s="1"/>
  <c r="S221" i="40" s="1"/>
  <c r="S224" i="40" s="1"/>
  <c r="U218" i="40"/>
  <c r="AD218" i="40"/>
  <c r="X326" i="40"/>
  <c r="X327" i="40" s="1"/>
  <c r="X264" i="40"/>
  <c r="V234" i="40"/>
  <c r="V50" i="40" s="1"/>
  <c r="Y264" i="40"/>
  <c r="AA264" i="40"/>
  <c r="Y326" i="40"/>
  <c r="Y52" i="40" s="1"/>
  <c r="V264" i="40"/>
  <c r="Z264" i="40"/>
  <c r="U264" i="40"/>
  <c r="AB264" i="40"/>
  <c r="AD264" i="40"/>
  <c r="AC264" i="40"/>
  <c r="S264" i="40"/>
  <c r="S265" i="40" s="1"/>
  <c r="S85" i="40" s="1"/>
  <c r="T264" i="40"/>
  <c r="W234" i="40"/>
  <c r="W50" i="40" s="1"/>
  <c r="AB234" i="40"/>
  <c r="AB235" i="40" s="1"/>
  <c r="S356" i="40"/>
  <c r="S357" i="40" s="1"/>
  <c r="S87" i="40" s="1"/>
  <c r="W356" i="40"/>
  <c r="Z356" i="40"/>
  <c r="U356" i="40"/>
  <c r="AA356" i="40"/>
  <c r="AC356" i="40"/>
  <c r="T356" i="40"/>
  <c r="X356" i="40"/>
  <c r="V356" i="40"/>
  <c r="X310" i="40"/>
  <c r="V310" i="40"/>
  <c r="AB310" i="40"/>
  <c r="AD310" i="40"/>
  <c r="S310" i="40"/>
  <c r="S311" i="40" s="1"/>
  <c r="R319" i="40" s="1"/>
  <c r="R320" i="40" s="1"/>
  <c r="Y310" i="40"/>
  <c r="U310" i="40"/>
  <c r="W310" i="40"/>
  <c r="AC310" i="40"/>
  <c r="AA310" i="40"/>
  <c r="Z310" i="40"/>
  <c r="AA280" i="40"/>
  <c r="AA51" i="40" s="1"/>
  <c r="W326" i="40"/>
  <c r="W52" i="40" s="1"/>
  <c r="Z372" i="40"/>
  <c r="Z53" i="40" s="1"/>
  <c r="S326" i="40"/>
  <c r="S52" i="40" s="1"/>
  <c r="AA372" i="40"/>
  <c r="AA53" i="40" s="1"/>
  <c r="U234" i="40"/>
  <c r="U50" i="40" s="1"/>
  <c r="Y235" i="40"/>
  <c r="AD189" i="40"/>
  <c r="Y189" i="40"/>
  <c r="AC597" i="40"/>
  <c r="AD590" i="40"/>
  <c r="AD593" i="40" s="1"/>
  <c r="AD596" i="40" s="1"/>
  <c r="Z327" i="40"/>
  <c r="Y373" i="40"/>
  <c r="W189" i="40"/>
  <c r="AA235" i="40"/>
  <c r="W281" i="40"/>
  <c r="V373" i="40"/>
  <c r="U281" i="40"/>
  <c r="X235" i="40"/>
  <c r="V281" i="40"/>
  <c r="Z189" i="40"/>
  <c r="AD281" i="40"/>
  <c r="U327" i="40"/>
  <c r="AD53" i="40"/>
  <c r="AD373" i="40"/>
  <c r="Y281" i="40"/>
  <c r="AC51" i="40"/>
  <c r="AC281" i="40"/>
  <c r="Z50" i="40"/>
  <c r="Z235" i="40"/>
  <c r="S373" i="40"/>
  <c r="V52" i="40"/>
  <c r="V327" i="40"/>
  <c r="AA49" i="40"/>
  <c r="AA189" i="40"/>
  <c r="T51" i="40"/>
  <c r="AC50" i="40"/>
  <c r="AC235" i="40"/>
  <c r="AD50" i="40"/>
  <c r="AD235" i="40"/>
  <c r="S51" i="40"/>
  <c r="S281" i="40"/>
  <c r="AB51" i="40"/>
  <c r="AB281" i="40"/>
  <c r="Z51" i="40"/>
  <c r="Z281" i="40"/>
  <c r="T50" i="40"/>
  <c r="T235" i="40"/>
  <c r="S50" i="40"/>
  <c r="S235" i="40"/>
  <c r="U53" i="40"/>
  <c r="U373" i="40"/>
  <c r="T53" i="40"/>
  <c r="T373" i="40"/>
  <c r="AB53" i="40"/>
  <c r="AB373" i="40"/>
  <c r="AB49" i="40"/>
  <c r="AB189" i="40"/>
  <c r="AB52" i="40"/>
  <c r="AB327" i="40"/>
  <c r="AC53" i="40"/>
  <c r="AC373" i="40"/>
  <c r="AA52" i="40"/>
  <c r="AA327" i="40"/>
  <c r="AD52" i="40"/>
  <c r="U49" i="40"/>
  <c r="U189" i="40"/>
  <c r="X51" i="40"/>
  <c r="X52" i="40"/>
  <c r="AC49" i="40"/>
  <c r="AC189" i="40"/>
  <c r="Y413" i="40"/>
  <c r="Y458" i="40"/>
  <c r="Z452" i="40"/>
  <c r="Z455" i="40" s="1"/>
  <c r="Z537" i="40"/>
  <c r="AA397" i="40"/>
  <c r="S84" i="40"/>
  <c r="Q227" i="40"/>
  <c r="Q228" i="40" s="1"/>
  <c r="X373" i="40" l="1"/>
  <c r="W373" i="40"/>
  <c r="T189" i="40"/>
  <c r="T52" i="40"/>
  <c r="X49" i="40"/>
  <c r="R273" i="40"/>
  <c r="R274" i="40" s="1"/>
  <c r="R227" i="40"/>
  <c r="R228" i="40" s="1"/>
  <c r="V189" i="40"/>
  <c r="S49" i="40"/>
  <c r="S267" i="40"/>
  <c r="S270" i="40" s="1"/>
  <c r="T258" i="40" s="1"/>
  <c r="V235" i="40"/>
  <c r="AC327" i="40"/>
  <c r="Y327" i="40"/>
  <c r="AB50" i="40"/>
  <c r="W235" i="40"/>
  <c r="R365" i="40"/>
  <c r="R366" i="40" s="1"/>
  <c r="S359" i="40"/>
  <c r="S362" i="40" s="1"/>
  <c r="T350" i="40" s="1"/>
  <c r="Z373" i="40"/>
  <c r="S313" i="40"/>
  <c r="S316" i="40" s="1"/>
  <c r="T304" i="40" s="1"/>
  <c r="S86" i="40"/>
  <c r="AA281" i="40"/>
  <c r="U235" i="40"/>
  <c r="W327" i="40"/>
  <c r="AA373" i="40"/>
  <c r="S327" i="40"/>
  <c r="AD597" i="40"/>
  <c r="T212" i="40"/>
  <c r="AA399" i="40"/>
  <c r="AA443" i="40"/>
  <c r="Y459" i="40"/>
  <c r="Z542" i="40"/>
  <c r="Z560" i="40"/>
  <c r="AA422" i="40" l="1"/>
  <c r="T260" i="40"/>
  <c r="T352" i="40"/>
  <c r="AA445" i="40"/>
  <c r="T214" i="40"/>
  <c r="Y550" i="40"/>
  <c r="Z544" i="40"/>
  <c r="Z547" i="40" s="1"/>
  <c r="T306" i="40"/>
  <c r="T329" i="40" s="1"/>
  <c r="T18" i="40" s="1"/>
  <c r="AA404" i="40"/>
  <c r="T219" i="40" l="1"/>
  <c r="Z412" i="40"/>
  <c r="Y551" i="40"/>
  <c r="T265" i="40"/>
  <c r="T357" i="40"/>
  <c r="AA535" i="40"/>
  <c r="T237" i="40"/>
  <c r="T16" i="40" s="1"/>
  <c r="T375" i="40"/>
  <c r="T19" i="40" s="1"/>
  <c r="AA406" i="40"/>
  <c r="AA409" i="40" s="1"/>
  <c r="AA450" i="40"/>
  <c r="T311" i="40"/>
  <c r="AA468" i="40"/>
  <c r="T283" i="40"/>
  <c r="T17" i="40" s="1"/>
  <c r="T267" i="40" l="1"/>
  <c r="T270" i="40" s="1"/>
  <c r="U258" i="40" s="1"/>
  <c r="T86" i="40"/>
  <c r="S319" i="40"/>
  <c r="Z458" i="40"/>
  <c r="T87" i="40"/>
  <c r="S365" i="40"/>
  <c r="AB397" i="40"/>
  <c r="T85" i="40"/>
  <c r="S273" i="40"/>
  <c r="Z413" i="40"/>
  <c r="T313" i="40"/>
  <c r="T316" i="40" s="1"/>
  <c r="AA537" i="40"/>
  <c r="AA560" i="40" s="1"/>
  <c r="T84" i="40"/>
  <c r="S227" i="40"/>
  <c r="AA452" i="40"/>
  <c r="AA455" i="40" s="1"/>
  <c r="T359" i="40"/>
  <c r="T362" i="40" s="1"/>
  <c r="T221" i="40"/>
  <c r="T224" i="40" s="1"/>
  <c r="U212" i="40" l="1"/>
  <c r="Z459" i="40"/>
  <c r="AB443" i="40"/>
  <c r="AA542" i="40"/>
  <c r="S118" i="40"/>
  <c r="S274" i="40"/>
  <c r="S134" i="40" s="1"/>
  <c r="AB399" i="40"/>
  <c r="AB422" i="40" s="1"/>
  <c r="U350" i="40"/>
  <c r="S117" i="40"/>
  <c r="S228" i="40"/>
  <c r="S133" i="40" s="1"/>
  <c r="U304" i="40"/>
  <c r="S120" i="40"/>
  <c r="S366" i="40"/>
  <c r="S136" i="40" s="1"/>
  <c r="S119" i="40"/>
  <c r="S320" i="40"/>
  <c r="S135" i="40" s="1"/>
  <c r="U260" i="40"/>
  <c r="U352" i="40" l="1"/>
  <c r="AB404" i="40"/>
  <c r="AB406" i="40" s="1"/>
  <c r="AB409" i="40" s="1"/>
  <c r="U265" i="40"/>
  <c r="U283" i="40"/>
  <c r="U17" i="40" s="1"/>
  <c r="Z550" i="40"/>
  <c r="AB445" i="40"/>
  <c r="U214" i="40"/>
  <c r="U306" i="40"/>
  <c r="AA544" i="40"/>
  <c r="AA547" i="40" s="1"/>
  <c r="U85" i="40" l="1"/>
  <c r="T273" i="40"/>
  <c r="U311" i="40"/>
  <c r="AB450" i="40"/>
  <c r="AC397" i="40"/>
  <c r="U219" i="40"/>
  <c r="AB535" i="40"/>
  <c r="U329" i="40"/>
  <c r="U18" i="40" s="1"/>
  <c r="AB468" i="40"/>
  <c r="Z551" i="40"/>
  <c r="U267" i="40"/>
  <c r="U270" i="40" s="1"/>
  <c r="U357" i="40"/>
  <c r="U237" i="40"/>
  <c r="U16" i="40" s="1"/>
  <c r="AA412" i="40"/>
  <c r="U375" i="40"/>
  <c r="U19" i="40" s="1"/>
  <c r="U86" i="40" l="1"/>
  <c r="T319" i="40"/>
  <c r="U84" i="40"/>
  <c r="T227" i="40"/>
  <c r="U87" i="40"/>
  <c r="T365" i="40"/>
  <c r="U221" i="40"/>
  <c r="U224" i="40" s="1"/>
  <c r="T118" i="40"/>
  <c r="T274" i="40"/>
  <c r="T134" i="40" s="1"/>
  <c r="AA458" i="40"/>
  <c r="AB452" i="40"/>
  <c r="AB455" i="40" s="1"/>
  <c r="AC399" i="40"/>
  <c r="AC422" i="40" s="1"/>
  <c r="AA413" i="40"/>
  <c r="U359" i="40"/>
  <c r="U362" i="40" s="1"/>
  <c r="AB537" i="40"/>
  <c r="V258" i="40"/>
  <c r="U313" i="40"/>
  <c r="U316" i="40" s="1"/>
  <c r="T117" i="40" l="1"/>
  <c r="T228" i="40"/>
  <c r="T133" i="40" s="1"/>
  <c r="V212" i="40"/>
  <c r="V214" i="40" s="1"/>
  <c r="T120" i="40"/>
  <c r="T366" i="40"/>
  <c r="T136" i="40" s="1"/>
  <c r="T119" i="40"/>
  <c r="T320" i="40"/>
  <c r="T135" i="40" s="1"/>
  <c r="AB542" i="40"/>
  <c r="V350" i="40"/>
  <c r="AC443" i="40"/>
  <c r="AA459" i="40"/>
  <c r="AC404" i="40"/>
  <c r="AC406" i="40" s="1"/>
  <c r="AC409" i="40" s="1"/>
  <c r="V260" i="40"/>
  <c r="V304" i="40"/>
  <c r="AB560" i="40"/>
  <c r="V265" i="40" l="1"/>
  <c r="AD397" i="40"/>
  <c r="AC445" i="40"/>
  <c r="AC468" i="40" s="1"/>
  <c r="V306" i="40"/>
  <c r="V329" i="40" s="1"/>
  <c r="V18" i="40" s="1"/>
  <c r="V219" i="40"/>
  <c r="V283" i="40"/>
  <c r="V17" i="40" s="1"/>
  <c r="AA550" i="40"/>
  <c r="V237" i="40"/>
  <c r="V16" i="40" s="1"/>
  <c r="AB412" i="40"/>
  <c r="V352" i="40"/>
  <c r="V375" i="40" s="1"/>
  <c r="V19" i="40" s="1"/>
  <c r="AB544" i="40"/>
  <c r="AB547" i="40" s="1"/>
  <c r="V84" i="40" l="1"/>
  <c r="U227" i="40"/>
  <c r="V85" i="40"/>
  <c r="U273" i="40"/>
  <c r="AC535" i="40"/>
  <c r="AD399" i="40"/>
  <c r="V357" i="40"/>
  <c r="AA551" i="40"/>
  <c r="V221" i="40"/>
  <c r="V224" i="40" s="1"/>
  <c r="AC450" i="40"/>
  <c r="AC452" i="40" s="1"/>
  <c r="AC455" i="40" s="1"/>
  <c r="AB413" i="40"/>
  <c r="V311" i="40"/>
  <c r="V313" i="40" s="1"/>
  <c r="V316" i="40" s="1"/>
  <c r="V267" i="40"/>
  <c r="V270" i="40" s="1"/>
  <c r="AD422" i="40" l="1"/>
  <c r="U118" i="40"/>
  <c r="U274" i="40"/>
  <c r="U134" i="40" s="1"/>
  <c r="U117" i="40"/>
  <c r="U228" i="40"/>
  <c r="U133" i="40" s="1"/>
  <c r="V87" i="40"/>
  <c r="U365" i="40"/>
  <c r="V86" i="40"/>
  <c r="U319" i="40"/>
  <c r="W304" i="40"/>
  <c r="W258" i="40"/>
  <c r="AB458" i="40"/>
  <c r="AD404" i="40"/>
  <c r="W212" i="40"/>
  <c r="V359" i="40"/>
  <c r="V362" i="40" s="1"/>
  <c r="AD443" i="40"/>
  <c r="AC537" i="40"/>
  <c r="AC560" i="40" s="1"/>
  <c r="U119" i="40" l="1"/>
  <c r="U320" i="40"/>
  <c r="U135" i="40" s="1"/>
  <c r="U120" i="40"/>
  <c r="U366" i="40"/>
  <c r="U136" i="40" s="1"/>
  <c r="AC412" i="40"/>
  <c r="AB459" i="40"/>
  <c r="AC542" i="40"/>
  <c r="W350" i="40"/>
  <c r="W306" i="40"/>
  <c r="W329" i="40" s="1"/>
  <c r="W18" i="40" s="1"/>
  <c r="AD445" i="40"/>
  <c r="W214" i="40"/>
  <c r="W237" i="40" s="1"/>
  <c r="W16" i="40" s="1"/>
  <c r="AD406" i="40"/>
  <c r="AD409" i="40" s="1"/>
  <c r="W260" i="40"/>
  <c r="AD412" i="40" l="1"/>
  <c r="AD450" i="40"/>
  <c r="AD452" i="40" s="1"/>
  <c r="AD455" i="40" s="1"/>
  <c r="W352" i="40"/>
  <c r="W375" i="40" s="1"/>
  <c r="W19" i="40" s="1"/>
  <c r="W219" i="40"/>
  <c r="W265" i="40"/>
  <c r="W311" i="40"/>
  <c r="AB550" i="40"/>
  <c r="AC413" i="40"/>
  <c r="W283" i="40"/>
  <c r="W17" i="40" s="1"/>
  <c r="AD468" i="40"/>
  <c r="AC544" i="40"/>
  <c r="AC547" i="40" s="1"/>
  <c r="W86" i="40" l="1"/>
  <c r="V319" i="40"/>
  <c r="W84" i="40"/>
  <c r="V227" i="40"/>
  <c r="W85" i="40"/>
  <c r="V273" i="40"/>
  <c r="AD458" i="40"/>
  <c r="AC458" i="40"/>
  <c r="AD535" i="40"/>
  <c r="W221" i="40"/>
  <c r="W224" i="40" s="1"/>
  <c r="AB551" i="40"/>
  <c r="W313" i="40"/>
  <c r="W316" i="40" s="1"/>
  <c r="W267" i="40"/>
  <c r="W270" i="40" s="1"/>
  <c r="W357" i="40"/>
  <c r="AD413" i="40"/>
  <c r="W87" i="40" l="1"/>
  <c r="V365" i="40"/>
  <c r="V117" i="40"/>
  <c r="V228" i="40"/>
  <c r="V133" i="40" s="1"/>
  <c r="V118" i="40"/>
  <c r="V274" i="40"/>
  <c r="V134" i="40" s="1"/>
  <c r="V119" i="40"/>
  <c r="V320" i="40"/>
  <c r="V135" i="40" s="1"/>
  <c r="X258" i="40"/>
  <c r="AC459" i="40"/>
  <c r="X304" i="40"/>
  <c r="AD537" i="40"/>
  <c r="AD560" i="40" s="1"/>
  <c r="X212" i="40"/>
  <c r="W359" i="40"/>
  <c r="W362" i="40" s="1"/>
  <c r="AD459" i="40"/>
  <c r="V120" i="40" l="1"/>
  <c r="V366" i="40"/>
  <c r="V136" i="40" s="1"/>
  <c r="X350" i="40"/>
  <c r="X214" i="40"/>
  <c r="X306" i="40"/>
  <c r="X260" i="40"/>
  <c r="AD542" i="40"/>
  <c r="AC550" i="40" l="1"/>
  <c r="X311" i="40"/>
  <c r="AD544" i="40"/>
  <c r="AD547" i="40" s="1"/>
  <c r="X329" i="40"/>
  <c r="X18" i="40" s="1"/>
  <c r="X265" i="40"/>
  <c r="X219" i="40"/>
  <c r="X352" i="40"/>
  <c r="X283" i="40"/>
  <c r="X17" i="40" s="1"/>
  <c r="X237" i="40"/>
  <c r="X16" i="40" s="1"/>
  <c r="X84" i="40" l="1"/>
  <c r="W227" i="40"/>
  <c r="X86" i="40"/>
  <c r="W319" i="40"/>
  <c r="X85" i="40"/>
  <c r="W273" i="40"/>
  <c r="X357" i="40"/>
  <c r="X375" i="40"/>
  <c r="X19" i="40" s="1"/>
  <c r="X267" i="40"/>
  <c r="X270" i="40" s="1"/>
  <c r="X313" i="40"/>
  <c r="X316" i="40" s="1"/>
  <c r="AC551" i="40"/>
  <c r="X221" i="40"/>
  <c r="X224" i="40" s="1"/>
  <c r="AD550" i="40"/>
  <c r="W117" i="40" l="1"/>
  <c r="W228" i="40"/>
  <c r="W133" i="40" s="1"/>
  <c r="W119" i="40"/>
  <c r="W320" i="40"/>
  <c r="W135" i="40" s="1"/>
  <c r="W118" i="40"/>
  <c r="W274" i="40"/>
  <c r="W134" i="40" s="1"/>
  <c r="X87" i="40"/>
  <c r="W365" i="40"/>
  <c r="Y212" i="40"/>
  <c r="Y258" i="40"/>
  <c r="AD551" i="40"/>
  <c r="Y304" i="40"/>
  <c r="X359" i="40"/>
  <c r="X362" i="40" s="1"/>
  <c r="W120" i="40" l="1"/>
  <c r="W366" i="40"/>
  <c r="W136" i="40" s="1"/>
  <c r="Y350" i="40"/>
  <c r="Y306" i="40"/>
  <c r="Y329" i="40" s="1"/>
  <c r="Y18" i="40" s="1"/>
  <c r="Y260" i="40"/>
  <c r="Y214" i="40"/>
  <c r="Y219" i="40" l="1"/>
  <c r="Y265" i="40"/>
  <c r="Y352" i="40"/>
  <c r="Y283" i="40"/>
  <c r="Y17" i="40" s="1"/>
  <c r="Y237" i="40"/>
  <c r="Y16" i="40" s="1"/>
  <c r="Y311" i="40"/>
  <c r="Y91" i="3"/>
  <c r="Z91" i="3" l="1"/>
  <c r="Y84" i="40"/>
  <c r="X227" i="40"/>
  <c r="Y86" i="40"/>
  <c r="X319" i="40"/>
  <c r="Y85" i="40"/>
  <c r="X273" i="40"/>
  <c r="Y267" i="40"/>
  <c r="Y270" i="40" s="1"/>
  <c r="Y357" i="40"/>
  <c r="Y313" i="40"/>
  <c r="Y316" i="40" s="1"/>
  <c r="Y375" i="40"/>
  <c r="Y19" i="40" s="1"/>
  <c r="Y221" i="40"/>
  <c r="Y224" i="40" s="1"/>
  <c r="AA91" i="3" l="1"/>
  <c r="Y87" i="40"/>
  <c r="X365" i="40"/>
  <c r="X119" i="40"/>
  <c r="X320" i="40"/>
  <c r="X135" i="40" s="1"/>
  <c r="X118" i="40"/>
  <c r="X274" i="40"/>
  <c r="X134" i="40" s="1"/>
  <c r="X117" i="40"/>
  <c r="X228" i="40"/>
  <c r="X133" i="40" s="1"/>
  <c r="Z304" i="40"/>
  <c r="Y319" i="40"/>
  <c r="Y119" i="40" s="1"/>
  <c r="Z212" i="40"/>
  <c r="Y359" i="40"/>
  <c r="Y362" i="40" s="1"/>
  <c r="Z258" i="40"/>
  <c r="AB91" i="3" l="1"/>
  <c r="R132" i="37"/>
  <c r="R130" i="37"/>
  <c r="R73" i="3" s="1"/>
  <c r="M73" i="3" s="1"/>
  <c r="Y320" i="40"/>
  <c r="Y135" i="40" s="1"/>
  <c r="X120" i="40"/>
  <c r="X366" i="40"/>
  <c r="X136" i="40" s="1"/>
  <c r="Z350" i="40"/>
  <c r="Z260" i="40"/>
  <c r="Z283" i="40" s="1"/>
  <c r="Z17" i="40" s="1"/>
  <c r="Z214" i="40"/>
  <c r="Z237" i="40" s="1"/>
  <c r="Z16" i="40" s="1"/>
  <c r="Z306" i="40"/>
  <c r="Z329" i="40" s="1"/>
  <c r="Z18" i="40" s="1"/>
  <c r="T73" i="3" l="1"/>
  <c r="T130" i="37" s="1"/>
  <c r="AA73" i="3"/>
  <c r="AA130" i="37" s="1"/>
  <c r="S73" i="3"/>
  <c r="S130" i="37" s="1"/>
  <c r="Y73" i="3"/>
  <c r="Y130" i="37" s="1"/>
  <c r="AD73" i="3"/>
  <c r="AD130" i="37" s="1"/>
  <c r="U73" i="3"/>
  <c r="U130" i="37" s="1"/>
  <c r="Z73" i="3"/>
  <c r="Z130" i="37" s="1"/>
  <c r="AC73" i="3"/>
  <c r="AC130" i="37" s="1"/>
  <c r="AB73" i="3"/>
  <c r="AB130" i="37" s="1"/>
  <c r="X73" i="3"/>
  <c r="X130" i="37" s="1"/>
  <c r="W73" i="3"/>
  <c r="W130" i="37" s="1"/>
  <c r="V73" i="3"/>
  <c r="V130" i="37" s="1"/>
  <c r="AC91" i="3"/>
  <c r="Z219" i="40"/>
  <c r="Z311" i="40"/>
  <c r="Z86" i="40" s="1"/>
  <c r="Z265" i="40"/>
  <c r="Z352" i="40"/>
  <c r="AD91" i="3" l="1"/>
  <c r="Z85" i="40"/>
  <c r="Y273" i="40"/>
  <c r="Z84" i="40"/>
  <c r="Y227" i="40"/>
  <c r="Z357" i="40"/>
  <c r="Z375" i="40"/>
  <c r="Z19" i="40" s="1"/>
  <c r="Z313" i="40"/>
  <c r="Z316" i="40" s="1"/>
  <c r="Z267" i="40"/>
  <c r="Z270" i="40" s="1"/>
  <c r="Z221" i="40"/>
  <c r="Z224" i="40" s="1"/>
  <c r="Z87" i="40" l="1"/>
  <c r="Y365" i="40"/>
  <c r="Y117" i="40"/>
  <c r="Y228" i="40"/>
  <c r="Y133" i="40" s="1"/>
  <c r="Y118" i="40"/>
  <c r="Y274" i="40"/>
  <c r="Y134" i="40" s="1"/>
  <c r="AA304" i="40"/>
  <c r="Z319" i="40"/>
  <c r="Z119" i="40" s="1"/>
  <c r="AA212" i="40"/>
  <c r="AA258" i="40"/>
  <c r="Z359" i="40"/>
  <c r="Z362" i="40" s="1"/>
  <c r="Y120" i="40" l="1"/>
  <c r="Y366" i="40"/>
  <c r="Y136" i="40" s="1"/>
  <c r="AA260" i="40"/>
  <c r="AA350" i="40"/>
  <c r="AA214" i="40"/>
  <c r="AA306" i="40"/>
  <c r="AA329" i="40" s="1"/>
  <c r="AA18" i="40" s="1"/>
  <c r="Z320" i="40"/>
  <c r="Z135" i="40" s="1"/>
  <c r="AA352" i="40" l="1"/>
  <c r="AA219" i="40"/>
  <c r="AA237" i="40"/>
  <c r="AA16" i="40" s="1"/>
  <c r="AA265" i="40"/>
  <c r="AA311" i="40"/>
  <c r="AA86" i="40" s="1"/>
  <c r="AA283" i="40"/>
  <c r="AA17" i="40" s="1"/>
  <c r="Z227" i="40" l="1"/>
  <c r="AA84" i="40"/>
  <c r="AA85" i="40"/>
  <c r="Z273" i="40"/>
  <c r="AA313" i="40"/>
  <c r="AA316" i="40" s="1"/>
  <c r="AB304" i="40" s="1"/>
  <c r="AA221" i="40"/>
  <c r="AA224" i="40" s="1"/>
  <c r="AA267" i="40"/>
  <c r="AA270" i="40" s="1"/>
  <c r="AA357" i="40"/>
  <c r="AA375" i="40"/>
  <c r="AA19" i="40" s="1"/>
  <c r="AA87" i="40" l="1"/>
  <c r="Z365" i="40"/>
  <c r="Z117" i="40"/>
  <c r="Z228" i="40"/>
  <c r="Z133" i="40" s="1"/>
  <c r="AA319" i="40"/>
  <c r="AA119" i="40" s="1"/>
  <c r="Z118" i="40"/>
  <c r="Z274" i="40"/>
  <c r="Z134" i="40" s="1"/>
  <c r="AA227" i="40"/>
  <c r="AA117" i="40" s="1"/>
  <c r="AB212" i="40"/>
  <c r="AA359" i="40"/>
  <c r="AA362" i="40" s="1"/>
  <c r="AB306" i="40"/>
  <c r="AB258" i="40"/>
  <c r="Z120" i="40" l="1"/>
  <c r="Z366" i="40"/>
  <c r="Z136" i="40" s="1"/>
  <c r="AA320" i="40"/>
  <c r="AA135" i="40" s="1"/>
  <c r="AA228" i="40"/>
  <c r="AA133" i="40" s="1"/>
  <c r="AB260" i="40"/>
  <c r="AB350" i="40"/>
  <c r="AB311" i="40"/>
  <c r="AB86" i="40" s="1"/>
  <c r="AB214" i="40"/>
  <c r="AB237" i="40" s="1"/>
  <c r="AB16" i="40" s="1"/>
  <c r="AB329" i="40"/>
  <c r="AB18" i="40" s="1"/>
  <c r="AB352" i="40" l="1"/>
  <c r="AB313" i="40"/>
  <c r="AB316" i="40" s="1"/>
  <c r="AB265" i="40"/>
  <c r="AB219" i="40"/>
  <c r="AB283" i="40"/>
  <c r="AB17" i="40" s="1"/>
  <c r="AB84" i="40" l="1"/>
  <c r="AB85" i="40"/>
  <c r="AA273" i="40"/>
  <c r="AB267" i="40"/>
  <c r="AB270" i="40" s="1"/>
  <c r="AC258" i="40" s="1"/>
  <c r="AB319" i="40"/>
  <c r="AB119" i="40" s="1"/>
  <c r="AC304" i="40"/>
  <c r="AB221" i="40"/>
  <c r="AB224" i="40" s="1"/>
  <c r="AB357" i="40"/>
  <c r="AB375" i="40"/>
  <c r="AB19" i="40" s="1"/>
  <c r="AB87" i="40" l="1"/>
  <c r="AA365" i="40"/>
  <c r="AB359" i="40"/>
  <c r="AB362" i="40" s="1"/>
  <c r="AA118" i="40"/>
  <c r="AA274" i="40"/>
  <c r="AA134" i="40" s="1"/>
  <c r="AC212" i="40"/>
  <c r="AB227" i="40"/>
  <c r="AB117" i="40" s="1"/>
  <c r="AB320" i="40"/>
  <c r="AB135" i="40" s="1"/>
  <c r="AC306" i="40"/>
  <c r="AC329" i="40" s="1"/>
  <c r="AC18" i="40" s="1"/>
  <c r="AC260" i="40"/>
  <c r="AC283" i="40" s="1"/>
  <c r="AC17" i="40" s="1"/>
  <c r="AA120" i="40" l="1"/>
  <c r="AA366" i="40"/>
  <c r="AA136" i="40" s="1"/>
  <c r="AC350" i="40"/>
  <c r="AC352" i="40" s="1"/>
  <c r="AB228" i="40"/>
  <c r="AB133" i="40" s="1"/>
  <c r="AC265" i="40"/>
  <c r="AC311" i="40"/>
  <c r="AC86" i="40" s="1"/>
  <c r="AC214" i="40"/>
  <c r="AC85" i="40" l="1"/>
  <c r="AB273" i="40"/>
  <c r="AC219" i="40"/>
  <c r="AC237" i="40"/>
  <c r="AC16" i="40" s="1"/>
  <c r="AC267" i="40"/>
  <c r="AC270" i="40" s="1"/>
  <c r="AC357" i="40"/>
  <c r="AC313" i="40"/>
  <c r="AC316" i="40" s="1"/>
  <c r="AC375" i="40"/>
  <c r="AC19" i="40" s="1"/>
  <c r="AC87" i="40" l="1"/>
  <c r="AB365" i="40"/>
  <c r="AC84" i="40"/>
  <c r="AB118" i="40"/>
  <c r="AB274" i="40"/>
  <c r="AB134" i="40" s="1"/>
  <c r="AD258" i="40"/>
  <c r="AC319" i="40"/>
  <c r="AC119" i="40" s="1"/>
  <c r="AD304" i="40"/>
  <c r="AC359" i="40"/>
  <c r="AC362" i="40" s="1"/>
  <c r="AC221" i="40"/>
  <c r="AC224" i="40" s="1"/>
  <c r="AB366" i="40" l="1"/>
  <c r="AB136" i="40" s="1"/>
  <c r="AB120" i="40"/>
  <c r="AD212" i="40"/>
  <c r="AC227" i="40"/>
  <c r="AC117" i="40" s="1"/>
  <c r="AD350" i="40"/>
  <c r="AD306" i="40"/>
  <c r="AD260" i="40"/>
  <c r="AC320" i="40"/>
  <c r="AC135" i="40" s="1"/>
  <c r="AD311" i="40" l="1"/>
  <c r="AD86" i="40" s="1"/>
  <c r="AD329" i="40"/>
  <c r="AD18" i="40" s="1"/>
  <c r="AD265" i="40"/>
  <c r="AC273" i="40" s="1"/>
  <c r="AD352" i="40"/>
  <c r="AD214" i="40"/>
  <c r="AD283" i="40"/>
  <c r="AD17" i="40" s="1"/>
  <c r="AC228" i="40"/>
  <c r="AC133" i="40" s="1"/>
  <c r="AC118" i="40" l="1"/>
  <c r="AC274" i="40"/>
  <c r="AC134" i="40" s="1"/>
  <c r="AD85" i="40"/>
  <c r="AD267" i="40"/>
  <c r="AD270" i="40" s="1"/>
  <c r="AD273" i="40" s="1"/>
  <c r="AD118" i="40" s="1"/>
  <c r="AD219" i="40"/>
  <c r="AD357" i="40"/>
  <c r="AD375" i="40"/>
  <c r="AD19" i="40" s="1"/>
  <c r="AD237" i="40"/>
  <c r="AD16" i="40" s="1"/>
  <c r="AD313" i="40"/>
  <c r="AD316" i="40" s="1"/>
  <c r="AD87" i="40" l="1"/>
  <c r="AC365" i="40"/>
  <c r="AD84" i="40"/>
  <c r="AD221" i="40"/>
  <c r="AD224" i="40" s="1"/>
  <c r="AD319" i="40"/>
  <c r="AD119" i="40" s="1"/>
  <c r="AD359" i="40"/>
  <c r="AD362" i="40" s="1"/>
  <c r="AD274" i="40"/>
  <c r="AD134" i="40" s="1"/>
  <c r="AC120" i="40" l="1"/>
  <c r="AC366" i="40"/>
  <c r="AC136" i="40" s="1"/>
  <c r="AD320" i="40"/>
  <c r="AD135" i="40" s="1"/>
  <c r="AD365" i="40"/>
  <c r="AD120" i="40" s="1"/>
  <c r="AD227" i="40"/>
  <c r="AD117" i="40" s="1"/>
  <c r="AD366" i="40" l="1"/>
  <c r="AD136" i="40" s="1"/>
  <c r="AD228" i="40"/>
  <c r="AD133" i="40" s="1"/>
  <c r="S49" i="37" l="1"/>
  <c r="S56" i="52" l="1"/>
  <c r="G18" i="71" s="1"/>
  <c r="V56" i="52"/>
  <c r="J18" i="71" s="1"/>
  <c r="T56" i="52"/>
  <c r="H18" i="71" s="1"/>
  <c r="W56" i="52"/>
  <c r="K18" i="71" s="1"/>
  <c r="U56" i="52"/>
  <c r="I18" i="71" s="1"/>
  <c r="S17" i="37"/>
  <c r="S39" i="37"/>
  <c r="S42" i="37" s="1"/>
  <c r="S21" i="37" l="1"/>
  <c r="S46" i="37"/>
  <c r="S50" i="37" s="1"/>
  <c r="S27" i="43" s="1"/>
  <c r="T39" i="37"/>
  <c r="T42" i="37" s="1"/>
  <c r="U39" i="37" s="1"/>
  <c r="U42" i="37" s="1"/>
  <c r="V39" i="37" s="1"/>
  <c r="V42" i="37" s="1"/>
  <c r="W39" i="37" s="1"/>
  <c r="W42" i="37" s="1"/>
  <c r="X39" i="37" s="1"/>
  <c r="X42" i="37" s="1"/>
  <c r="Y39" i="37" s="1"/>
  <c r="Y42" i="37" s="1"/>
  <c r="U46" i="37" l="1"/>
  <c r="S52" i="37"/>
  <c r="T49" i="37" s="1"/>
  <c r="T46" i="37"/>
  <c r="Z39" i="37"/>
  <c r="Z42" i="37" s="1"/>
  <c r="S28" i="37"/>
  <c r="V46" i="37" l="1"/>
  <c r="T50" i="37"/>
  <c r="T27" i="43" s="1"/>
  <c r="S54" i="37"/>
  <c r="S28" i="4" s="1"/>
  <c r="AA39" i="37"/>
  <c r="AA42" i="37" s="1"/>
  <c r="W46" i="37" l="1"/>
  <c r="T52" i="37"/>
  <c r="U49" i="37" s="1"/>
  <c r="U50" i="37" s="1"/>
  <c r="U27" i="43" s="1"/>
  <c r="AB39" i="37"/>
  <c r="AB42" i="37" s="1"/>
  <c r="X46" i="37" l="1"/>
  <c r="T54" i="37"/>
  <c r="T28" i="4" s="1"/>
  <c r="U52" i="37"/>
  <c r="U54" i="37" s="1"/>
  <c r="U28" i="4" s="1"/>
  <c r="AC39" i="37"/>
  <c r="AC42" i="37" s="1"/>
  <c r="Y46" i="37" l="1"/>
  <c r="V49" i="37"/>
  <c r="V50" i="37" s="1"/>
  <c r="V27" i="43" s="1"/>
  <c r="AD39" i="37"/>
  <c r="AD42" i="37" s="1"/>
  <c r="Z46" i="37" l="1"/>
  <c r="V52" i="37"/>
  <c r="W49" i="37" s="1"/>
  <c r="W50" i="37" s="1"/>
  <c r="W27" i="43" s="1"/>
  <c r="AA46" i="37" l="1"/>
  <c r="V54" i="37"/>
  <c r="V28" i="4" s="1"/>
  <c r="W52" i="37"/>
  <c r="W54" i="37" s="1"/>
  <c r="W28" i="4" s="1"/>
  <c r="AB46" i="37" l="1"/>
  <c r="X49" i="37"/>
  <c r="X50" i="37" s="1"/>
  <c r="X27" i="43" s="1"/>
  <c r="AC46" i="37" l="1"/>
  <c r="X52" i="37"/>
  <c r="X54" i="37" s="1"/>
  <c r="X28" i="4" s="1"/>
  <c r="AD46" i="37" l="1"/>
  <c r="Y49" i="37"/>
  <c r="Y50" i="37" s="1"/>
  <c r="Y27" i="43" s="1"/>
  <c r="Y52" i="37" l="1"/>
  <c r="Y54" i="37" s="1"/>
  <c r="Y28" i="4" s="1"/>
  <c r="Z49" i="37" l="1"/>
  <c r="Z50" i="37" s="1"/>
  <c r="Z27" i="43" s="1"/>
  <c r="Z52" i="37" l="1"/>
  <c r="Z54" i="37" s="1"/>
  <c r="Z28" i="4" s="1"/>
  <c r="AA49" i="37" l="1"/>
  <c r="AA50" i="37" s="1"/>
  <c r="AA27" i="43" s="1"/>
  <c r="AA52" i="37" l="1"/>
  <c r="AA54" i="37" s="1"/>
  <c r="AA28" i="4" s="1"/>
  <c r="AB49" i="37" l="1"/>
  <c r="AB50" i="37" s="1"/>
  <c r="AB27" i="43" s="1"/>
  <c r="AB52" i="37" l="1"/>
  <c r="AB54" i="37" s="1"/>
  <c r="AB28" i="4" s="1"/>
  <c r="AC49" i="37" l="1"/>
  <c r="AC50" i="37" s="1"/>
  <c r="AC27" i="43" s="1"/>
  <c r="AC52" i="37" l="1"/>
  <c r="AC54" i="37" s="1"/>
  <c r="AC28" i="4" s="1"/>
  <c r="AD49" i="37" l="1"/>
  <c r="AD50" i="37" s="1"/>
  <c r="AD27" i="43" s="1"/>
  <c r="S25" i="37"/>
  <c r="S29" i="37" s="1"/>
  <c r="S26" i="43" s="1"/>
  <c r="T17" i="37"/>
  <c r="S31" i="37" l="1"/>
  <c r="S33" i="37" s="1"/>
  <c r="S27" i="4" s="1"/>
  <c r="T21" i="37"/>
  <c r="AD52" i="37"/>
  <c r="AD54" i="37" s="1"/>
  <c r="AD28" i="4" s="1"/>
  <c r="S34" i="4" l="1"/>
  <c r="S45" i="45"/>
  <c r="U17" i="37"/>
  <c r="T28" i="37"/>
  <c r="T25" i="37"/>
  <c r="U21" i="37" l="1"/>
  <c r="T29" i="37"/>
  <c r="T26" i="43" s="1"/>
  <c r="T31" i="37" l="1"/>
  <c r="T33" i="37" s="1"/>
  <c r="T27" i="4" s="1"/>
  <c r="U25" i="37"/>
  <c r="V17" i="37"/>
  <c r="T34" i="4" l="1"/>
  <c r="T45" i="45"/>
  <c r="U28" i="37"/>
  <c r="U29" i="37" s="1"/>
  <c r="U26" i="43" s="1"/>
  <c r="V21" i="37"/>
  <c r="W17" i="37" l="1"/>
  <c r="V25" i="37"/>
  <c r="U31" i="37"/>
  <c r="U33" i="37" s="1"/>
  <c r="U27" i="4" s="1"/>
  <c r="U34" i="4" l="1"/>
  <c r="U45" i="45"/>
  <c r="V28" i="37"/>
  <c r="V29" i="37" s="1"/>
  <c r="V26" i="43" s="1"/>
  <c r="W21" i="37"/>
  <c r="W25" i="37" l="1"/>
  <c r="X17" i="37"/>
  <c r="V31" i="37"/>
  <c r="V33" i="37" s="1"/>
  <c r="V27" i="4" s="1"/>
  <c r="V34" i="4" l="1"/>
  <c r="V45" i="45"/>
  <c r="X21" i="37"/>
  <c r="W28" i="37"/>
  <c r="Y17" i="37" l="1"/>
  <c r="X25" i="37"/>
  <c r="W29" i="37"/>
  <c r="W26" i="43" s="1"/>
  <c r="Y21" i="37" l="1"/>
  <c r="W31" i="37"/>
  <c r="W33" i="37" s="1"/>
  <c r="W27" i="4" s="1"/>
  <c r="W34" i="4" l="1"/>
  <c r="W45" i="45"/>
  <c r="Y25" i="37"/>
  <c r="Z17" i="37"/>
  <c r="X28" i="37"/>
  <c r="Z21" i="37" l="1"/>
  <c r="X29" i="37"/>
  <c r="X26" i="43" s="1"/>
  <c r="AD4" i="11"/>
  <c r="AC4" i="11"/>
  <c r="AB4" i="11"/>
  <c r="AA4" i="11"/>
  <c r="Z4" i="11"/>
  <c r="Y4" i="11"/>
  <c r="X4" i="11"/>
  <c r="W4" i="11"/>
  <c r="V4" i="11"/>
  <c r="U4" i="11"/>
  <c r="T4" i="11"/>
  <c r="S4" i="11"/>
  <c r="R4" i="11"/>
  <c r="Q4" i="11"/>
  <c r="P4" i="11"/>
  <c r="O4" i="11"/>
  <c r="N4" i="11"/>
  <c r="AD4" i="10"/>
  <c r="AC4" i="10"/>
  <c r="AB4" i="10"/>
  <c r="AA4" i="10"/>
  <c r="Z4" i="10"/>
  <c r="Y4" i="10"/>
  <c r="X4" i="10"/>
  <c r="W4" i="10"/>
  <c r="V4" i="10"/>
  <c r="U4" i="10"/>
  <c r="T4" i="10"/>
  <c r="S4" i="10"/>
  <c r="R4" i="10"/>
  <c r="Q4" i="10"/>
  <c r="P4" i="10"/>
  <c r="O4" i="10"/>
  <c r="N4" i="10"/>
  <c r="AD4" i="9"/>
  <c r="AC4" i="9"/>
  <c r="AB4" i="9"/>
  <c r="AA4" i="9"/>
  <c r="Z4" i="9"/>
  <c r="Y4" i="9"/>
  <c r="X4" i="9"/>
  <c r="W4" i="9"/>
  <c r="V4" i="9"/>
  <c r="U4" i="9"/>
  <c r="T4" i="9"/>
  <c r="S4" i="9"/>
  <c r="Q4" i="9"/>
  <c r="P4" i="9"/>
  <c r="O4" i="9"/>
  <c r="N4" i="9"/>
  <c r="AD4" i="37"/>
  <c r="AC4" i="37"/>
  <c r="AB4" i="37"/>
  <c r="AA4" i="37"/>
  <c r="Z4" i="37"/>
  <c r="Y4" i="37"/>
  <c r="X4" i="37"/>
  <c r="W4" i="37"/>
  <c r="V4" i="37"/>
  <c r="U4" i="37"/>
  <c r="T4" i="37"/>
  <c r="S4" i="37"/>
  <c r="R4" i="37"/>
  <c r="Q4" i="37"/>
  <c r="P4" i="37"/>
  <c r="O4" i="37"/>
  <c r="N4" i="37"/>
  <c r="AD4" i="34"/>
  <c r="AC4" i="34"/>
  <c r="AB4" i="34"/>
  <c r="AA4" i="34"/>
  <c r="Z4" i="34"/>
  <c r="Y4" i="34"/>
  <c r="X4" i="34"/>
  <c r="W4" i="34"/>
  <c r="V4" i="34"/>
  <c r="U4" i="34"/>
  <c r="T4" i="34"/>
  <c r="S4" i="34"/>
  <c r="R4" i="34"/>
  <c r="Q4" i="34"/>
  <c r="P4" i="34"/>
  <c r="O4" i="34"/>
  <c r="N4" i="34"/>
  <c r="AD4" i="12"/>
  <c r="AC4" i="12"/>
  <c r="AB4" i="12"/>
  <c r="AA4" i="12"/>
  <c r="Z4" i="12"/>
  <c r="Y4" i="12"/>
  <c r="X4" i="12"/>
  <c r="W4" i="12"/>
  <c r="V4" i="12"/>
  <c r="U4" i="12"/>
  <c r="T4" i="12"/>
  <c r="S4" i="12"/>
  <c r="R4" i="12"/>
  <c r="Q4" i="12"/>
  <c r="P4" i="12"/>
  <c r="O4" i="12"/>
  <c r="N4" i="12"/>
  <c r="AD4" i="32"/>
  <c r="AC4" i="32"/>
  <c r="AB4" i="32"/>
  <c r="AA4" i="32"/>
  <c r="Z4" i="32"/>
  <c r="Y4" i="32"/>
  <c r="X4" i="32"/>
  <c r="W4" i="32"/>
  <c r="V4" i="32"/>
  <c r="U4" i="32"/>
  <c r="T4" i="32"/>
  <c r="S4" i="32"/>
  <c r="R4" i="32"/>
  <c r="Q4" i="32"/>
  <c r="P4" i="32"/>
  <c r="O4" i="32"/>
  <c r="N4" i="32"/>
  <c r="X31" i="37" l="1"/>
  <c r="X33" i="37" s="1"/>
  <c r="X27" i="4" s="1"/>
  <c r="AA17" i="37"/>
  <c r="Z25" i="37"/>
  <c r="X34" i="4" l="1"/>
  <c r="X45" i="45"/>
  <c r="Y28" i="37"/>
  <c r="AA21" i="37"/>
  <c r="Y29" i="37"/>
  <c r="Y26" i="43" s="1"/>
  <c r="R122" i="37"/>
  <c r="R70" i="3" s="1"/>
  <c r="Y31" i="37" l="1"/>
  <c r="Y33" i="37" s="1"/>
  <c r="Y27" i="4" s="1"/>
  <c r="AB17" i="37"/>
  <c r="AA25" i="37"/>
  <c r="Y34" i="4" l="1"/>
  <c r="Y45" i="45"/>
  <c r="Z28" i="37"/>
  <c r="Z29" i="37" s="1"/>
  <c r="Z26" i="43" s="1"/>
  <c r="AB21" i="37"/>
  <c r="Q33" i="34"/>
  <c r="Q35" i="34" s="1"/>
  <c r="R20" i="34"/>
  <c r="Q20" i="34"/>
  <c r="S18" i="34"/>
  <c r="R18" i="34"/>
  <c r="Q18" i="34"/>
  <c r="Z31" i="37" l="1"/>
  <c r="Z33" i="37" s="1"/>
  <c r="Z27" i="4" s="1"/>
  <c r="AC17" i="37"/>
  <c r="AB25" i="37"/>
  <c r="Z34" i="4" l="1"/>
  <c r="Z45" i="45"/>
  <c r="AA28" i="37"/>
  <c r="AA29" i="37" s="1"/>
  <c r="AA26" i="43" s="1"/>
  <c r="AC21" i="37"/>
  <c r="AC25" i="37" l="1"/>
  <c r="AD17" i="37"/>
  <c r="AA31" i="37"/>
  <c r="AA33" i="37" s="1"/>
  <c r="AA27" i="4" s="1"/>
  <c r="AA34" i="4" l="1"/>
  <c r="AA45" i="45"/>
  <c r="AD21" i="37"/>
  <c r="AB28" i="37"/>
  <c r="AD25" i="37" l="1"/>
  <c r="AB29" i="37"/>
  <c r="AB26" i="43" s="1"/>
  <c r="AB31" i="37" l="1"/>
  <c r="AB33" i="37" s="1"/>
  <c r="AB27" i="4" s="1"/>
  <c r="AB34" i="4" l="1"/>
  <c r="AB45" i="45"/>
  <c r="AC28" i="37"/>
  <c r="AC29" i="37" s="1"/>
  <c r="AC26" i="43" s="1"/>
  <c r="R33" i="32"/>
  <c r="Q122" i="37"/>
  <c r="Q70" i="3" s="1"/>
  <c r="M70" i="3" s="1"/>
  <c r="Z70" i="3" l="1"/>
  <c r="Z122" i="37" s="1"/>
  <c r="AA70" i="3"/>
  <c r="AA122" i="37" s="1"/>
  <c r="Y70" i="3"/>
  <c r="Y122" i="37" s="1"/>
  <c r="X70" i="3"/>
  <c r="X122" i="37" s="1"/>
  <c r="S70" i="3"/>
  <c r="S122" i="37" s="1"/>
  <c r="W70" i="3"/>
  <c r="W122" i="37" s="1"/>
  <c r="AD70" i="3"/>
  <c r="AD122" i="37" s="1"/>
  <c r="V70" i="3"/>
  <c r="V122" i="37" s="1"/>
  <c r="AC70" i="3"/>
  <c r="AC122" i="37" s="1"/>
  <c r="U70" i="3"/>
  <c r="U122" i="37" s="1"/>
  <c r="AB70" i="3"/>
  <c r="AB122" i="37" s="1"/>
  <c r="T70" i="3"/>
  <c r="T122" i="37" s="1"/>
  <c r="AC31" i="37"/>
  <c r="AC33" i="37" s="1"/>
  <c r="AC27" i="4" s="1"/>
  <c r="B8" i="37"/>
  <c r="AD5" i="37"/>
  <c r="AC5" i="37"/>
  <c r="AB5" i="37"/>
  <c r="AA5" i="37"/>
  <c r="Z5" i="37"/>
  <c r="Y5" i="37"/>
  <c r="X5" i="37"/>
  <c r="W5" i="37"/>
  <c r="V5" i="37"/>
  <c r="U5" i="37"/>
  <c r="T5" i="37"/>
  <c r="S5" i="37"/>
  <c r="R5" i="37"/>
  <c r="Q5" i="37"/>
  <c r="P5" i="37"/>
  <c r="O5" i="37"/>
  <c r="N5" i="37"/>
  <c r="B8" i="34"/>
  <c r="AD5" i="34"/>
  <c r="AC5" i="34"/>
  <c r="AB5" i="34"/>
  <c r="AA5" i="34"/>
  <c r="Z5" i="34"/>
  <c r="Y5" i="34"/>
  <c r="X5" i="34"/>
  <c r="W5" i="34"/>
  <c r="V5" i="34"/>
  <c r="U5" i="34"/>
  <c r="T5" i="34"/>
  <c r="S5" i="34"/>
  <c r="R5" i="34"/>
  <c r="Q5" i="34"/>
  <c r="P5" i="34"/>
  <c r="O5" i="34"/>
  <c r="N5" i="34"/>
  <c r="B8" i="32"/>
  <c r="AD5" i="32"/>
  <c r="AC5" i="32"/>
  <c r="AB5" i="32"/>
  <c r="AA5" i="32"/>
  <c r="Z5" i="32"/>
  <c r="Y5" i="32"/>
  <c r="X5" i="32"/>
  <c r="W5" i="32"/>
  <c r="V5" i="32"/>
  <c r="U5" i="32"/>
  <c r="T5" i="32"/>
  <c r="S5" i="32"/>
  <c r="R5" i="32"/>
  <c r="Q5" i="32"/>
  <c r="P5" i="32"/>
  <c r="O5" i="32"/>
  <c r="N5" i="32"/>
  <c r="AC34" i="4" l="1"/>
  <c r="AC45" i="45"/>
  <c r="AD28" i="37"/>
  <c r="AD29" i="37" s="1"/>
  <c r="AD26" i="43" s="1"/>
  <c r="AD31" i="37" l="1"/>
  <c r="AD33" i="37" s="1"/>
  <c r="AD27" i="4" s="1"/>
  <c r="AD34" i="4" l="1"/>
  <c r="AD45" i="45"/>
  <c r="R33" i="34" l="1"/>
  <c r="R35" i="34" s="1"/>
  <c r="B8" i="12" l="1"/>
  <c r="AD5" i="12"/>
  <c r="AC5" i="12"/>
  <c r="AB5" i="12"/>
  <c r="AA5" i="12"/>
  <c r="Z5" i="12"/>
  <c r="Y5" i="12"/>
  <c r="X5" i="12"/>
  <c r="W5" i="12"/>
  <c r="V5" i="12"/>
  <c r="U5" i="12"/>
  <c r="T5" i="12"/>
  <c r="S5" i="12"/>
  <c r="R5" i="12"/>
  <c r="Q5" i="12"/>
  <c r="P5" i="12"/>
  <c r="O5" i="12"/>
  <c r="N5" i="12"/>
  <c r="B8" i="11" l="1"/>
  <c r="AD5" i="11"/>
  <c r="AC5" i="11"/>
  <c r="AB5" i="11"/>
  <c r="AA5" i="11"/>
  <c r="Z5" i="11"/>
  <c r="Y5" i="11"/>
  <c r="X5" i="11"/>
  <c r="W5" i="11"/>
  <c r="V5" i="11"/>
  <c r="U5" i="11"/>
  <c r="T5" i="11"/>
  <c r="S5" i="11"/>
  <c r="R5" i="11"/>
  <c r="Q5" i="11"/>
  <c r="P5" i="11"/>
  <c r="O5" i="11"/>
  <c r="N5" i="11"/>
  <c r="B8" i="10"/>
  <c r="AD5" i="10"/>
  <c r="AC5" i="10"/>
  <c r="AB5" i="10"/>
  <c r="AA5" i="10"/>
  <c r="Z5" i="10"/>
  <c r="Y5" i="10"/>
  <c r="X5" i="10"/>
  <c r="W5" i="10"/>
  <c r="V5" i="10"/>
  <c r="U5" i="10"/>
  <c r="T5" i="10"/>
  <c r="S5" i="10"/>
  <c r="R5" i="10"/>
  <c r="Q5" i="10"/>
  <c r="P5" i="10"/>
  <c r="O5" i="10"/>
  <c r="N5" i="10"/>
  <c r="B8" i="9"/>
  <c r="AD5" i="9"/>
  <c r="AC5" i="9"/>
  <c r="AB5" i="9"/>
  <c r="AA5" i="9"/>
  <c r="Z5" i="9"/>
  <c r="Y5" i="9"/>
  <c r="X5" i="9"/>
  <c r="W5" i="9"/>
  <c r="V5" i="9"/>
  <c r="U5" i="9"/>
  <c r="T5" i="9"/>
  <c r="S5" i="9"/>
  <c r="R5" i="9"/>
  <c r="Q5" i="9"/>
  <c r="P5" i="9"/>
  <c r="O5" i="9"/>
  <c r="N5" i="9"/>
  <c r="BC12" i="3" l="1"/>
  <c r="BB12" i="3"/>
  <c r="BA12" i="3"/>
  <c r="AZ12" i="3"/>
  <c r="AY12" i="3"/>
  <c r="AX12" i="3"/>
  <c r="AW12" i="3"/>
  <c r="AV12" i="3"/>
  <c r="AU12" i="3"/>
  <c r="AT12" i="3"/>
  <c r="AS12" i="3"/>
  <c r="AR12" i="3"/>
  <c r="AQ12" i="3"/>
  <c r="AD12" i="3"/>
  <c r="AC12" i="3"/>
  <c r="AB12" i="3"/>
  <c r="AA12" i="3"/>
  <c r="Z12" i="3"/>
  <c r="Y12" i="3"/>
  <c r="X12" i="3"/>
  <c r="W12" i="3"/>
  <c r="V12" i="3"/>
  <c r="U12" i="3"/>
  <c r="T12" i="3"/>
  <c r="S12" i="3"/>
  <c r="R12" i="3"/>
  <c r="Q12" i="3"/>
  <c r="P12" i="3"/>
  <c r="O12" i="3"/>
  <c r="N12" i="3"/>
  <c r="B8" i="3"/>
  <c r="S12" i="34" l="1"/>
  <c r="S14" i="34" s="1"/>
  <c r="S61" i="4" s="1"/>
  <c r="Q12" i="34"/>
  <c r="R12" i="34"/>
  <c r="T12" i="34" l="1"/>
  <c r="T14" i="34" s="1"/>
  <c r="T61" i="4" s="1"/>
  <c r="U12" i="34" l="1"/>
  <c r="U14" i="34" s="1"/>
  <c r="U61" i="4" s="1"/>
  <c r="V12" i="34" l="1"/>
  <c r="V14" i="34" s="1"/>
  <c r="V61" i="4" s="1"/>
  <c r="W12" i="34" l="1"/>
  <c r="W14" i="34" s="1"/>
  <c r="W61" i="4" s="1"/>
  <c r="X12" i="34" l="1"/>
  <c r="X14" i="34" s="1"/>
  <c r="X61" i="4" s="1"/>
  <c r="Y12" i="34" l="1"/>
  <c r="Y14" i="34" s="1"/>
  <c r="Y61" i="4" s="1"/>
  <c r="Z12" i="34" l="1"/>
  <c r="Z14" i="34" s="1"/>
  <c r="Z61" i="4" s="1"/>
  <c r="AA12" i="34" l="1"/>
  <c r="AA14" i="34" s="1"/>
  <c r="AA61" i="4" s="1"/>
  <c r="AB12" i="34" l="1"/>
  <c r="AB14" i="34" s="1"/>
  <c r="AB61" i="4" s="1"/>
  <c r="AC12" i="34" l="1"/>
  <c r="AC14" i="34" s="1"/>
  <c r="AC61" i="4" s="1"/>
  <c r="AD12" i="34" l="1"/>
  <c r="AD14" i="34" s="1"/>
  <c r="AD61" i="4" s="1"/>
  <c r="M160" i="40" l="1"/>
  <c r="S172" i="40" s="1"/>
  <c r="AA172" i="40" l="1"/>
  <c r="W172" i="40"/>
  <c r="S173" i="40"/>
  <c r="AD172" i="40"/>
  <c r="Z172" i="40"/>
  <c r="V172" i="40"/>
  <c r="AC172" i="40"/>
  <c r="U172" i="40"/>
  <c r="AB172" i="40"/>
  <c r="T172" i="40"/>
  <c r="Y172" i="40"/>
  <c r="X172" i="40"/>
  <c r="T45" i="40"/>
  <c r="S83" i="40" l="1"/>
  <c r="R181" i="40"/>
  <c r="R182" i="40" s="1"/>
  <c r="S175" i="40"/>
  <c r="M177" i="3"/>
  <c r="S178" i="40" l="1"/>
  <c r="AC473" i="40"/>
  <c r="U473" i="40"/>
  <c r="AB473" i="40"/>
  <c r="T473" i="40"/>
  <c r="AA473" i="40"/>
  <c r="S473" i="40"/>
  <c r="Z473" i="40"/>
  <c r="Y473" i="40"/>
  <c r="X473" i="40"/>
  <c r="V473" i="40"/>
  <c r="W473" i="40"/>
  <c r="AD473" i="40"/>
  <c r="T166" i="40"/>
  <c r="M222" i="3"/>
  <c r="AB224" i="3" l="1"/>
  <c r="AB490" i="40" s="1"/>
  <c r="AB79" i="40" s="1"/>
  <c r="AB30" i="31" s="1"/>
  <c r="T224" i="3"/>
  <c r="T490" i="40" s="1"/>
  <c r="AC224" i="3"/>
  <c r="AC490" i="40" s="1"/>
  <c r="AA224" i="3"/>
  <c r="AA490" i="40" s="1"/>
  <c r="AA79" i="40" s="1"/>
  <c r="AA30" i="31" s="1"/>
  <c r="S224" i="3"/>
  <c r="S490" i="40" s="1"/>
  <c r="Y224" i="3"/>
  <c r="Y490" i="40" s="1"/>
  <c r="Y79" i="40" s="1"/>
  <c r="Y30" i="31" s="1"/>
  <c r="Z224" i="3"/>
  <c r="Z490" i="40" s="1"/>
  <c r="Z79" i="40" s="1"/>
  <c r="Z30" i="31" s="1"/>
  <c r="X224" i="3"/>
  <c r="X490" i="40" s="1"/>
  <c r="X79" i="40" s="1"/>
  <c r="X30" i="31" s="1"/>
  <c r="V224" i="3"/>
  <c r="V490" i="40" s="1"/>
  <c r="W224" i="3"/>
  <c r="W490" i="40" s="1"/>
  <c r="AD224" i="3"/>
  <c r="AD490" i="40" s="1"/>
  <c r="U224" i="3"/>
  <c r="U490" i="40" s="1"/>
  <c r="U79" i="40" s="1"/>
  <c r="U30" i="31" s="1"/>
  <c r="T79" i="40"/>
  <c r="T30" i="31" s="1"/>
  <c r="AC79" i="40"/>
  <c r="AC30" i="31" s="1"/>
  <c r="AD79" i="40"/>
  <c r="AD30" i="31" s="1"/>
  <c r="V79" i="40"/>
  <c r="V30" i="31" s="1"/>
  <c r="W79" i="40"/>
  <c r="W30" i="31" s="1"/>
  <c r="T168" i="40"/>
  <c r="T191" i="40" s="1"/>
  <c r="T15" i="40" s="1"/>
  <c r="AD17" i="45" l="1"/>
  <c r="X17" i="45"/>
  <c r="AC17" i="45"/>
  <c r="Z17" i="45"/>
  <c r="T17" i="45"/>
  <c r="Y17" i="45"/>
  <c r="AA17" i="45"/>
  <c r="U17" i="45"/>
  <c r="W17" i="45"/>
  <c r="V17" i="45"/>
  <c r="AB17" i="45"/>
  <c r="S79" i="40"/>
  <c r="S30" i="31" s="1"/>
  <c r="S491" i="40"/>
  <c r="S514" i="40" s="1"/>
  <c r="AB484" i="40"/>
  <c r="AB486" i="40" s="1"/>
  <c r="T484" i="40"/>
  <c r="T486" i="40" s="1"/>
  <c r="AA484" i="40"/>
  <c r="AA486" i="40" s="1"/>
  <c r="U484" i="40"/>
  <c r="U486" i="40" s="1"/>
  <c r="V484" i="40"/>
  <c r="V486" i="40" s="1"/>
  <c r="W484" i="40"/>
  <c r="W486" i="40" s="1"/>
  <c r="Y484" i="40"/>
  <c r="Y486" i="40" s="1"/>
  <c r="AC484" i="40"/>
  <c r="AC486" i="40" s="1"/>
  <c r="X484" i="40"/>
  <c r="X486" i="40" s="1"/>
  <c r="AD484" i="40"/>
  <c r="AD486" i="40" s="1"/>
  <c r="Z484" i="40"/>
  <c r="Z486" i="40" s="1"/>
  <c r="S484" i="40"/>
  <c r="S486" i="40" s="1"/>
  <c r="AB62" i="40"/>
  <c r="T173" i="40"/>
  <c r="W62" i="40" l="1"/>
  <c r="M483" i="40"/>
  <c r="T495" i="40" s="1"/>
  <c r="S17" i="45"/>
  <c r="S28" i="40"/>
  <c r="V62" i="40"/>
  <c r="S62" i="40"/>
  <c r="Y62" i="40"/>
  <c r="T62" i="40"/>
  <c r="X62" i="40"/>
  <c r="AC62" i="40"/>
  <c r="Z62" i="40"/>
  <c r="AD62" i="40"/>
  <c r="AA62" i="40"/>
  <c r="U62" i="40"/>
  <c r="AA495" i="40"/>
  <c r="U495" i="40"/>
  <c r="T83" i="40"/>
  <c r="S181" i="40"/>
  <c r="T175" i="40"/>
  <c r="S31" i="43" l="1"/>
  <c r="G59" i="71" s="1"/>
  <c r="S33" i="31"/>
  <c r="G144" i="71" s="1"/>
  <c r="V495" i="40"/>
  <c r="AB495" i="40"/>
  <c r="AD495" i="40"/>
  <c r="Y495" i="40"/>
  <c r="AC495" i="40"/>
  <c r="S495" i="40"/>
  <c r="S496" i="40" s="1"/>
  <c r="S498" i="40" s="1"/>
  <c r="S501" i="40" s="1"/>
  <c r="X495" i="40"/>
  <c r="W495" i="40"/>
  <c r="Z495" i="40"/>
  <c r="T178" i="40"/>
  <c r="U166" i="40" s="1"/>
  <c r="S116" i="40"/>
  <c r="S182" i="40"/>
  <c r="S132" i="40" s="1"/>
  <c r="S15" i="45" l="1"/>
  <c r="S39" i="43"/>
  <c r="U168" i="40"/>
  <c r="S504" i="40"/>
  <c r="T489" i="40"/>
  <c r="S96" i="40"/>
  <c r="S16" i="45" l="1"/>
  <c r="S18" i="45" s="1"/>
  <c r="S32" i="45" s="1"/>
  <c r="S32" i="31"/>
  <c r="S41" i="43"/>
  <c r="T491" i="40"/>
  <c r="U173" i="40"/>
  <c r="U191" i="40"/>
  <c r="U15" i="40" s="1"/>
  <c r="S505" i="40"/>
  <c r="S23" i="31" l="1"/>
  <c r="G60" i="71"/>
  <c r="S51" i="45"/>
  <c r="S43" i="43"/>
  <c r="U83" i="40"/>
  <c r="T181" i="40"/>
  <c r="T496" i="40"/>
  <c r="T514" i="40"/>
  <c r="U175" i="40"/>
  <c r="S40" i="45" l="1"/>
  <c r="G62" i="71"/>
  <c r="S51" i="52"/>
  <c r="G15" i="71" s="1"/>
  <c r="G134" i="71"/>
  <c r="U178" i="40"/>
  <c r="T96" i="40"/>
  <c r="T28" i="40"/>
  <c r="T116" i="40"/>
  <c r="T182" i="40"/>
  <c r="T132" i="40" s="1"/>
  <c r="V166" i="40"/>
  <c r="T498" i="40"/>
  <c r="T501" i="40" s="1"/>
  <c r="T16" i="45" l="1"/>
  <c r="T32" i="31"/>
  <c r="T33" i="31"/>
  <c r="H144" i="71" s="1"/>
  <c r="T31" i="43"/>
  <c r="H59" i="71" s="1"/>
  <c r="S129" i="40"/>
  <c r="S39" i="4" s="1"/>
  <c r="S145" i="40"/>
  <c r="S51" i="4" s="1"/>
  <c r="S58" i="4" s="1"/>
  <c r="T504" i="40"/>
  <c r="U489" i="40"/>
  <c r="V168" i="40"/>
  <c r="V191" i="40" s="1"/>
  <c r="V15" i="40" s="1"/>
  <c r="S13" i="45" l="1"/>
  <c r="S31" i="45"/>
  <c r="S46" i="45"/>
  <c r="T15" i="45"/>
  <c r="T51" i="45" s="1"/>
  <c r="T39" i="43"/>
  <c r="U491" i="40"/>
  <c r="V173" i="40"/>
  <c r="T505" i="40"/>
  <c r="T41" i="43" l="1"/>
  <c r="T18" i="45"/>
  <c r="T32" i="45" s="1"/>
  <c r="V175" i="40"/>
  <c r="V83" i="40"/>
  <c r="U181" i="40"/>
  <c r="U496" i="40"/>
  <c r="U514" i="40"/>
  <c r="U28" i="40" s="1"/>
  <c r="T23" i="31" l="1"/>
  <c r="H60" i="71"/>
  <c r="U31" i="43"/>
  <c r="I59" i="71" s="1"/>
  <c r="U33" i="31"/>
  <c r="I144" i="71" s="1"/>
  <c r="T43" i="43"/>
  <c r="V178" i="40"/>
  <c r="W166" i="40" s="1"/>
  <c r="U116" i="40"/>
  <c r="U182" i="40"/>
  <c r="U132" i="40" s="1"/>
  <c r="U96" i="40"/>
  <c r="W168" i="40"/>
  <c r="T129" i="40"/>
  <c r="T39" i="4" s="1"/>
  <c r="T145" i="40"/>
  <c r="T51" i="4" s="1"/>
  <c r="T58" i="4" s="1"/>
  <c r="U498" i="40"/>
  <c r="U501" i="40" s="1"/>
  <c r="T40" i="45" l="1"/>
  <c r="H62" i="71"/>
  <c r="T51" i="52"/>
  <c r="H15" i="71" s="1"/>
  <c r="H134" i="71"/>
  <c r="U16" i="45"/>
  <c r="U32" i="31"/>
  <c r="T31" i="45"/>
  <c r="T46" i="45"/>
  <c r="T13" i="45"/>
  <c r="U15" i="45"/>
  <c r="U51" i="45" s="1"/>
  <c r="U39" i="43"/>
  <c r="U504" i="40"/>
  <c r="V489" i="40"/>
  <c r="W173" i="40"/>
  <c r="W191" i="40"/>
  <c r="W15" i="40" s="1"/>
  <c r="U18" i="45" l="1"/>
  <c r="U32" i="45" s="1"/>
  <c r="U41" i="43"/>
  <c r="W175" i="40"/>
  <c r="W83" i="40"/>
  <c r="V181" i="40"/>
  <c r="V491" i="40"/>
  <c r="U505" i="40"/>
  <c r="U23" i="31" l="1"/>
  <c r="I60" i="71"/>
  <c r="U43" i="43"/>
  <c r="W178" i="40"/>
  <c r="X166" i="40" s="1"/>
  <c r="V116" i="40"/>
  <c r="V182" i="40"/>
  <c r="V132" i="40" s="1"/>
  <c r="X168" i="40"/>
  <c r="X191" i="40" s="1"/>
  <c r="X15" i="40" s="1"/>
  <c r="V496" i="40"/>
  <c r="V96" i="40" s="1"/>
  <c r="U129" i="40"/>
  <c r="U39" i="4" s="1"/>
  <c r="U145" i="40"/>
  <c r="U51" i="4" s="1"/>
  <c r="U58" i="4" s="1"/>
  <c r="V514" i="40"/>
  <c r="V28" i="40" s="1"/>
  <c r="U40" i="45" l="1"/>
  <c r="I62" i="71"/>
  <c r="U51" i="52"/>
  <c r="I15" i="71" s="1"/>
  <c r="I134" i="71"/>
  <c r="U46" i="45"/>
  <c r="U13" i="45"/>
  <c r="U31" i="45"/>
  <c r="V16" i="45"/>
  <c r="V32" i="31"/>
  <c r="V31" i="43"/>
  <c r="J59" i="71" s="1"/>
  <c r="V33" i="31"/>
  <c r="J144" i="71" s="1"/>
  <c r="V498" i="40"/>
  <c r="V501" i="40" s="1"/>
  <c r="X173" i="40"/>
  <c r="V15" i="45" l="1"/>
  <c r="V51" i="45" s="1"/>
  <c r="V39" i="43"/>
  <c r="X83" i="40"/>
  <c r="W181" i="40"/>
  <c r="W489" i="40"/>
  <c r="V504" i="40"/>
  <c r="X175" i="40"/>
  <c r="V18" i="45" l="1"/>
  <c r="V32" i="45" s="1"/>
  <c r="V41" i="43"/>
  <c r="X178" i="40"/>
  <c r="V505" i="40"/>
  <c r="W116" i="40"/>
  <c r="W182" i="40"/>
  <c r="W132" i="40" s="1"/>
  <c r="V129" i="40"/>
  <c r="V39" i="4" s="1"/>
  <c r="Y166" i="40"/>
  <c r="W491" i="40"/>
  <c r="V23" i="31" l="1"/>
  <c r="J60" i="71"/>
  <c r="V43" i="43"/>
  <c r="V145" i="40"/>
  <c r="V51" i="4" s="1"/>
  <c r="V58" i="4" s="1"/>
  <c r="Y168" i="40"/>
  <c r="Y191" i="40" s="1"/>
  <c r="Y15" i="40" s="1"/>
  <c r="W496" i="40"/>
  <c r="W96" i="40" s="1"/>
  <c r="W514" i="40"/>
  <c r="W28" i="40" s="1"/>
  <c r="V40" i="45" l="1"/>
  <c r="J62" i="71"/>
  <c r="V51" i="52"/>
  <c r="J15" i="71" s="1"/>
  <c r="J134" i="71"/>
  <c r="V31" i="45"/>
  <c r="L39" i="71" s="1"/>
  <c r="V13" i="45"/>
  <c r="W31" i="43"/>
  <c r="K59" i="71" s="1"/>
  <c r="W33" i="31"/>
  <c r="K144" i="71" s="1"/>
  <c r="W16" i="45"/>
  <c r="W32" i="31"/>
  <c r="V46" i="45"/>
  <c r="W498" i="40"/>
  <c r="W501" i="40" s="1"/>
  <c r="W504" i="40" s="1"/>
  <c r="Y173" i="40"/>
  <c r="W15" i="45" l="1"/>
  <c r="W51" i="45" s="1"/>
  <c r="W39" i="43"/>
  <c r="Y175" i="40"/>
  <c r="X489" i="40"/>
  <c r="X491" i="40" s="1"/>
  <c r="X514" i="40" s="1"/>
  <c r="X28" i="40" s="1"/>
  <c r="Y83" i="40"/>
  <c r="X181" i="40"/>
  <c r="W129" i="40"/>
  <c r="W39" i="4" s="1"/>
  <c r="W505" i="40"/>
  <c r="X33" i="31" l="1"/>
  <c r="L144" i="71" s="1"/>
  <c r="X31" i="43"/>
  <c r="L59" i="71" s="1"/>
  <c r="W18" i="45"/>
  <c r="W32" i="45" s="1"/>
  <c r="W41" i="43"/>
  <c r="Y178" i="40"/>
  <c r="Z166" i="40" s="1"/>
  <c r="Z168" i="40" s="1"/>
  <c r="X116" i="40"/>
  <c r="X182" i="40"/>
  <c r="X132" i="40" s="1"/>
  <c r="W145" i="40"/>
  <c r="W51" i="4" s="1"/>
  <c r="W58" i="4" s="1"/>
  <c r="X496" i="40"/>
  <c r="X96" i="40" s="1"/>
  <c r="W23" i="31" l="1"/>
  <c r="K60" i="71"/>
  <c r="W46" i="45"/>
  <c r="W43" i="43"/>
  <c r="X16" i="45"/>
  <c r="X32" i="31"/>
  <c r="W31" i="45"/>
  <c r="M39" i="71" s="1"/>
  <c r="X15" i="45"/>
  <c r="X39" i="43"/>
  <c r="W13" i="45"/>
  <c r="X498" i="40"/>
  <c r="X501" i="40" s="1"/>
  <c r="X504" i="40" s="1"/>
  <c r="Z173" i="40"/>
  <c r="Z191" i="40"/>
  <c r="Z15" i="40" s="1"/>
  <c r="W40" i="45" l="1"/>
  <c r="K62" i="71"/>
  <c r="W51" i="52"/>
  <c r="K15" i="71" s="1"/>
  <c r="K134" i="71"/>
  <c r="X18" i="45"/>
  <c r="X32" i="45" s="1"/>
  <c r="X41" i="43"/>
  <c r="X51" i="45"/>
  <c r="Y181" i="40"/>
  <c r="Y489" i="40"/>
  <c r="Y491" i="40" s="1"/>
  <c r="Z83" i="40"/>
  <c r="Z175" i="40"/>
  <c r="X505" i="40"/>
  <c r="X23" i="31" l="1"/>
  <c r="L60" i="71"/>
  <c r="X43" i="43"/>
  <c r="Z178" i="40"/>
  <c r="Y116" i="40"/>
  <c r="Y182" i="40"/>
  <c r="Y132" i="40" s="1"/>
  <c r="Y496" i="40"/>
  <c r="Y96" i="40" s="1"/>
  <c r="AA166" i="40"/>
  <c r="X129" i="40"/>
  <c r="X39" i="4" s="1"/>
  <c r="X145" i="40"/>
  <c r="X51" i="4" s="1"/>
  <c r="X58" i="4" s="1"/>
  <c r="Y514" i="40"/>
  <c r="Y28" i="40" s="1"/>
  <c r="X40" i="45" l="1"/>
  <c r="L62" i="71"/>
  <c r="X51" i="52"/>
  <c r="L15" i="71" s="1"/>
  <c r="L134" i="71"/>
  <c r="X13" i="45"/>
  <c r="X31" i="45"/>
  <c r="N39" i="71" s="1"/>
  <c r="X46" i="45"/>
  <c r="Y16" i="45"/>
  <c r="Y32" i="31"/>
  <c r="Y33" i="31"/>
  <c r="M144" i="71" s="1"/>
  <c r="Y31" i="43"/>
  <c r="M59" i="71" s="1"/>
  <c r="AA168" i="40"/>
  <c r="AA191" i="40" s="1"/>
  <c r="AA15" i="40" s="1"/>
  <c r="Y498" i="40"/>
  <c r="Y501" i="40" s="1"/>
  <c r="Y15" i="45" l="1"/>
  <c r="Y51" i="45" s="1"/>
  <c r="Y39" i="43"/>
  <c r="Y504" i="40"/>
  <c r="Z489" i="40"/>
  <c r="AA173" i="40"/>
  <c r="Y41" i="43" l="1"/>
  <c r="Y18" i="45"/>
  <c r="Y32" i="45" s="1"/>
  <c r="Z181" i="40"/>
  <c r="AA83" i="40"/>
  <c r="AA175" i="40"/>
  <c r="Y129" i="40"/>
  <c r="Y39" i="4" s="1"/>
  <c r="Z491" i="40"/>
  <c r="Y505" i="40"/>
  <c r="Y23" i="31" l="1"/>
  <c r="M60" i="71"/>
  <c r="Y43" i="43"/>
  <c r="AA178" i="40"/>
  <c r="AB166" i="40" s="1"/>
  <c r="AB168" i="40" s="1"/>
  <c r="Z116" i="40"/>
  <c r="Z182" i="40"/>
  <c r="Z132" i="40" s="1"/>
  <c r="Z496" i="40"/>
  <c r="Z96" i="40" s="1"/>
  <c r="Z514" i="40"/>
  <c r="Z28" i="40" s="1"/>
  <c r="Y145" i="40"/>
  <c r="Y51" i="4" s="1"/>
  <c r="Y58" i="4" s="1"/>
  <c r="Y40" i="45" l="1"/>
  <c r="M62" i="71"/>
  <c r="Y51" i="52"/>
  <c r="M15" i="71" s="1"/>
  <c r="M134" i="71"/>
  <c r="Y46" i="45"/>
  <c r="Z33" i="31"/>
  <c r="N144" i="71" s="1"/>
  <c r="Z31" i="43"/>
  <c r="N59" i="71" s="1"/>
  <c r="Y13" i="45"/>
  <c r="Y31" i="45"/>
  <c r="O39" i="71" s="1"/>
  <c r="Z16" i="45"/>
  <c r="Z32" i="31"/>
  <c r="AB191" i="40"/>
  <c r="AB15" i="40" s="1"/>
  <c r="AB173" i="40"/>
  <c r="Z498" i="40"/>
  <c r="Z501" i="40" s="1"/>
  <c r="Z15" i="45" l="1"/>
  <c r="Z51" i="45" s="1"/>
  <c r="Z39" i="43"/>
  <c r="AA181" i="40"/>
  <c r="AB83" i="40"/>
  <c r="Z504" i="40"/>
  <c r="AA489" i="40"/>
  <c r="AB175" i="40"/>
  <c r="Z18" i="45" l="1"/>
  <c r="Z32" i="45" s="1"/>
  <c r="Z41" i="43"/>
  <c r="AB178" i="40"/>
  <c r="AA116" i="40"/>
  <c r="AA182" i="40"/>
  <c r="AA132" i="40" s="1"/>
  <c r="Z505" i="40"/>
  <c r="AC166" i="40"/>
  <c r="Z129" i="40"/>
  <c r="Z39" i="4" s="1"/>
  <c r="AA491" i="40"/>
  <c r="AA514" i="40" s="1"/>
  <c r="AA28" i="40" s="1"/>
  <c r="Z23" i="31" l="1"/>
  <c r="N60" i="71"/>
  <c r="AA31" i="43"/>
  <c r="O59" i="71" s="1"/>
  <c r="AA33" i="31"/>
  <c r="O144" i="71" s="1"/>
  <c r="Z43" i="43"/>
  <c r="Z145" i="40"/>
  <c r="Z51" i="4" s="1"/>
  <c r="Z58" i="4" s="1"/>
  <c r="AA496" i="40"/>
  <c r="AA96" i="40" s="1"/>
  <c r="AC168" i="40"/>
  <c r="AC191" i="40" s="1"/>
  <c r="AC15" i="40" s="1"/>
  <c r="Z40" i="45" l="1"/>
  <c r="N62" i="71"/>
  <c r="Z51" i="52"/>
  <c r="N15" i="71" s="1"/>
  <c r="N134" i="71"/>
  <c r="Z46" i="45"/>
  <c r="Z31" i="45"/>
  <c r="P39" i="71" s="1"/>
  <c r="Z13" i="45"/>
  <c r="AA16" i="45"/>
  <c r="AA32" i="31"/>
  <c r="AA15" i="45"/>
  <c r="AA39" i="43"/>
  <c r="AA498" i="40"/>
  <c r="AA501" i="40" s="1"/>
  <c r="AB489" i="40" s="1"/>
  <c r="AC173" i="40"/>
  <c r="AB181" i="40" s="1"/>
  <c r="AA18" i="45" l="1"/>
  <c r="AA32" i="45" s="1"/>
  <c r="AA41" i="43"/>
  <c r="AA51" i="45"/>
  <c r="AB116" i="40"/>
  <c r="AB182" i="40"/>
  <c r="AB132" i="40" s="1"/>
  <c r="AC83" i="40"/>
  <c r="AA504" i="40"/>
  <c r="AC175" i="40"/>
  <c r="AB491" i="40"/>
  <c r="AA23" i="31" l="1"/>
  <c r="O60" i="71"/>
  <c r="AA43" i="43"/>
  <c r="AC178" i="40"/>
  <c r="AD166" i="40" s="1"/>
  <c r="AA505" i="40"/>
  <c r="AA145" i="40" s="1"/>
  <c r="AA51" i="4" s="1"/>
  <c r="AA58" i="4" s="1"/>
  <c r="AA129" i="40"/>
  <c r="AA39" i="4" s="1"/>
  <c r="AD168" i="40"/>
  <c r="AB496" i="40"/>
  <c r="AB96" i="40" s="1"/>
  <c r="AB514" i="40"/>
  <c r="AB28" i="40" s="1"/>
  <c r="AA40" i="45" l="1"/>
  <c r="O62" i="71"/>
  <c r="AA51" i="52"/>
  <c r="O15" i="71" s="1"/>
  <c r="O134" i="71"/>
  <c r="AB16" i="45"/>
  <c r="AB32" i="31"/>
  <c r="AA13" i="45"/>
  <c r="AA31" i="45"/>
  <c r="Q39" i="71" s="1"/>
  <c r="AA46" i="45"/>
  <c r="AB33" i="31"/>
  <c r="P144" i="71" s="1"/>
  <c r="AB31" i="43"/>
  <c r="P59" i="71" s="1"/>
  <c r="AB498" i="40"/>
  <c r="AB501" i="40" s="1"/>
  <c r="AD173" i="40"/>
  <c r="AC181" i="40" s="1"/>
  <c r="AC116" i="40" s="1"/>
  <c r="AD191" i="40"/>
  <c r="AD15" i="40" s="1"/>
  <c r="AB15" i="45" l="1"/>
  <c r="AB51" i="45" s="1"/>
  <c r="AB39" i="43"/>
  <c r="AC182" i="40"/>
  <c r="AC132" i="40" s="1"/>
  <c r="AD83" i="40"/>
  <c r="AB504" i="40"/>
  <c r="AC489" i="40"/>
  <c r="AD175" i="40"/>
  <c r="AB18" i="45" l="1"/>
  <c r="AB32" i="45" s="1"/>
  <c r="AB41" i="43"/>
  <c r="AD178" i="40"/>
  <c r="AD181" i="40" s="1"/>
  <c r="AD116" i="40" s="1"/>
  <c r="AB129" i="40"/>
  <c r="AB39" i="4" s="1"/>
  <c r="AB505" i="40"/>
  <c r="AC491" i="40"/>
  <c r="AC514" i="40" s="1"/>
  <c r="AC28" i="40" s="1"/>
  <c r="AB23" i="31" l="1"/>
  <c r="P60" i="71"/>
  <c r="AC31" i="43"/>
  <c r="AC33" i="31"/>
  <c r="AB43" i="43"/>
  <c r="AD182" i="40"/>
  <c r="AD132" i="40" s="1"/>
  <c r="AB145" i="40"/>
  <c r="AB51" i="4" s="1"/>
  <c r="AB58" i="4" s="1"/>
  <c r="AC496" i="40"/>
  <c r="AC96" i="40" s="1"/>
  <c r="AB40" i="45" l="1"/>
  <c r="P62" i="71"/>
  <c r="AB51" i="52"/>
  <c r="P15" i="71" s="1"/>
  <c r="P134" i="71"/>
  <c r="AB13" i="45"/>
  <c r="AC15" i="45"/>
  <c r="AC39" i="43"/>
  <c r="AB46" i="45"/>
  <c r="AC16" i="45"/>
  <c r="AC32" i="31"/>
  <c r="AB31" i="45"/>
  <c r="R39" i="71" s="1"/>
  <c r="AC498" i="40"/>
  <c r="AC501" i="40" s="1"/>
  <c r="AC51" i="45" l="1"/>
  <c r="AC18" i="45"/>
  <c r="AC32" i="45" s="1"/>
  <c r="AC41" i="43"/>
  <c r="AC23" i="31" s="1"/>
  <c r="AC51" i="52" s="1"/>
  <c r="AD489" i="40"/>
  <c r="AC504" i="40"/>
  <c r="AC43" i="43" l="1"/>
  <c r="AC40" i="45" s="1"/>
  <c r="AC505" i="40"/>
  <c r="AC129" i="40"/>
  <c r="AC39" i="4" s="1"/>
  <c r="AD491" i="40"/>
  <c r="AC145" i="40" l="1"/>
  <c r="AC51" i="4" s="1"/>
  <c r="AC58" i="4" s="1"/>
  <c r="AD496" i="40"/>
  <c r="AD96" i="40" s="1"/>
  <c r="AD514" i="40"/>
  <c r="AD28" i="40" s="1"/>
  <c r="AC31" i="45" l="1"/>
  <c r="AC13" i="45"/>
  <c r="AD16" i="45"/>
  <c r="AD32" i="31"/>
  <c r="AC46" i="45"/>
  <c r="AD31" i="43"/>
  <c r="AD33" i="31"/>
  <c r="AD498" i="40"/>
  <c r="AD501" i="40" s="1"/>
  <c r="AD15" i="45" l="1"/>
  <c r="AD51" i="45" s="1"/>
  <c r="AD39" i="43"/>
  <c r="AD504" i="40"/>
  <c r="AD129" i="40" s="1"/>
  <c r="AD39" i="4" s="1"/>
  <c r="AD18" i="45" l="1"/>
  <c r="AD32" i="45" s="1"/>
  <c r="AD41" i="43"/>
  <c r="AD23" i="31" s="1"/>
  <c r="AD51" i="52" s="1"/>
  <c r="AD505" i="40"/>
  <c r="AD145" i="40" s="1"/>
  <c r="AD51" i="4" s="1"/>
  <c r="AD58" i="4" s="1"/>
  <c r="AD43" i="43" l="1"/>
  <c r="AD40" i="45" s="1"/>
  <c r="AD31" i="45"/>
  <c r="AD13" i="45"/>
  <c r="AD46" i="45"/>
  <c r="AB106" i="37"/>
  <c r="AB108" i="37" s="1"/>
  <c r="AB43" i="4" s="1"/>
  <c r="AD106" i="37"/>
  <c r="AD108" i="37" s="1"/>
  <c r="AD43" i="4" s="1"/>
  <c r="AC106" i="37"/>
  <c r="AC108" i="37" s="1"/>
  <c r="AC43" i="4" s="1"/>
  <c r="U39" i="52" l="1"/>
  <c r="I5" i="71" s="1"/>
  <c r="S39" i="52"/>
  <c r="G5" i="71" s="1"/>
  <c r="T39" i="52"/>
  <c r="H5" i="71" s="1"/>
  <c r="AA106" i="37"/>
  <c r="AD109" i="37"/>
  <c r="AD21" i="31" s="1"/>
  <c r="AD49" i="52" s="1"/>
  <c r="U106" i="37"/>
  <c r="U108" i="37" s="1"/>
  <c r="U43" i="4" s="1"/>
  <c r="S106" i="37"/>
  <c r="S108" i="37" s="1"/>
  <c r="S43" i="4" s="1"/>
  <c r="AC109" i="37"/>
  <c r="AC21" i="31" s="1"/>
  <c r="AC49" i="52" s="1"/>
  <c r="Z106" i="37"/>
  <c r="Z108" i="37" s="1"/>
  <c r="Z43" i="4" s="1"/>
  <c r="T106" i="37"/>
  <c r="T108" i="37" s="1"/>
  <c r="T43" i="4" s="1"/>
  <c r="AB131" i="37"/>
  <c r="AB47" i="4" s="1"/>
  <c r="AB123" i="37"/>
  <c r="AB41" i="4" s="1"/>
  <c r="P95" i="71" s="1"/>
  <c r="AD123" i="37"/>
  <c r="AD41" i="4" s="1"/>
  <c r="AD131" i="37"/>
  <c r="AD47" i="4" s="1"/>
  <c r="AC123" i="37"/>
  <c r="AC41" i="4" s="1"/>
  <c r="AC131" i="37"/>
  <c r="AC47" i="4" s="1"/>
  <c r="X106" i="37"/>
  <c r="X108" i="37" s="1"/>
  <c r="X43" i="4" s="1"/>
  <c r="AB48" i="4" l="1"/>
  <c r="P102" i="71" s="1"/>
  <c r="AD48" i="4"/>
  <c r="AC48" i="4"/>
  <c r="AA108" i="37"/>
  <c r="AA43" i="4" s="1"/>
  <c r="W39" i="52"/>
  <c r="V39" i="52"/>
  <c r="J5" i="71" s="1"/>
  <c r="S41" i="52"/>
  <c r="U41" i="52"/>
  <c r="T41" i="52"/>
  <c r="T109" i="37"/>
  <c r="T21" i="31" s="1"/>
  <c r="T49" i="52" s="1"/>
  <c r="U109" i="37"/>
  <c r="U21" i="31" s="1"/>
  <c r="U49" i="52" s="1"/>
  <c r="U23" i="45"/>
  <c r="K36" i="71" s="1"/>
  <c r="U41" i="45"/>
  <c r="K39" i="71"/>
  <c r="AD41" i="45"/>
  <c r="AA23" i="45"/>
  <c r="Q36" i="71" s="1"/>
  <c r="AA41" i="45"/>
  <c r="Y106" i="37"/>
  <c r="T23" i="45"/>
  <c r="J36" i="71" s="1"/>
  <c r="T41" i="45"/>
  <c r="J39" i="71"/>
  <c r="AC23" i="45"/>
  <c r="AC41" i="45"/>
  <c r="W106" i="37"/>
  <c r="W108" i="37" s="1"/>
  <c r="W43" i="4" s="1"/>
  <c r="Z23" i="45"/>
  <c r="P36" i="71" s="1"/>
  <c r="Z41" i="45"/>
  <c r="AB41" i="45"/>
  <c r="S109" i="37"/>
  <c r="S21" i="31" s="1"/>
  <c r="S49" i="52" s="1"/>
  <c r="S23" i="45"/>
  <c r="I36" i="71" s="1"/>
  <c r="S41" i="45"/>
  <c r="I39" i="71"/>
  <c r="X41" i="45"/>
  <c r="AB23" i="45"/>
  <c r="R36" i="71" s="1"/>
  <c r="X23" i="45"/>
  <c r="N36" i="71" s="1"/>
  <c r="AD23" i="45"/>
  <c r="W123" i="37"/>
  <c r="W41" i="4" s="1"/>
  <c r="K95" i="71" s="1"/>
  <c r="V106" i="37"/>
  <c r="V108" i="37" s="1"/>
  <c r="V43" i="4" s="1"/>
  <c r="AD132" i="37"/>
  <c r="AD22" i="31" s="1"/>
  <c r="AD50" i="52" s="1"/>
  <c r="AC132" i="37"/>
  <c r="AC22" i="31" s="1"/>
  <c r="AC50" i="52" s="1"/>
  <c r="AD124" i="37"/>
  <c r="AD19" i="31" s="1"/>
  <c r="AD48" i="52" s="1"/>
  <c r="AC124" i="37"/>
  <c r="AC19" i="31" s="1"/>
  <c r="AC48" i="52" s="1"/>
  <c r="K5" i="71" l="1"/>
  <c r="W42" i="52"/>
  <c r="Y108" i="37"/>
  <c r="Y43" i="4" s="1"/>
  <c r="AA109" i="37"/>
  <c r="AA21" i="31" s="1"/>
  <c r="AA49" i="52" s="1"/>
  <c r="O13" i="71" s="1"/>
  <c r="AB109" i="37"/>
  <c r="AB21" i="31" s="1"/>
  <c r="AB49" i="52" s="1"/>
  <c r="P13" i="71" s="1"/>
  <c r="U42" i="52"/>
  <c r="I6" i="71"/>
  <c r="T42" i="52"/>
  <c r="H6" i="71"/>
  <c r="S42" i="52"/>
  <c r="G6" i="71"/>
  <c r="G10" i="71"/>
  <c r="H10" i="71"/>
  <c r="I10" i="71"/>
  <c r="W109" i="37"/>
  <c r="W21" i="31" s="1"/>
  <c r="W49" i="52" s="1"/>
  <c r="Y109" i="37"/>
  <c r="Y21" i="31" s="1"/>
  <c r="Y49" i="52" s="1"/>
  <c r="M13" i="71" s="1"/>
  <c r="X109" i="37"/>
  <c r="X21" i="31" s="1"/>
  <c r="X49" i="52" s="1"/>
  <c r="L13" i="71" s="1"/>
  <c r="V41" i="52"/>
  <c r="V23" i="45"/>
  <c r="L36" i="71" s="1"/>
  <c r="V41" i="45"/>
  <c r="Y23" i="45"/>
  <c r="O36" i="71" s="1"/>
  <c r="Y41" i="45"/>
  <c r="W23" i="45"/>
  <c r="M36" i="71" s="1"/>
  <c r="W41" i="45"/>
  <c r="V109" i="37"/>
  <c r="V21" i="31" s="1"/>
  <c r="V49" i="52" s="1"/>
  <c r="S123" i="37"/>
  <c r="S41" i="4" s="1"/>
  <c r="G95" i="71" s="1"/>
  <c r="T33" i="32"/>
  <c r="X123" i="37"/>
  <c r="X41" i="4" s="1"/>
  <c r="L95" i="71" s="1"/>
  <c r="Y123" i="37"/>
  <c r="Y41" i="4" s="1"/>
  <c r="M95" i="71" s="1"/>
  <c r="T123" i="37"/>
  <c r="T41" i="4" s="1"/>
  <c r="H95" i="71" s="1"/>
  <c r="AA123" i="37"/>
  <c r="AA41" i="4" s="1"/>
  <c r="O95" i="71" s="1"/>
  <c r="W131" i="37"/>
  <c r="W47" i="4" s="1"/>
  <c r="W48" i="4" s="1"/>
  <c r="K102" i="71" s="1"/>
  <c r="U123" i="37"/>
  <c r="U41" i="4" s="1"/>
  <c r="I95" i="71" s="1"/>
  <c r="Z123" i="37"/>
  <c r="Z41" i="4" s="1"/>
  <c r="N95" i="71" s="1"/>
  <c r="V123" i="37"/>
  <c r="V41" i="4" s="1"/>
  <c r="J95" i="71" s="1"/>
  <c r="S33" i="32"/>
  <c r="Z109" i="37" l="1"/>
  <c r="Z21" i="31" s="1"/>
  <c r="Z49" i="52" s="1"/>
  <c r="N13" i="71" s="1"/>
  <c r="V42" i="52"/>
  <c r="J6" i="71"/>
  <c r="J10" i="71"/>
  <c r="K10" i="71"/>
  <c r="S124" i="37"/>
  <c r="S19" i="31" s="1"/>
  <c r="G130" i="71" s="1"/>
  <c r="W124" i="37"/>
  <c r="W19" i="31" s="1"/>
  <c r="X33" i="32"/>
  <c r="AA96" i="37"/>
  <c r="AA98" i="37" s="1"/>
  <c r="AA22" i="4" s="1"/>
  <c r="AB33" i="32"/>
  <c r="Z33" i="32"/>
  <c r="X96" i="37"/>
  <c r="X98" i="37" s="1"/>
  <c r="X22" i="4" s="1"/>
  <c r="X71" i="37"/>
  <c r="X73" i="37" s="1"/>
  <c r="U33" i="32"/>
  <c r="W33" i="32"/>
  <c r="V33" i="32"/>
  <c r="V71" i="37"/>
  <c r="V73" i="37" s="1"/>
  <c r="Y33" i="32"/>
  <c r="V96" i="37"/>
  <c r="V98" i="37" s="1"/>
  <c r="V22" i="4" s="1"/>
  <c r="AA33" i="32"/>
  <c r="AD96" i="37"/>
  <c r="AD98" i="37" s="1"/>
  <c r="AD22" i="4" s="1"/>
  <c r="AD71" i="37"/>
  <c r="AD73" i="37" s="1"/>
  <c r="AD16" i="4" s="1"/>
  <c r="AD33" i="32"/>
  <c r="S96" i="37"/>
  <c r="S98" i="37" s="1"/>
  <c r="S22" i="4" s="1"/>
  <c r="S71" i="37"/>
  <c r="S73" i="37" s="1"/>
  <c r="AC33" i="32"/>
  <c r="T124" i="37"/>
  <c r="T19" i="31" s="1"/>
  <c r="U131" i="37"/>
  <c r="U47" i="4" s="1"/>
  <c r="U48" i="4" s="1"/>
  <c r="I102" i="71" s="1"/>
  <c r="AB124" i="37"/>
  <c r="AB19" i="31" s="1"/>
  <c r="AA124" i="37"/>
  <c r="AA19" i="31" s="1"/>
  <c r="Y131" i="37"/>
  <c r="Y47" i="4" s="1"/>
  <c r="Y48" i="4" s="1"/>
  <c r="M102" i="71" s="1"/>
  <c r="V124" i="37"/>
  <c r="V19" i="31" s="1"/>
  <c r="AA131" i="37"/>
  <c r="AA47" i="4" s="1"/>
  <c r="AA48" i="4" s="1"/>
  <c r="O102" i="71" s="1"/>
  <c r="Z131" i="37"/>
  <c r="Z47" i="4" s="1"/>
  <c r="Z48" i="4" s="1"/>
  <c r="N102" i="71" s="1"/>
  <c r="Y124" i="37"/>
  <c r="Y19" i="31" s="1"/>
  <c r="U124" i="37"/>
  <c r="U19" i="31" s="1"/>
  <c r="T131" i="37"/>
  <c r="T47" i="4" s="1"/>
  <c r="T48" i="4" s="1"/>
  <c r="H102" i="71" s="1"/>
  <c r="X131" i="37"/>
  <c r="X47" i="4" s="1"/>
  <c r="X48" i="4" s="1"/>
  <c r="L102" i="71" s="1"/>
  <c r="Z124" i="37"/>
  <c r="Z19" i="31" s="1"/>
  <c r="V131" i="37"/>
  <c r="V47" i="4" s="1"/>
  <c r="V48" i="4" s="1"/>
  <c r="J102" i="71" s="1"/>
  <c r="X124" i="37"/>
  <c r="X19" i="31" s="1"/>
  <c r="S131" i="37"/>
  <c r="S47" i="4" s="1"/>
  <c r="S48" i="4" s="1"/>
  <c r="G102" i="71" s="1"/>
  <c r="AB71" i="37"/>
  <c r="AB73" i="37" s="1"/>
  <c r="AB96" i="37"/>
  <c r="AB98" i="37" s="1"/>
  <c r="AB22" i="4" s="1"/>
  <c r="Y71" i="37"/>
  <c r="Y73" i="37" s="1"/>
  <c r="Y96" i="37"/>
  <c r="Y98" i="37" s="1"/>
  <c r="Y22" i="4" s="1"/>
  <c r="AB48" i="52" l="1"/>
  <c r="P12" i="71" s="1"/>
  <c r="P130" i="71"/>
  <c r="Z48" i="52"/>
  <c r="N12" i="71" s="1"/>
  <c r="N130" i="71"/>
  <c r="T48" i="52"/>
  <c r="H130" i="71"/>
  <c r="AA48" i="52"/>
  <c r="O12" i="71" s="1"/>
  <c r="O130" i="71"/>
  <c r="Y48" i="52"/>
  <c r="M12" i="71" s="1"/>
  <c r="M130" i="71"/>
  <c r="V48" i="52"/>
  <c r="J130" i="71"/>
  <c r="W48" i="52"/>
  <c r="K130" i="71"/>
  <c r="U48" i="52"/>
  <c r="I130" i="71"/>
  <c r="X48" i="52"/>
  <c r="L12" i="71" s="1"/>
  <c r="L130" i="71"/>
  <c r="X16" i="4"/>
  <c r="Y74" i="37"/>
  <c r="Y15" i="31" s="1"/>
  <c r="Y44" i="52" s="1"/>
  <c r="Y16" i="4"/>
  <c r="AB16" i="4"/>
  <c r="V16" i="4"/>
  <c r="S74" i="37"/>
  <c r="S15" i="31" s="1"/>
  <c r="S16" i="4"/>
  <c r="W132" i="37"/>
  <c r="W22" i="31" s="1"/>
  <c r="W50" i="52" s="1"/>
  <c r="K14" i="71" s="1"/>
  <c r="S99" i="37"/>
  <c r="S18" i="31" s="1"/>
  <c r="S47" i="52" s="1"/>
  <c r="G11" i="71" s="1"/>
  <c r="AA71" i="37"/>
  <c r="AA73" i="37" s="1"/>
  <c r="Z71" i="37"/>
  <c r="Z73" i="37" s="1"/>
  <c r="X12" i="45"/>
  <c r="Y99" i="37"/>
  <c r="Y18" i="31" s="1"/>
  <c r="Y47" i="52" s="1"/>
  <c r="M11" i="71" s="1"/>
  <c r="Z96" i="37"/>
  <c r="Z98" i="37" s="1"/>
  <c r="Z22" i="4" s="1"/>
  <c r="V12" i="45"/>
  <c r="S12" i="45"/>
  <c r="W71" i="37"/>
  <c r="W73" i="37" s="1"/>
  <c r="W74" i="37" s="1"/>
  <c r="W15" i="31" s="1"/>
  <c r="T96" i="37"/>
  <c r="T98" i="37" s="1"/>
  <c r="T22" i="4" s="1"/>
  <c r="T71" i="37"/>
  <c r="AD12" i="45"/>
  <c r="W96" i="37"/>
  <c r="W98" i="37" s="1"/>
  <c r="W22" i="4" s="1"/>
  <c r="T12" i="45"/>
  <c r="U12" i="45"/>
  <c r="U96" i="37"/>
  <c r="U98" i="37" s="1"/>
  <c r="U22" i="4" s="1"/>
  <c r="U71" i="37"/>
  <c r="U73" i="37" s="1"/>
  <c r="AC71" i="37"/>
  <c r="AC73" i="37" s="1"/>
  <c r="AC96" i="37"/>
  <c r="AC98" i="37" s="1"/>
  <c r="AC22" i="4" s="1"/>
  <c r="Z132" i="37"/>
  <c r="Z22" i="31" s="1"/>
  <c r="Z50" i="52" s="1"/>
  <c r="N14" i="71" s="1"/>
  <c r="AA132" i="37"/>
  <c r="AA22" i="31" s="1"/>
  <c r="AA50" i="52" s="1"/>
  <c r="O14" i="71" s="1"/>
  <c r="AB132" i="37"/>
  <c r="AB22" i="31" s="1"/>
  <c r="AB50" i="52" s="1"/>
  <c r="P14" i="71" s="1"/>
  <c r="Y132" i="37"/>
  <c r="Y22" i="31" s="1"/>
  <c r="Y50" i="52" s="1"/>
  <c r="M14" i="71" s="1"/>
  <c r="V132" i="37"/>
  <c r="V22" i="31" s="1"/>
  <c r="V50" i="52" s="1"/>
  <c r="J14" i="71" s="1"/>
  <c r="X132" i="37"/>
  <c r="X22" i="31" s="1"/>
  <c r="X50" i="52" s="1"/>
  <c r="L14" i="71" s="1"/>
  <c r="U132" i="37"/>
  <c r="U22" i="31" s="1"/>
  <c r="U50" i="52" s="1"/>
  <c r="I14" i="71" s="1"/>
  <c r="S132" i="37"/>
  <c r="S22" i="31" s="1"/>
  <c r="S50" i="52" s="1"/>
  <c r="G14" i="71" s="1"/>
  <c r="Y12" i="45"/>
  <c r="T132" i="37"/>
  <c r="T22" i="31" s="1"/>
  <c r="T50" i="52" s="1"/>
  <c r="H14" i="71" s="1"/>
  <c r="AB12" i="45"/>
  <c r="Y52" i="52" l="1"/>
  <c r="M16" i="71" s="1"/>
  <c r="M8" i="71"/>
  <c r="S24" i="31"/>
  <c r="Y24" i="31"/>
  <c r="Z16" i="4"/>
  <c r="AA74" i="37"/>
  <c r="AA15" i="31" s="1"/>
  <c r="AA44" i="52" s="1"/>
  <c r="AC16" i="4"/>
  <c r="AD74" i="37"/>
  <c r="AD15" i="31" s="1"/>
  <c r="AD44" i="52" s="1"/>
  <c r="AD52" i="52" s="1"/>
  <c r="AA16" i="4"/>
  <c r="AB74" i="37"/>
  <c r="AB15" i="31" s="1"/>
  <c r="AB44" i="52" s="1"/>
  <c r="AC74" i="37"/>
  <c r="AC15" i="31" s="1"/>
  <c r="AC44" i="52" s="1"/>
  <c r="U16" i="4"/>
  <c r="V74" i="37"/>
  <c r="V15" i="31" s="1"/>
  <c r="X74" i="37"/>
  <c r="X15" i="31" s="1"/>
  <c r="X44" i="52" s="1"/>
  <c r="W16" i="4"/>
  <c r="Z74" i="37"/>
  <c r="Z15" i="31" s="1"/>
  <c r="Z44" i="52" s="1"/>
  <c r="J13" i="71"/>
  <c r="K12" i="71"/>
  <c r="J12" i="71"/>
  <c r="H12" i="71"/>
  <c r="S48" i="52"/>
  <c r="G12" i="71" s="1"/>
  <c r="G13" i="71"/>
  <c r="I12" i="71"/>
  <c r="H13" i="71"/>
  <c r="I13" i="71"/>
  <c r="K13" i="71"/>
  <c r="Z99" i="37"/>
  <c r="Z18" i="31" s="1"/>
  <c r="Z47" i="52" s="1"/>
  <c r="N11" i="71" s="1"/>
  <c r="AC99" i="37"/>
  <c r="AC18" i="31" s="1"/>
  <c r="AC47" i="52" s="1"/>
  <c r="T73" i="37"/>
  <c r="AB99" i="37"/>
  <c r="AB18" i="31" s="1"/>
  <c r="AB47" i="52" s="1"/>
  <c r="P11" i="71" s="1"/>
  <c r="AA12" i="45"/>
  <c r="Z12" i="45"/>
  <c r="AA99" i="37"/>
  <c r="AA18" i="31" s="1"/>
  <c r="AA47" i="52" s="1"/>
  <c r="O11" i="71" s="1"/>
  <c r="AC12" i="45"/>
  <c r="AD99" i="37"/>
  <c r="AD18" i="31" s="1"/>
  <c r="AD47" i="52" s="1"/>
  <c r="U99" i="37"/>
  <c r="U18" i="31" s="1"/>
  <c r="U47" i="52" s="1"/>
  <c r="I11" i="71" s="1"/>
  <c r="T99" i="37"/>
  <c r="T18" i="31" s="1"/>
  <c r="T47" i="52" s="1"/>
  <c r="H11" i="71" s="1"/>
  <c r="W12" i="45"/>
  <c r="V99" i="37"/>
  <c r="V18" i="31" s="1"/>
  <c r="V47" i="52" s="1"/>
  <c r="J11" i="71" s="1"/>
  <c r="W99" i="37"/>
  <c r="W18" i="31" s="1"/>
  <c r="X99" i="37"/>
  <c r="X18" i="31" s="1"/>
  <c r="X47" i="52" s="1"/>
  <c r="L11" i="71" s="1"/>
  <c r="Y28" i="31" l="1"/>
  <c r="M139" i="71" s="1"/>
  <c r="M135" i="71"/>
  <c r="S28" i="31"/>
  <c r="G139" i="71" s="1"/>
  <c r="G135" i="71"/>
  <c r="Z52" i="52"/>
  <c r="N16" i="71" s="1"/>
  <c r="N8" i="71"/>
  <c r="Y34" i="31"/>
  <c r="Y33" i="45"/>
  <c r="X52" i="52"/>
  <c r="L16" i="71" s="1"/>
  <c r="L8" i="71"/>
  <c r="AC52" i="52"/>
  <c r="S33" i="45"/>
  <c r="AA52" i="52"/>
  <c r="O16" i="71" s="1"/>
  <c r="O8" i="71"/>
  <c r="AB52" i="52"/>
  <c r="P16" i="71" s="1"/>
  <c r="P8" i="71"/>
  <c r="W24" i="31"/>
  <c r="W47" i="52"/>
  <c r="K11" i="71" s="1"/>
  <c r="AB24" i="31"/>
  <c r="Z24" i="31"/>
  <c r="AD24" i="31"/>
  <c r="AD28" i="31" s="1"/>
  <c r="X24" i="31"/>
  <c r="AA24" i="31"/>
  <c r="V24" i="31"/>
  <c r="AC24" i="31"/>
  <c r="AC28" i="31" s="1"/>
  <c r="T16" i="4"/>
  <c r="U74" i="37"/>
  <c r="U15" i="31" s="1"/>
  <c r="U24" i="31" s="1"/>
  <c r="T74" i="37"/>
  <c r="T15" i="31" s="1"/>
  <c r="T24" i="31" s="1"/>
  <c r="G9" i="71"/>
  <c r="S34" i="31" l="1"/>
  <c r="Y36" i="31"/>
  <c r="M147" i="71" s="1"/>
  <c r="M145" i="71"/>
  <c r="X28" i="31"/>
  <c r="L139" i="71" s="1"/>
  <c r="L135" i="71"/>
  <c r="AB28" i="31"/>
  <c r="P139" i="71" s="1"/>
  <c r="P135" i="71"/>
  <c r="S36" i="31"/>
  <c r="G145" i="71"/>
  <c r="Z28" i="31"/>
  <c r="N139" i="71" s="1"/>
  <c r="N135" i="71"/>
  <c r="AA28" i="31"/>
  <c r="O139" i="71" s="1"/>
  <c r="O135" i="71"/>
  <c r="T28" i="31"/>
  <c r="H139" i="71" s="1"/>
  <c r="H135" i="71"/>
  <c r="W28" i="31"/>
  <c r="K139" i="71" s="1"/>
  <c r="K135" i="71"/>
  <c r="U28" i="31"/>
  <c r="I139" i="71" s="1"/>
  <c r="I135" i="71"/>
  <c r="V28" i="31"/>
  <c r="J139" i="71" s="1"/>
  <c r="J135" i="71"/>
  <c r="AB34" i="31"/>
  <c r="AB33" i="45"/>
  <c r="V34" i="31"/>
  <c r="AC34" i="31"/>
  <c r="AC36" i="31" s="1"/>
  <c r="AC33" i="45"/>
  <c r="X34" i="31"/>
  <c r="X33" i="45"/>
  <c r="AD34" i="31"/>
  <c r="AD36" i="31" s="1"/>
  <c r="AD33" i="45"/>
  <c r="Z33" i="45"/>
  <c r="J9" i="71"/>
  <c r="K9" i="71"/>
  <c r="S44" i="52"/>
  <c r="G8" i="71" s="1"/>
  <c r="I9" i="71"/>
  <c r="H9" i="71"/>
  <c r="AA33" i="45" l="1"/>
  <c r="Z34" i="31"/>
  <c r="V33" i="45"/>
  <c r="U34" i="31"/>
  <c r="U36" i="31" s="1"/>
  <c r="I147" i="71" s="1"/>
  <c r="AA34" i="31"/>
  <c r="AA36" i="31" s="1"/>
  <c r="O147" i="71" s="1"/>
  <c r="T33" i="45"/>
  <c r="T34" i="31"/>
  <c r="T36" i="31" s="1"/>
  <c r="H147" i="71" s="1"/>
  <c r="S39" i="31"/>
  <c r="G147" i="71"/>
  <c r="V36" i="31"/>
  <c r="J147" i="71" s="1"/>
  <c r="J145" i="71"/>
  <c r="AB36" i="31"/>
  <c r="P147" i="71" s="1"/>
  <c r="P145" i="71"/>
  <c r="W33" i="45"/>
  <c r="X36" i="31"/>
  <c r="L147" i="71" s="1"/>
  <c r="L145" i="71"/>
  <c r="W34" i="31"/>
  <c r="U33" i="45"/>
  <c r="Z36" i="31"/>
  <c r="N147" i="71" s="1"/>
  <c r="N145" i="71"/>
  <c r="V44" i="52"/>
  <c r="J8" i="71" s="1"/>
  <c r="H145" i="71" l="1"/>
  <c r="O145" i="71"/>
  <c r="I145" i="71"/>
  <c r="T39" i="31"/>
  <c r="H150" i="71" s="1"/>
  <c r="W36" i="31"/>
  <c r="K147" i="71" s="1"/>
  <c r="K145" i="71"/>
  <c r="G150" i="71"/>
  <c r="S14" i="4"/>
  <c r="T38" i="31"/>
  <c r="H149" i="71" s="1"/>
  <c r="W44" i="52"/>
  <c r="K8" i="71" s="1"/>
  <c r="S33" i="34"/>
  <c r="S35" i="34" s="1"/>
  <c r="U38" i="31" l="1"/>
  <c r="T14" i="4"/>
  <c r="T23" i="4" s="1"/>
  <c r="G68" i="71"/>
  <c r="S23" i="4"/>
  <c r="U39" i="31"/>
  <c r="I150" i="71" s="1"/>
  <c r="I149" i="71"/>
  <c r="U44" i="52"/>
  <c r="I8" i="71" s="1"/>
  <c r="T44" i="52"/>
  <c r="H8" i="71" s="1"/>
  <c r="S20" i="34"/>
  <c r="H68" i="71" l="1"/>
  <c r="U14" i="4"/>
  <c r="S36" i="4"/>
  <c r="G77" i="71"/>
  <c r="V38" i="31"/>
  <c r="T36" i="4"/>
  <c r="H77" i="71"/>
  <c r="T33" i="34"/>
  <c r="T35" i="34" s="1"/>
  <c r="T44" i="45" l="1"/>
  <c r="H90" i="71"/>
  <c r="T30" i="45"/>
  <c r="G90" i="71"/>
  <c r="S30" i="45"/>
  <c r="S44" i="45"/>
  <c r="V39" i="31"/>
  <c r="J149" i="71"/>
  <c r="U23" i="4"/>
  <c r="I68" i="71"/>
  <c r="T20" i="34"/>
  <c r="J150" i="71" l="1"/>
  <c r="W38" i="31"/>
  <c r="V14" i="4"/>
  <c r="U36" i="4"/>
  <c r="I77" i="71"/>
  <c r="U33" i="34"/>
  <c r="U35" i="34" s="1"/>
  <c r="U44" i="45" l="1"/>
  <c r="I90" i="71"/>
  <c r="U30" i="45"/>
  <c r="V23" i="4"/>
  <c r="J68" i="71"/>
  <c r="W39" i="31"/>
  <c r="K149" i="71"/>
  <c r="U20" i="34"/>
  <c r="K150" i="71" l="1"/>
  <c r="W14" i="4"/>
  <c r="X38" i="31"/>
  <c r="V36" i="4"/>
  <c r="J77" i="71"/>
  <c r="V33" i="34"/>
  <c r="V35" i="34" s="1"/>
  <c r="W23" i="4" l="1"/>
  <c r="K68" i="71"/>
  <c r="V44" i="45"/>
  <c r="J90" i="71"/>
  <c r="V30" i="45"/>
  <c r="X39" i="31"/>
  <c r="L149" i="71"/>
  <c r="V20" i="34"/>
  <c r="L150" i="71" l="1"/>
  <c r="Y38" i="31"/>
  <c r="X14" i="4"/>
  <c r="W36" i="4"/>
  <c r="K77" i="71"/>
  <c r="W33" i="34"/>
  <c r="W35" i="34" s="1"/>
  <c r="W44" i="45" l="1"/>
  <c r="K90" i="71"/>
  <c r="W30" i="45"/>
  <c r="Y39" i="31"/>
  <c r="M149" i="71"/>
  <c r="X23" i="4"/>
  <c r="L68" i="71"/>
  <c r="W20" i="34"/>
  <c r="X36" i="4" l="1"/>
  <c r="L77" i="71"/>
  <c r="M150" i="71"/>
  <c r="Y14" i="4"/>
  <c r="Z38" i="31"/>
  <c r="X33" i="34"/>
  <c r="X35" i="34" s="1"/>
  <c r="Y23" i="4" l="1"/>
  <c r="M68" i="71"/>
  <c r="Z39" i="31"/>
  <c r="N149" i="71"/>
  <c r="X44" i="45"/>
  <c r="L90" i="71"/>
  <c r="X30" i="45"/>
  <c r="X20" i="34"/>
  <c r="N150" i="71" l="1"/>
  <c r="AA38" i="31"/>
  <c r="Z14" i="4"/>
  <c r="Y36" i="4"/>
  <c r="M77" i="71"/>
  <c r="Y33" i="34"/>
  <c r="Y35" i="34" s="1"/>
  <c r="Y44" i="45" l="1"/>
  <c r="M90" i="71"/>
  <c r="Y30" i="45"/>
  <c r="AA39" i="31"/>
  <c r="O149" i="71"/>
  <c r="Z23" i="4"/>
  <c r="N68" i="71"/>
  <c r="Y20" i="34"/>
  <c r="Z36" i="4" l="1"/>
  <c r="N77" i="71"/>
  <c r="O150" i="71"/>
  <c r="AA14" i="4"/>
  <c r="AB38" i="31"/>
  <c r="Z33" i="34"/>
  <c r="Z35" i="34" s="1"/>
  <c r="AA23" i="4" l="1"/>
  <c r="O68" i="71"/>
  <c r="AB39" i="31"/>
  <c r="P149" i="71"/>
  <c r="Z44" i="45"/>
  <c r="N90" i="71"/>
  <c r="Z30" i="45"/>
  <c r="Z20" i="34"/>
  <c r="P150" i="71" l="1"/>
  <c r="AC38" i="31"/>
  <c r="AC39" i="31" s="1"/>
  <c r="AB14" i="4"/>
  <c r="AA36" i="4"/>
  <c r="O77" i="71"/>
  <c r="AA33" i="34"/>
  <c r="AA35" i="34" s="1"/>
  <c r="AA44" i="45" l="1"/>
  <c r="O90" i="71"/>
  <c r="AA30" i="45"/>
  <c r="AD38" i="31"/>
  <c r="AD39" i="31" s="1"/>
  <c r="AD14" i="4" s="1"/>
  <c r="AD23" i="4" s="1"/>
  <c r="AD36" i="4" s="1"/>
  <c r="AC14" i="4"/>
  <c r="AC23" i="4" s="1"/>
  <c r="AC36" i="4" s="1"/>
  <c r="AB23" i="4"/>
  <c r="P68" i="71"/>
  <c r="AA20" i="34"/>
  <c r="AB36" i="4" l="1"/>
  <c r="P77" i="71"/>
  <c r="AC44" i="45"/>
  <c r="AC30" i="45"/>
  <c r="AD44" i="45"/>
  <c r="AD30" i="45"/>
  <c r="AB33" i="34"/>
  <c r="AB35" i="34" s="1"/>
  <c r="AB44" i="45" l="1"/>
  <c r="P90" i="71"/>
  <c r="AB30" i="45"/>
  <c r="AB20" i="34"/>
  <c r="AC33" i="34" l="1"/>
  <c r="AC35" i="34" s="1"/>
  <c r="AC20" i="34" l="1"/>
  <c r="AD33" i="34" l="1"/>
  <c r="AD35" i="34" s="1"/>
  <c r="AD20" i="34" l="1"/>
  <c r="Q19" i="34" l="1"/>
  <c r="Q24" i="45"/>
  <c r="G37" i="71" s="1"/>
  <c r="R24" i="45"/>
  <c r="H37" i="71" s="1"/>
  <c r="O40" i="45"/>
  <c r="R19" i="34"/>
  <c r="S52" i="52" l="1"/>
  <c r="S24" i="45"/>
  <c r="I37" i="71" s="1"/>
  <c r="S40" i="34"/>
  <c r="S41" i="34" s="1"/>
  <c r="S19" i="34"/>
  <c r="S266" i="3"/>
  <c r="S54" i="52" l="1"/>
  <c r="S59" i="52" s="1"/>
  <c r="G16" i="71"/>
  <c r="S21" i="34"/>
  <c r="S63" i="4" s="1"/>
  <c r="S37" i="34"/>
  <c r="S64" i="4" l="1"/>
  <c r="G118" i="71" s="1"/>
  <c r="G117" i="71"/>
  <c r="S65" i="4"/>
  <c r="S47" i="45"/>
  <c r="S28" i="45"/>
  <c r="S29" i="45"/>
  <c r="G20" i="71"/>
  <c r="G17" i="71"/>
  <c r="S43" i="34"/>
  <c r="S14" i="45"/>
  <c r="T18" i="34"/>
  <c r="S66" i="4" l="1"/>
  <c r="G119" i="71"/>
  <c r="S25" i="45"/>
  <c r="I38" i="71"/>
  <c r="T52" i="52" l="1"/>
  <c r="T266" i="3"/>
  <c r="T24" i="45"/>
  <c r="J37" i="71" s="1"/>
  <c r="T19" i="34"/>
  <c r="T40" i="34"/>
  <c r="T41" i="34" s="1"/>
  <c r="T54" i="52" l="1"/>
  <c r="T59" i="52" s="1"/>
  <c r="H16" i="71"/>
  <c r="T14" i="45"/>
  <c r="T43" i="34"/>
  <c r="T37" i="34"/>
  <c r="T21" i="34"/>
  <c r="T63" i="4" s="1"/>
  <c r="T64" i="4" l="1"/>
  <c r="H118" i="71" s="1"/>
  <c r="H117" i="71"/>
  <c r="T65" i="4"/>
  <c r="T47" i="45"/>
  <c r="T28" i="45"/>
  <c r="T29" i="45"/>
  <c r="H20" i="71"/>
  <c r="H17" i="71"/>
  <c r="U18" i="34"/>
  <c r="T66" i="4" l="1"/>
  <c r="H119" i="71"/>
  <c r="T25" i="45"/>
  <c r="J38" i="71"/>
  <c r="U52" i="52" l="1"/>
  <c r="U266" i="3"/>
  <c r="U24" i="45"/>
  <c r="K37" i="71" s="1"/>
  <c r="U19" i="34"/>
  <c r="U40" i="34"/>
  <c r="U41" i="34" s="1"/>
  <c r="U54" i="52" l="1"/>
  <c r="U59" i="52" s="1"/>
  <c r="I16" i="71"/>
  <c r="U14" i="45"/>
  <c r="U21" i="34"/>
  <c r="U63" i="4" s="1"/>
  <c r="U37" i="34"/>
  <c r="U64" i="4" l="1"/>
  <c r="I118" i="71" s="1"/>
  <c r="I117" i="71"/>
  <c r="I20" i="71"/>
  <c r="I17" i="71"/>
  <c r="U43" i="34"/>
  <c r="V18" i="34"/>
  <c r="U29" i="45" l="1"/>
  <c r="U28" i="45"/>
  <c r="U65" i="4"/>
  <c r="U66" i="4" s="1"/>
  <c r="U47" i="45"/>
  <c r="U25" i="45"/>
  <c r="K38" i="71"/>
  <c r="I119" i="71" l="1"/>
  <c r="V19" i="34"/>
  <c r="V52" i="52" l="1"/>
  <c r="V24" i="45"/>
  <c r="L37" i="71" s="1"/>
  <c r="V40" i="34"/>
  <c r="V41" i="34" s="1"/>
  <c r="V266" i="3"/>
  <c r="V54" i="52" l="1"/>
  <c r="V59" i="52" s="1"/>
  <c r="J16" i="71"/>
  <c r="V14" i="45"/>
  <c r="V43" i="34"/>
  <c r="V21" i="34"/>
  <c r="V63" i="4" s="1"/>
  <c r="V37" i="34"/>
  <c r="V64" i="4" l="1"/>
  <c r="J118" i="71" s="1"/>
  <c r="J117" i="71"/>
  <c r="J20" i="71"/>
  <c r="J17" i="71"/>
  <c r="W18" i="34"/>
  <c r="V47" i="45" l="1"/>
  <c r="V65" i="4"/>
  <c r="V29" i="45"/>
  <c r="V28" i="45"/>
  <c r="L38" i="71" s="1"/>
  <c r="V66" i="4"/>
  <c r="J119" i="71"/>
  <c r="V25" i="45"/>
  <c r="W52" i="52" l="1"/>
  <c r="W24" i="45"/>
  <c r="M37" i="71" s="1"/>
  <c r="W40" i="34"/>
  <c r="W41" i="34" s="1"/>
  <c r="W266" i="3"/>
  <c r="W19" i="34"/>
  <c r="K16" i="71" l="1"/>
  <c r="W14" i="45"/>
  <c r="W43" i="34"/>
  <c r="W37" i="34" l="1"/>
  <c r="W21" i="34"/>
  <c r="W63" i="4" s="1"/>
  <c r="W64" i="4" l="1"/>
  <c r="K118" i="71" s="1"/>
  <c r="K117" i="71"/>
  <c r="W28" i="45"/>
  <c r="M38" i="71" s="1"/>
  <c r="W29" i="45"/>
  <c r="W65" i="4"/>
  <c r="W47" i="45"/>
  <c r="X18" i="34"/>
  <c r="W66" i="4" l="1"/>
  <c r="K119" i="71"/>
  <c r="H32" i="53"/>
  <c r="H38" i="53" s="1"/>
  <c r="W25" i="45"/>
  <c r="Q16" i="52" l="1"/>
  <c r="H40" i="53"/>
  <c r="Q17" i="52" l="1"/>
  <c r="Q25" i="52" s="1"/>
  <c r="D48" i="53"/>
  <c r="H48" i="53" s="1"/>
  <c r="H50" i="53" s="1"/>
  <c r="X24" i="45"/>
  <c r="N37" i="71" s="1"/>
  <c r="X40" i="34"/>
  <c r="X41" i="34" s="1"/>
  <c r="X19" i="34"/>
  <c r="X266" i="3"/>
  <c r="G25" i="71" l="1"/>
  <c r="X61" i="52"/>
  <c r="L22" i="71" s="1"/>
  <c r="Y61" i="52"/>
  <c r="M22" i="71" s="1"/>
  <c r="Z61" i="52"/>
  <c r="N22" i="71" s="1"/>
  <c r="AA61" i="52"/>
  <c r="O22" i="71" s="1"/>
  <c r="AB61" i="52"/>
  <c r="AC61" i="52"/>
  <c r="AD61" i="52"/>
  <c r="X43" i="34"/>
  <c r="AB70" i="52" l="1"/>
  <c r="P22" i="71"/>
  <c r="Q22" i="71" s="1"/>
  <c r="Q33" i="52"/>
  <c r="AB68" i="52" s="1"/>
  <c r="U61" i="52"/>
  <c r="I22" i="71" s="1"/>
  <c r="W61" i="52"/>
  <c r="K22" i="71" s="1"/>
  <c r="S61" i="52"/>
  <c r="T61" i="52"/>
  <c r="H22" i="71" s="1"/>
  <c r="V61" i="52"/>
  <c r="J22" i="71" s="1"/>
  <c r="X14" i="45"/>
  <c r="X37" i="34"/>
  <c r="X21" i="34"/>
  <c r="X63" i="4" s="1"/>
  <c r="X64" i="4" l="1"/>
  <c r="L118" i="71" s="1"/>
  <c r="L117" i="71"/>
  <c r="U62" i="52"/>
  <c r="U94" i="52" s="1"/>
  <c r="V62" i="52"/>
  <c r="V94" i="52" s="1"/>
  <c r="T62" i="52"/>
  <c r="T94" i="52" s="1"/>
  <c r="S62" i="52"/>
  <c r="G22" i="71"/>
  <c r="Y18" i="34"/>
  <c r="X47" i="45" l="1"/>
  <c r="X65" i="4"/>
  <c r="X66" i="4" s="1"/>
  <c r="X28" i="45"/>
  <c r="N38" i="71" s="1"/>
  <c r="X29" i="45"/>
  <c r="S94" i="52"/>
  <c r="J23" i="71"/>
  <c r="H23" i="71"/>
  <c r="I23" i="71"/>
  <c r="G23" i="71"/>
  <c r="L119" i="71" l="1"/>
  <c r="T96" i="52"/>
  <c r="V96" i="52"/>
  <c r="U96" i="52"/>
  <c r="S96" i="52"/>
  <c r="X25" i="45"/>
  <c r="Y24" i="45" l="1"/>
  <c r="O37" i="71" s="1"/>
  <c r="Y40" i="34"/>
  <c r="Y41" i="34" s="1"/>
  <c r="Y266" i="3"/>
  <c r="Y19" i="34"/>
  <c r="Y14" i="45" l="1"/>
  <c r="Y43" i="34"/>
  <c r="Y21" i="34"/>
  <c r="Y63" i="4" s="1"/>
  <c r="Y37" i="34"/>
  <c r="Y64" i="4" l="1"/>
  <c r="M118" i="71" s="1"/>
  <c r="M117" i="71"/>
  <c r="Z18" i="34"/>
  <c r="Y65" i="4" l="1"/>
  <c r="Y47" i="45"/>
  <c r="Y28" i="45"/>
  <c r="O38" i="71" s="1"/>
  <c r="Y29" i="45"/>
  <c r="Y66" i="4"/>
  <c r="M119" i="71"/>
  <c r="Y25" i="45"/>
  <c r="Z24" i="45" l="1"/>
  <c r="P37" i="71" s="1"/>
  <c r="Z19" i="34"/>
  <c r="Z266" i="3"/>
  <c r="Z40" i="34"/>
  <c r="Z41" i="34" s="1"/>
  <c r="Z14" i="45" l="1"/>
  <c r="Z43" i="34"/>
  <c r="Z37" i="34"/>
  <c r="Z21" i="34"/>
  <c r="Z63" i="4" s="1"/>
  <c r="Z64" i="4" l="1"/>
  <c r="N118" i="71" s="1"/>
  <c r="N117" i="71"/>
  <c r="Z28" i="45"/>
  <c r="P38" i="71" s="1"/>
  <c r="Z29" i="45"/>
  <c r="Z65" i="4"/>
  <c r="Z47" i="45"/>
  <c r="AA18" i="34"/>
  <c r="Z66" i="4" l="1"/>
  <c r="N119" i="71"/>
  <c r="Z25" i="45"/>
  <c r="AA24" i="45" l="1"/>
  <c r="Q37" i="71" s="1"/>
  <c r="AA266" i="3"/>
  <c r="AA40" i="34"/>
  <c r="AA41" i="34" s="1"/>
  <c r="AA19" i="34"/>
  <c r="AA14" i="45" l="1"/>
  <c r="AA43" i="34" l="1"/>
  <c r="AA37" i="34"/>
  <c r="AA21" i="34"/>
  <c r="AA63" i="4" s="1"/>
  <c r="AA64" i="4" l="1"/>
  <c r="O118" i="71" s="1"/>
  <c r="O117" i="71"/>
  <c r="AA28" i="45"/>
  <c r="Q38" i="71" s="1"/>
  <c r="AA29" i="45"/>
  <c r="AA65" i="4"/>
  <c r="AA47" i="45"/>
  <c r="AB18" i="34"/>
  <c r="AA66" i="4" l="1"/>
  <c r="O119" i="71"/>
  <c r="AA25" i="45"/>
  <c r="AB24" i="45" l="1"/>
  <c r="R37" i="71" s="1"/>
  <c r="AB40" i="34"/>
  <c r="AB41" i="34" s="1"/>
  <c r="AB266" i="3"/>
  <c r="AB19" i="34"/>
  <c r="AB14" i="45" l="1"/>
  <c r="AB43" i="34"/>
  <c r="AB37" i="34" l="1"/>
  <c r="AB21" i="34"/>
  <c r="AB63" i="4" s="1"/>
  <c r="AB64" i="4" l="1"/>
  <c r="P118" i="71" s="1"/>
  <c r="P117" i="71"/>
  <c r="AB28" i="45"/>
  <c r="R38" i="71" s="1"/>
  <c r="AB29" i="45"/>
  <c r="AB65" i="4"/>
  <c r="AB47" i="45"/>
  <c r="AC18" i="34"/>
  <c r="AB66" i="4" l="1"/>
  <c r="P119" i="71"/>
  <c r="AB25" i="45"/>
  <c r="AC24" i="45" l="1"/>
  <c r="AC19" i="34"/>
  <c r="AC266" i="3"/>
  <c r="AC40" i="34"/>
  <c r="AC41" i="34" s="1"/>
  <c r="AC14" i="45" l="1"/>
  <c r="AC43" i="34"/>
  <c r="AC37" i="34" l="1"/>
  <c r="AC21" i="34"/>
  <c r="AC63" i="4" s="1"/>
  <c r="AC64" i="4" s="1"/>
  <c r="AC28" i="45" l="1"/>
  <c r="AC29" i="45"/>
  <c r="AC65" i="4"/>
  <c r="AC66" i="4" s="1"/>
  <c r="AC47" i="45"/>
  <c r="AD18" i="34"/>
  <c r="AC25" i="45" l="1"/>
  <c r="AD24" i="45" l="1"/>
  <c r="AD40" i="34"/>
  <c r="AD41" i="34" s="1"/>
  <c r="AD266" i="3"/>
  <c r="AD19" i="34"/>
  <c r="AD14" i="45" l="1"/>
  <c r="AD43" i="34"/>
  <c r="AD37" i="34" l="1"/>
  <c r="AD21" i="34"/>
  <c r="AD63" i="4" s="1"/>
  <c r="AD64" i="4" s="1"/>
  <c r="AD28" i="45" l="1"/>
  <c r="AD29" i="45"/>
  <c r="AD65" i="4"/>
  <c r="AD66" i="4" s="1"/>
  <c r="AD47" i="45"/>
  <c r="AD25" i="45"/>
  <c r="W54" i="52" l="1"/>
  <c r="W59" i="52" s="1"/>
  <c r="AC54" i="52"/>
  <c r="AC59" i="52" s="1"/>
  <c r="AC62" i="52" s="1"/>
  <c r="AD42" i="52"/>
  <c r="AD41" i="52" s="1"/>
  <c r="AD54" i="52" s="1"/>
  <c r="AD59" i="52" s="1"/>
  <c r="AD62" i="52" s="1"/>
  <c r="AB54" i="52"/>
  <c r="P17" i="71" s="1"/>
  <c r="X54" i="52"/>
  <c r="L17" i="71" s="1"/>
  <c r="K6" i="71"/>
  <c r="Y54" i="52"/>
  <c r="Z54" i="52"/>
  <c r="N17" i="71" s="1"/>
  <c r="AA54" i="52"/>
  <c r="O17" i="71" s="1"/>
  <c r="Y59" i="52" l="1"/>
  <c r="M17" i="71"/>
  <c r="Z59" i="52"/>
  <c r="AA59" i="52"/>
  <c r="X59" i="52"/>
  <c r="AB59" i="52"/>
  <c r="W62" i="52"/>
  <c r="K20" i="71"/>
  <c r="K17" i="71"/>
  <c r="AB62" i="52" l="1"/>
  <c r="AB65" i="52"/>
  <c r="AB67" i="52" s="1"/>
  <c r="AB69" i="52" s="1"/>
  <c r="AB71" i="52" s="1"/>
  <c r="P20" i="71"/>
  <c r="X62" i="52"/>
  <c r="L20" i="71"/>
  <c r="AA62" i="52"/>
  <c r="O20" i="71"/>
  <c r="N20" i="71"/>
  <c r="Z62" i="52"/>
  <c r="Y62" i="52"/>
  <c r="M20" i="71"/>
  <c r="Q20" i="71"/>
  <c r="W94" i="52"/>
  <c r="W96" i="52" s="1"/>
  <c r="K23" i="71"/>
  <c r="X94" i="52" l="1"/>
  <c r="X96" i="52" s="1"/>
  <c r="L23" i="71"/>
  <c r="Y94" i="52"/>
  <c r="Y96" i="52" s="1"/>
  <c r="M23" i="71"/>
  <c r="R75" i="52"/>
  <c r="Q23" i="71"/>
  <c r="AA94" i="52"/>
  <c r="AA96" i="52" s="1"/>
  <c r="O23" i="71"/>
  <c r="R74" i="52"/>
  <c r="Z94" i="52"/>
  <c r="Z96" i="52" s="1"/>
  <c r="N23" i="71"/>
  <c r="AB94" i="52"/>
  <c r="AB96" i="52" s="1"/>
  <c r="P23" i="71"/>
  <c r="R78" i="52" l="1"/>
  <c r="R88" i="52" s="1"/>
  <c r="J29" i="69"/>
  <c r="N12" i="12"/>
  <c r="R76" i="52"/>
  <c r="G27" i="71" l="1"/>
  <c r="R90" i="52"/>
  <c r="G30" i="71"/>
  <c r="K29" i="69"/>
  <c r="M29" i="69" l="1"/>
  <c r="S29" i="69"/>
  <c r="L29" i="69"/>
  <c r="O29" i="69"/>
  <c r="X29" i="69"/>
  <c r="R93" i="52"/>
  <c r="R96" i="52" s="1"/>
  <c r="M97" i="52" s="1"/>
  <c r="N13" i="12"/>
  <c r="P29" i="69" l="1"/>
  <c r="T29" i="69"/>
  <c r="W29" i="69"/>
  <c r="Y29" i="69"/>
  <c r="Q29" i="69"/>
  <c r="U29" i="69"/>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<sst xmlns="http://schemas.openxmlformats.org/spreadsheetml/2006/main" count="3447" uniqueCount="1229">
  <si>
    <t>SOCPA</t>
  </si>
  <si>
    <t>Actual</t>
  </si>
  <si>
    <t>Forecast</t>
  </si>
  <si>
    <t>Description</t>
  </si>
  <si>
    <t>Type</t>
  </si>
  <si>
    <t>Notes</t>
  </si>
  <si>
    <t>Units</t>
  </si>
  <si>
    <t>Range</t>
  </si>
  <si>
    <t xml:space="preserve"> </t>
  </si>
  <si>
    <t>Amounts in Saudi Riyals - Thousands</t>
  </si>
  <si>
    <t>Revenue</t>
  </si>
  <si>
    <t>IS_Revenue</t>
  </si>
  <si>
    <t>EBITDA</t>
  </si>
  <si>
    <t>IS_EBITDA</t>
  </si>
  <si>
    <t>IS_Net_Income</t>
  </si>
  <si>
    <t>End of Sheet</t>
  </si>
  <si>
    <t>Support_Date</t>
  </si>
  <si>
    <t>General Inputs</t>
  </si>
  <si>
    <t>Days</t>
  </si>
  <si>
    <t>Months/Year</t>
  </si>
  <si>
    <t>Months</t>
  </si>
  <si>
    <t>Balance Sheet</t>
  </si>
  <si>
    <t>Current Assets</t>
  </si>
  <si>
    <t>BS_Cash</t>
  </si>
  <si>
    <t>Non-Current Assets</t>
  </si>
  <si>
    <t>BS_PPE</t>
  </si>
  <si>
    <t>Intangible Assets</t>
  </si>
  <si>
    <t>Current Liabilities</t>
  </si>
  <si>
    <t>BS_Payables</t>
  </si>
  <si>
    <t>Cash Flow Statement</t>
  </si>
  <si>
    <t>Table of Contents</t>
  </si>
  <si>
    <t>Sheet Name</t>
  </si>
  <si>
    <t>Sheet Type</t>
  </si>
  <si>
    <t>Input</t>
  </si>
  <si>
    <t>Actual Financial Statements</t>
  </si>
  <si>
    <t>Calculation</t>
  </si>
  <si>
    <t>Projected Income Statement</t>
  </si>
  <si>
    <t>Output</t>
  </si>
  <si>
    <t>Projected Balance Sheet</t>
  </si>
  <si>
    <t>Projected Cashflow</t>
  </si>
  <si>
    <t>Net Income</t>
  </si>
  <si>
    <t>Act_IS_Revenue</t>
  </si>
  <si>
    <t>Act_IS_EBITDA</t>
  </si>
  <si>
    <t>Act_IS_Net_Income</t>
  </si>
  <si>
    <t>Act_BS_Cash</t>
  </si>
  <si>
    <t>Act_BS_PPE</t>
  </si>
  <si>
    <t>Act_BS_Payables</t>
  </si>
  <si>
    <t>Key Ratios</t>
  </si>
  <si>
    <t>Profitability Ratios</t>
  </si>
  <si>
    <t>%</t>
  </si>
  <si>
    <t>EBITDA Margin</t>
  </si>
  <si>
    <t>Net Income Margin</t>
  </si>
  <si>
    <t>Times</t>
  </si>
  <si>
    <t>ROE</t>
  </si>
  <si>
    <t>Leverage Ratios</t>
  </si>
  <si>
    <t>Debt : Equity</t>
  </si>
  <si>
    <t>Debt : Assets</t>
  </si>
  <si>
    <t>Debt : EBITDA</t>
  </si>
  <si>
    <t>EBITDA : Debt Service</t>
  </si>
  <si>
    <t>Free Cash Flow : Debt Service</t>
  </si>
  <si>
    <t>Payable Days</t>
  </si>
  <si>
    <t>Income Statement</t>
  </si>
  <si>
    <t>Revenues</t>
  </si>
  <si>
    <t>Net Debt</t>
  </si>
  <si>
    <t>#</t>
  </si>
  <si>
    <t>Date</t>
  </si>
  <si>
    <t>SAIBOR</t>
  </si>
  <si>
    <t>Total</t>
  </si>
  <si>
    <t>Equity</t>
  </si>
  <si>
    <t xml:space="preserve"> Inputs</t>
  </si>
  <si>
    <t xml:space="preserve">Revenue </t>
  </si>
  <si>
    <t xml:space="preserve">Beginning Balance </t>
  </si>
  <si>
    <t xml:space="preserve">Issue of New Capital </t>
  </si>
  <si>
    <t xml:space="preserve">Share Capital Closing Balance </t>
  </si>
  <si>
    <t xml:space="preserve">Retained Earnings </t>
  </si>
  <si>
    <t xml:space="preserve">Profit of the year </t>
  </si>
  <si>
    <t xml:space="preserve">Dividends </t>
  </si>
  <si>
    <t xml:space="preserve">Retained Earnings Share Capital Closing Balance </t>
  </si>
  <si>
    <t xml:space="preserve">Capital </t>
  </si>
  <si>
    <t xml:space="preserve">Cash Available For Dividends </t>
  </si>
  <si>
    <t xml:space="preserve">Targeted Minimum Cash Balance </t>
  </si>
  <si>
    <t xml:space="preserve">Cash Available for Dividend </t>
  </si>
  <si>
    <t xml:space="preserve">Retained Earnings for Dividend Calculations </t>
  </si>
  <si>
    <t xml:space="preserve">Proposed Dividends </t>
  </si>
  <si>
    <t xml:space="preserve">Dividends Paid </t>
  </si>
  <si>
    <t>Equity_Share_Capital_Closing_Bal</t>
  </si>
  <si>
    <t>Equity_Retained_Earnings_Closing_Bal</t>
  </si>
  <si>
    <t>Equity_Dividends_Paid</t>
  </si>
  <si>
    <t xml:space="preserve">Equity </t>
  </si>
  <si>
    <t xml:space="preserve">Financing </t>
  </si>
  <si>
    <t>Non-current Assets</t>
  </si>
  <si>
    <t>Opening Balance</t>
  </si>
  <si>
    <t>Additions</t>
  </si>
  <si>
    <t>Property Plant &amp; Equipment</t>
  </si>
  <si>
    <t xml:space="preserve">Opening Balance </t>
  </si>
  <si>
    <t>Closing Balance</t>
  </si>
  <si>
    <t>PPE - Cost</t>
  </si>
  <si>
    <t>Asset_Liability_PPE_Capex</t>
  </si>
  <si>
    <t>Disposals/Trasnfers during the year</t>
  </si>
  <si>
    <t>Depreciation Charge</t>
  </si>
  <si>
    <t>Depreciation Rate</t>
  </si>
  <si>
    <t>Accumulated Depreciation</t>
  </si>
  <si>
    <t>Charge for the year</t>
  </si>
  <si>
    <t>Asset_Liability_PPE_Depreciation_Charge</t>
  </si>
  <si>
    <t>Disposals</t>
  </si>
  <si>
    <t>Net Book Value</t>
  </si>
  <si>
    <t>Asset_Liability_PPE_Closing_Bal</t>
  </si>
  <si>
    <t>Intangible Assets - Cost</t>
  </si>
  <si>
    <t>Asset_Liability_IA_Capex</t>
  </si>
  <si>
    <t>Asset_Liability_IA_Amortization_Charge</t>
  </si>
  <si>
    <t>Asset_Liability_IA_Closing_Bal</t>
  </si>
  <si>
    <t>PPE</t>
  </si>
  <si>
    <t>Amortization Charge</t>
  </si>
  <si>
    <t>Amortization Rate</t>
  </si>
  <si>
    <t>Investment in Associates</t>
  </si>
  <si>
    <t>Asset_Liability_Investments</t>
  </si>
  <si>
    <t>Change</t>
  </si>
  <si>
    <t>% of Revenue</t>
  </si>
  <si>
    <t>Change in Inventory</t>
  </si>
  <si>
    <t>Receivables Days</t>
  </si>
  <si>
    <t>Inputs_Receivables_Days</t>
  </si>
  <si>
    <t xml:space="preserve">Cost of Sales </t>
  </si>
  <si>
    <t>Change in Payable</t>
  </si>
  <si>
    <t xml:space="preserve">Change in Prepayments </t>
  </si>
  <si>
    <t xml:space="preserve">Asset_Liability_Change_In_Prepayments </t>
  </si>
  <si>
    <t>Asset_Liability_Payables</t>
  </si>
  <si>
    <t>Asset_Liability_Change_In_Payables</t>
  </si>
  <si>
    <t>End of Service Provision Growth Rate</t>
  </si>
  <si>
    <t>End of Service Payment Growth Rate</t>
  </si>
  <si>
    <t>Inputs_EOSB_Charge_Growth</t>
  </si>
  <si>
    <t>Inputs_EOSB_Paid_Growth</t>
  </si>
  <si>
    <t>Inputs</t>
  </si>
  <si>
    <t xml:space="preserve">Highlights </t>
  </si>
  <si>
    <t xml:space="preserve">Assets Liability </t>
  </si>
  <si>
    <t>Total Revenues (Sccenario)</t>
  </si>
  <si>
    <t>Inflation</t>
  </si>
  <si>
    <t>VAT Rate</t>
  </si>
  <si>
    <t>Inputs_Basecase_Inflation</t>
  </si>
  <si>
    <t>Inputs_Basecase_VAT_Rate</t>
  </si>
  <si>
    <t>Costs</t>
  </si>
  <si>
    <t>Asset Liabilities</t>
  </si>
  <si>
    <t>Current Assets &amp; Liabilities</t>
  </si>
  <si>
    <t>Inputs_Basecase_Capex</t>
  </si>
  <si>
    <t>Non-Current Portion</t>
  </si>
  <si>
    <t>Current Portion</t>
  </si>
  <si>
    <t>Loans</t>
  </si>
  <si>
    <t>Principal Repayment</t>
  </si>
  <si>
    <t>Finance Costs On Loan Capital</t>
  </si>
  <si>
    <t>Total Fees Paid</t>
  </si>
  <si>
    <t>Commitment Fee</t>
  </si>
  <si>
    <t>Arrangement Fee</t>
  </si>
  <si>
    <t>Facility Fees</t>
  </si>
  <si>
    <t>Months Outstanding</t>
  </si>
  <si>
    <t>Due &gt; 1 Year</t>
  </si>
  <si>
    <t>Due &lt; 1 Year</t>
  </si>
  <si>
    <t>Comprising</t>
  </si>
  <si>
    <t>Facility Closing Balance</t>
  </si>
  <si>
    <t>Cash Sweep</t>
  </si>
  <si>
    <t>Closing Balance Before Cash Sweep</t>
  </si>
  <si>
    <t>Total Principal Repayments</t>
  </si>
  <si>
    <t>Principal Installment</t>
  </si>
  <si>
    <t>Repayments</t>
  </si>
  <si>
    <t>Sub Total</t>
  </si>
  <si>
    <t>Drawdown</t>
  </si>
  <si>
    <t>Facility Opening Balance</t>
  </si>
  <si>
    <t>Undrawn Amount</t>
  </si>
  <si>
    <t>Cumulative Drawdown</t>
  </si>
  <si>
    <t>Max Cumulative Drawdown</t>
  </si>
  <si>
    <t>Effective Monthly Commitment Fee</t>
  </si>
  <si>
    <t>Effective Monthly Interest Rate</t>
  </si>
  <si>
    <t>Annual Interest Rate</t>
  </si>
  <si>
    <t>Margin</t>
  </si>
  <si>
    <t>Interest Rate</t>
  </si>
  <si>
    <t>Facility Limit</t>
  </si>
  <si>
    <t>Finance_TL5_Finance_Charges</t>
  </si>
  <si>
    <t>Finance_TL5_Commitment_Fee</t>
  </si>
  <si>
    <t>Finance_TL5_Arrangement_Fee</t>
  </si>
  <si>
    <t>Finance_TL5_Non_Current_Portion</t>
  </si>
  <si>
    <t>Finance_TL5_Current_Portion</t>
  </si>
  <si>
    <t>Finance_TL5_Closing_Bal</t>
  </si>
  <si>
    <t>Finance_TL5_Cash_Sweep</t>
  </si>
  <si>
    <t>Finance_TL5_Repayment</t>
  </si>
  <si>
    <t>Finance_TL5_Drawdown</t>
  </si>
  <si>
    <t>Finance_TL5_Total</t>
  </si>
  <si>
    <t>Finance_TL4_Finance_Charges</t>
  </si>
  <si>
    <t>Finance_TL4_Commitment_Fee</t>
  </si>
  <si>
    <t>Finance_TL4_Arrangement_Fee</t>
  </si>
  <si>
    <t>Finance_TL4_Non_Current_Portion</t>
  </si>
  <si>
    <t>Finance_TL4_Current_Portion</t>
  </si>
  <si>
    <t>Finance_TL4_Closing_Bal</t>
  </si>
  <si>
    <t>Finance_TL4_Cash_Sweep</t>
  </si>
  <si>
    <t>Finance_TL4_Repayment</t>
  </si>
  <si>
    <t>Finance_TL4_Drawdown</t>
  </si>
  <si>
    <t>Finance_TL4_Total</t>
  </si>
  <si>
    <t>Finance_TL3_Finance_Charges</t>
  </si>
  <si>
    <t>Finance_TL3_Commitment_Fee</t>
  </si>
  <si>
    <t>Finance_TL3_Arrangement_Fee</t>
  </si>
  <si>
    <t>Finance_TL3_Non_Current_Portion</t>
  </si>
  <si>
    <t>Finance_TL3_Current_Portion</t>
  </si>
  <si>
    <t>Finance_TL3_Closing_Bal</t>
  </si>
  <si>
    <t>Finance_TL3_Cash_Sweep</t>
  </si>
  <si>
    <t>Finance_TL3_Repayment</t>
  </si>
  <si>
    <t>Finance_TL3_Drawdown</t>
  </si>
  <si>
    <t>Finance_TL3_Total</t>
  </si>
  <si>
    <t>Finance_TL2_Finance_Charges</t>
  </si>
  <si>
    <t>Finance_TL2_Commitment_Fee</t>
  </si>
  <si>
    <t>Finance_TL2_Arrangement_Fee</t>
  </si>
  <si>
    <t>Finance_TL2_Non_Current_Portion</t>
  </si>
  <si>
    <t>Finance_TL2_Current_Portion</t>
  </si>
  <si>
    <t>Finance_TL2_Closing_Bal</t>
  </si>
  <si>
    <t>Finance_TL2_Cash_Sweep</t>
  </si>
  <si>
    <t>Finance_TL2_Repayment</t>
  </si>
  <si>
    <t>Finance_TL2_Drawdown</t>
  </si>
  <si>
    <t>Finance_TL2_Total</t>
  </si>
  <si>
    <t>Finance_TL1_Finance_Charges</t>
  </si>
  <si>
    <t>Finance_TL1_Commitment_Fee</t>
  </si>
  <si>
    <t>Finance_TL1_Arrangement_Fee</t>
  </si>
  <si>
    <t>Finance_TL1_Non_Current_Portion</t>
  </si>
  <si>
    <t>Finance_TL1_Current_Portion</t>
  </si>
  <si>
    <t>Finance_TL1_Closing_Bal</t>
  </si>
  <si>
    <t>Finance_TL1_Cash_Sweep</t>
  </si>
  <si>
    <t>Finance_TL1_Repayment</t>
  </si>
  <si>
    <t>Finance_TL1_Drawdown</t>
  </si>
  <si>
    <t>Finance_TL1_Total</t>
  </si>
  <si>
    <t>Repayment</t>
  </si>
  <si>
    <t>Finance_Loans_Non_Current_Portion</t>
  </si>
  <si>
    <t>Finance_Loans_Current_Portion</t>
  </si>
  <si>
    <t>Finance_Cash_Sweep_Payment</t>
  </si>
  <si>
    <t>Short Terms Loans</t>
  </si>
  <si>
    <t>Finance_Repayment</t>
  </si>
  <si>
    <t>Finance_Drawdown</t>
  </si>
  <si>
    <t>Finance_Commitment_Fee</t>
  </si>
  <si>
    <t>Commitment Fees</t>
  </si>
  <si>
    <t>Finance_Arrangement_Fee</t>
  </si>
  <si>
    <t>Arrangement Fees</t>
  </si>
  <si>
    <t>Finance_Charges</t>
  </si>
  <si>
    <t>Finance Charges</t>
  </si>
  <si>
    <t>Financing Summary</t>
  </si>
  <si>
    <t>Non-Current Liabilities</t>
  </si>
  <si>
    <t>Asset Liability</t>
  </si>
  <si>
    <t>Statutory Charge</t>
  </si>
  <si>
    <t>Financing</t>
  </si>
  <si>
    <t>Financing Assumptions</t>
  </si>
  <si>
    <t>Availability Start Date</t>
  </si>
  <si>
    <t>Capitalization Date</t>
  </si>
  <si>
    <t>Drawdown Scenario</t>
  </si>
  <si>
    <t>Drawdown %</t>
  </si>
  <si>
    <t>Inputs_Basecase_TL1_Maximum_Facility</t>
  </si>
  <si>
    <t>Inputs_Basecase_TL1_Availability_Start_Date</t>
  </si>
  <si>
    <t>Inputs_Basecase_TL1_Cap_Date</t>
  </si>
  <si>
    <t>Inputs_Basecase_TL1_Arrangement_Fee</t>
  </si>
  <si>
    <t>Inputs_Basecase_TL1_Commitment_Fee</t>
  </si>
  <si>
    <t>Inputs_Basecase_TL1_Margin</t>
  </si>
  <si>
    <t>Inputs_Basecase_TL1_Drawdown</t>
  </si>
  <si>
    <t>Basecase Repayment</t>
  </si>
  <si>
    <t>Refinance Repayment</t>
  </si>
  <si>
    <t>Inputs_Basecase_TL1_Months_Oustanding</t>
  </si>
  <si>
    <t>Inputs_Months</t>
  </si>
  <si>
    <t>Inputs_Basecase_TL2_Availability_Start_Date</t>
  </si>
  <si>
    <t>Inputs_Basecase_TL2_Cap_Date</t>
  </si>
  <si>
    <t>Inputs_Basecase_TL2_Arrangement_Fee</t>
  </si>
  <si>
    <t>Inputs_Basecase_TL2_Commitment_Fee</t>
  </si>
  <si>
    <t>Inputs_Basecase_TL2_Margin</t>
  </si>
  <si>
    <t>Inputs_Basecase_TL2_Months_Oustanding</t>
  </si>
  <si>
    <t>Inputs_Basecase_TL2_Drawdown</t>
  </si>
  <si>
    <t>Inputs_Basecase_TL3_Maximum_Facility</t>
  </si>
  <si>
    <t>Inputs_Basecase_TL3_Availability_Start_Date</t>
  </si>
  <si>
    <t>Inputs_Basecase_TL3_Cap_Date</t>
  </si>
  <si>
    <t>Inputs_Basecase_TL3_Arrangement_Fee</t>
  </si>
  <si>
    <t>Inputs_Basecase_TL3_Commitment_Fee</t>
  </si>
  <si>
    <t>Inputs_Basecase_TL3_Margin</t>
  </si>
  <si>
    <t>Inputs_Basecase_TL3_Months_Oustanding</t>
  </si>
  <si>
    <t>Inputs_Basecase_TL2_Maximum_Facility</t>
  </si>
  <si>
    <t>Inputs_Basecase_TL3_Drawdown</t>
  </si>
  <si>
    <t>Inputs_Basecase_TL4_Maximum_Facility</t>
  </si>
  <si>
    <t>Inputs_Basecase_TL4_Availability_Start_Date</t>
  </si>
  <si>
    <t>Inputs_Basecase_TL4_Cap_Date</t>
  </si>
  <si>
    <t>Inputs_Basecase_TL4_Arrangement_Fee</t>
  </si>
  <si>
    <t>Inputs_Basecase_TL4_Commitment_Fee</t>
  </si>
  <si>
    <t>Inputs_Basecase_TL4_Margin</t>
  </si>
  <si>
    <t>Inputs_Basecase_TL4_Months_Oustanding</t>
  </si>
  <si>
    <t>Inputs_Basecase_TL4_Drawdown</t>
  </si>
  <si>
    <t>Inputs_Basecase_TL5_Maximum_Facility</t>
  </si>
  <si>
    <t>Inputs_Basecase_TL5_Availability_Start_Date</t>
  </si>
  <si>
    <t>Inputs_Basecase_TL5_Cap_Date</t>
  </si>
  <si>
    <t>Inputs_Basecase_TL5_Arrangement_Fee</t>
  </si>
  <si>
    <t>Inputs_Basecase_TL5_Commitment_Fee</t>
  </si>
  <si>
    <t>Inputs_Basecase_TL5_Margin</t>
  </si>
  <si>
    <t>Inputs_Basecase_TL5_Months_Oustanding</t>
  </si>
  <si>
    <t>Inputs_Basecase_TL5_Drawdown</t>
  </si>
  <si>
    <t>Interest on Cash Balance</t>
  </si>
  <si>
    <t>Minimum Required Cash for Cash Sweep</t>
  </si>
  <si>
    <t>Minimum Required Operating Cash Balance</t>
  </si>
  <si>
    <t>Inputs_Basecase_Cash_Bal_Interest</t>
  </si>
  <si>
    <t>Inputs_Basecase_Min_Cash_for_Sweep</t>
  </si>
  <si>
    <t>Inputs_Basecase_Op_Min_Cash</t>
  </si>
  <si>
    <t>Investments</t>
  </si>
  <si>
    <t>Account Receivable</t>
  </si>
  <si>
    <t>Inputs_Maximum_Reserve</t>
  </si>
  <si>
    <t>Inputs_Statutory_Charge</t>
  </si>
  <si>
    <t>Inputs_Basecase_TL1_Repayment_Principal</t>
  </si>
  <si>
    <t>Inputs_Basecase_TL2_Repayment_Principal</t>
  </si>
  <si>
    <t>Inputs_Basecase_TL3_Repayment_Principal</t>
  </si>
  <si>
    <t>Inputs_Basecase_TL4_Repayment_Principal</t>
  </si>
  <si>
    <t>Inputs_Basecase_TL5_Repayment_Principal</t>
  </si>
  <si>
    <t>Total Debt</t>
  </si>
  <si>
    <t>Finance_TL7_Total</t>
  </si>
  <si>
    <t>Finance_TL7_Drawdown</t>
  </si>
  <si>
    <t>Finance_TL7_Repayment</t>
  </si>
  <si>
    <t>Finance_TL7_Cash_Sweep</t>
  </si>
  <si>
    <t>Finance_TL7_Closing_Bal</t>
  </si>
  <si>
    <t>Finance_TL7_Current_Portion</t>
  </si>
  <si>
    <t>Finance_TL7_Non_Current_Portion</t>
  </si>
  <si>
    <t>Finance_TL7_Arrangement_Fee</t>
  </si>
  <si>
    <t>Finance_TL7_Commitment_Fee</t>
  </si>
  <si>
    <t>Finance_TL7_Finance_Charges</t>
  </si>
  <si>
    <t>Finance_TL8_Total</t>
  </si>
  <si>
    <t>Finance_TL8_Drawdown</t>
  </si>
  <si>
    <t>Finance_TL8_Repayment</t>
  </si>
  <si>
    <t>Finance_TL8_Cash_Sweep</t>
  </si>
  <si>
    <t>Finance_TL8_Closing_Bal</t>
  </si>
  <si>
    <t>Finance_TL8_Current_Portion</t>
  </si>
  <si>
    <t>Finance_TL8_Non_Current_Portion</t>
  </si>
  <si>
    <t>Finance_TL8_Arrangement_Fee</t>
  </si>
  <si>
    <t>Finance_TL8_Commitment_Fee</t>
  </si>
  <si>
    <t>Finance_TL8_Finance_Charges</t>
  </si>
  <si>
    <t>Inputs_TL6_Maximum_Facility</t>
  </si>
  <si>
    <t>Inputs_TL6_Availability_Start_Date</t>
  </si>
  <si>
    <t>Inputs_TL6_Cap_Date</t>
  </si>
  <si>
    <t>Inputs_TL6_Arrangement_Fee</t>
  </si>
  <si>
    <t>Inputs_TL6_Commitment_Fee</t>
  </si>
  <si>
    <t>Inputs_TL6_Margin</t>
  </si>
  <si>
    <t>Inputs_TL6_Months_Oustanding</t>
  </si>
  <si>
    <t>Inputs_TL6_Drawdown</t>
  </si>
  <si>
    <t>Inputs_TL6_Repayment</t>
  </si>
  <si>
    <t>Inputs_TL7_Maximum_Facility</t>
  </si>
  <si>
    <t>Inputs_TL7_Availability_Start_Date</t>
  </si>
  <si>
    <t>Inputs_TL7_Cap_Date</t>
  </si>
  <si>
    <t>Inputs_TL7_Arrangement_Fee</t>
  </si>
  <si>
    <t>Inputs_TL7_Commitment_Fee</t>
  </si>
  <si>
    <t>Inputs_TL7_Margin</t>
  </si>
  <si>
    <t>Inputs_TL7_Months_Oustanding</t>
  </si>
  <si>
    <t>Inputs_TL7_Drawdown</t>
  </si>
  <si>
    <t>Inputs_TL7_Repayment</t>
  </si>
  <si>
    <t>Inputs_TL8_Maximum_Facility</t>
  </si>
  <si>
    <t>Inputs_TL8_Availability_Start_Date</t>
  </si>
  <si>
    <t>Inputs_TL8_Cap_Date</t>
  </si>
  <si>
    <t>Inputs_TL8_Arrangement_Fee</t>
  </si>
  <si>
    <t>Inputs_TL8_Commitment_Fee</t>
  </si>
  <si>
    <t>Inputs_TL8_Margin</t>
  </si>
  <si>
    <t>Inputs_TL8_Months_Oustanding</t>
  </si>
  <si>
    <t>Inputs_TL8_Drawdown</t>
  </si>
  <si>
    <t>Inputs_TL8_Repayment</t>
  </si>
  <si>
    <t>Highligh Sheet</t>
  </si>
  <si>
    <t>Support</t>
  </si>
  <si>
    <t>Scenario Sheet</t>
  </si>
  <si>
    <t>Inputs_TL9_Maximum_Facility</t>
  </si>
  <si>
    <t>Inputs_TL9_Availability_Start_Date</t>
  </si>
  <si>
    <t>Inputs_TL9_Cap_Date</t>
  </si>
  <si>
    <t>Inputs_TL9_Arrangement_Fee</t>
  </si>
  <si>
    <t>Inputs_TL9_Commitment_Fee</t>
  </si>
  <si>
    <t>Inputs_TL9_Margin</t>
  </si>
  <si>
    <t>Inputs_TL9_Months_Oustanding</t>
  </si>
  <si>
    <t>Inputs_TL9_Drawdown</t>
  </si>
  <si>
    <t>Inputs_TL9_Repayment</t>
  </si>
  <si>
    <t>Inputs_TL10_Maximum_Facility</t>
  </si>
  <si>
    <t>Inputs_TL10_Availability_Start_Date</t>
  </si>
  <si>
    <t>Inputs_TL10_Cap_Date</t>
  </si>
  <si>
    <t>Inputs_TL10_Arrangement_Fee</t>
  </si>
  <si>
    <t>Inputs_TL10_Commitment_Fee</t>
  </si>
  <si>
    <t>Inputs_TL10_Margin</t>
  </si>
  <si>
    <t>Inputs_TL10_Months_Oustanding</t>
  </si>
  <si>
    <t>Inputs_TL10_Drawdown</t>
  </si>
  <si>
    <t>Inputs_TL10_Repayment</t>
  </si>
  <si>
    <t>Finance_TL9_Total</t>
  </si>
  <si>
    <t>Finance_TL9_Drawdown</t>
  </si>
  <si>
    <t>Finance_TL9_Repayment</t>
  </si>
  <si>
    <t>Finance_TL9_Cash_Sweep</t>
  </si>
  <si>
    <t>Finance_TL9_Closing_Bal</t>
  </si>
  <si>
    <t>Finance_TL9_Current_Portion</t>
  </si>
  <si>
    <t>Finance_TL9_Non_Current_Portion</t>
  </si>
  <si>
    <t>Finance_TL9_Arrangement_Fee</t>
  </si>
  <si>
    <t>Finance_TL9_Commitment_Fee</t>
  </si>
  <si>
    <t>Finance_TL9_Finance_Charges</t>
  </si>
  <si>
    <t>Finance_TL10_Total</t>
  </si>
  <si>
    <t>Finance_TL10_Drawdown</t>
  </si>
  <si>
    <t>Finance_TL10_Repayment</t>
  </si>
  <si>
    <t>Finance_TL10_Cash_Sweep</t>
  </si>
  <si>
    <t>Finance_TL10_Closing_Bal</t>
  </si>
  <si>
    <t>Finance_TL10_Current_Portion</t>
  </si>
  <si>
    <t>Finance_TL10_Non_Current_Portion</t>
  </si>
  <si>
    <t>Finance_TL10_Arrangement_Fee</t>
  </si>
  <si>
    <t>Finance_TL10_Commitment_Fee</t>
  </si>
  <si>
    <t>Finance_TL10_Finance_Charges</t>
  </si>
  <si>
    <t>Key Figures</t>
  </si>
  <si>
    <t>Principal Repayments</t>
  </si>
  <si>
    <t>Total Debt Service</t>
  </si>
  <si>
    <t>Graphs</t>
  </si>
  <si>
    <t>Currency Unit:</t>
  </si>
  <si>
    <t>Financial Model</t>
  </si>
  <si>
    <t>Scenarios Selected</t>
  </si>
  <si>
    <t xml:space="preserve">Scenarios </t>
  </si>
  <si>
    <t>Other Assumptions</t>
  </si>
  <si>
    <t>Max Cash Sweep of Cash Available for Sweep</t>
  </si>
  <si>
    <t>Inputs_Basecase_Max_Cash_Sweep</t>
  </si>
  <si>
    <t>Capital Leases Additions</t>
  </si>
  <si>
    <t>New Loan</t>
  </si>
  <si>
    <t>Inputs_TL11_Availability_Start_Date</t>
  </si>
  <si>
    <t>Inputs_TL11_Cap_Date</t>
  </si>
  <si>
    <t>Inputs_TL11_Arrangement_Fee</t>
  </si>
  <si>
    <t>Inputs_TL11_Commitment_Fee</t>
  </si>
  <si>
    <t>Inputs_TL11_Margin</t>
  </si>
  <si>
    <t>Inputs_TL11_Months_Oustanding</t>
  </si>
  <si>
    <t>Inputs_TL11_Drawdown</t>
  </si>
  <si>
    <t>Inputs_TL11_Repayment_Principal</t>
  </si>
  <si>
    <t>Inputs_TL11_Maximum_Facility</t>
  </si>
  <si>
    <t>New Loan 2.0 Bn</t>
  </si>
  <si>
    <t>Finance_TL11_Total</t>
  </si>
  <si>
    <t>Finance_TL11_Drawdown</t>
  </si>
  <si>
    <t>Finance_TL11_Repayment</t>
  </si>
  <si>
    <t>Finance_TL11_Cash_Sweep</t>
  </si>
  <si>
    <t>Finance_TL11_Closing_Bal</t>
  </si>
  <si>
    <t>Finance_TL11_Current_Portion</t>
  </si>
  <si>
    <t>Finance_TL11_Non_Current_Portion</t>
  </si>
  <si>
    <t>Finance_TL11_Arrangement_Fee</t>
  </si>
  <si>
    <t>Finance_TL11_Commitment_Fee</t>
  </si>
  <si>
    <t>Finance_TL11_Finance_Charges</t>
  </si>
  <si>
    <t>Targeted Minimum Cash Balance - Dividends</t>
  </si>
  <si>
    <t>Inputs_Basecase_Min_Cash_Balance</t>
  </si>
  <si>
    <t xml:space="preserve">Dividend Payout </t>
  </si>
  <si>
    <t>Dividend Payout Ratio</t>
  </si>
  <si>
    <t>Dividend Payout</t>
  </si>
  <si>
    <t>Inputs_Basecase_Dividend_Payout</t>
  </si>
  <si>
    <t>Proposed Dividends</t>
  </si>
  <si>
    <t>Inputs_Proposed_Dividends</t>
  </si>
  <si>
    <t>Balance Sheet Cash Position</t>
  </si>
  <si>
    <t>Input Dividend Limit</t>
  </si>
  <si>
    <t>Other Income</t>
  </si>
  <si>
    <t>Cost of Revenue</t>
  </si>
  <si>
    <t>DPO</t>
  </si>
  <si>
    <t>DSO</t>
  </si>
  <si>
    <t>Inputs_Payables_Days</t>
  </si>
  <si>
    <t>Right of use asset</t>
  </si>
  <si>
    <t>Inputs_Basecase_ROU</t>
  </si>
  <si>
    <t>Inputs_Basecase_Intangible_Additions</t>
  </si>
  <si>
    <t>31/12/2021</t>
  </si>
  <si>
    <t>Net income</t>
  </si>
  <si>
    <t>Property and equipment</t>
  </si>
  <si>
    <t>Intangible assets</t>
  </si>
  <si>
    <t>Available for sale investments</t>
  </si>
  <si>
    <t>Trade payables</t>
  </si>
  <si>
    <t>Cash and cash equivalents</t>
  </si>
  <si>
    <t>Long term loans</t>
  </si>
  <si>
    <t>Share capital</t>
  </si>
  <si>
    <t>Retained earnings</t>
  </si>
  <si>
    <t>Working capital changes</t>
  </si>
  <si>
    <t>Trade receivables - net</t>
  </si>
  <si>
    <t>Operating cash flows</t>
  </si>
  <si>
    <t>Free cash flows to the firm</t>
  </si>
  <si>
    <t>Free cash flows to equity</t>
  </si>
  <si>
    <t>Dividends paid</t>
  </si>
  <si>
    <t>Net change in cash</t>
  </si>
  <si>
    <t>Beginning cash balance</t>
  </si>
  <si>
    <t>Ending cash balance</t>
  </si>
  <si>
    <t>Adjusted Consolidated of Income Statement</t>
  </si>
  <si>
    <t>Act_IS_GP</t>
  </si>
  <si>
    <t>Act_IS_Other_Income</t>
  </si>
  <si>
    <t>Act_IS_Investment_Income</t>
  </si>
  <si>
    <t>Consolidated Balance Sheet</t>
  </si>
  <si>
    <t>Act_BS_Intangible</t>
  </si>
  <si>
    <t>Act_BS_Share_Capital</t>
  </si>
  <si>
    <t>Act_BS_Retained_Reserves</t>
  </si>
  <si>
    <t>Act_BS_Equity</t>
  </si>
  <si>
    <t>Consolidated Statement of Cash Flow</t>
  </si>
  <si>
    <t>Act_CF_Working_Capital_Changes</t>
  </si>
  <si>
    <t>Act_CF_Receivables</t>
  </si>
  <si>
    <t>Act_CF_Payables</t>
  </si>
  <si>
    <t>Act_CF_Operating_CF</t>
  </si>
  <si>
    <t>Act_CF_Capital_Expenditure</t>
  </si>
  <si>
    <t>Act_CF_Capital_Expenditure_Intangibles</t>
  </si>
  <si>
    <t>Act_CF_Investments</t>
  </si>
  <si>
    <t>Act_CF_FCFF</t>
  </si>
  <si>
    <t>Act_CF_Finance_Lease</t>
  </si>
  <si>
    <t>Act_CF_FCFE</t>
  </si>
  <si>
    <t>Act_CF_Dividends</t>
  </si>
  <si>
    <t>Act_CF_Change_Cash</t>
  </si>
  <si>
    <t>Act_CF_Beginning_Cash</t>
  </si>
  <si>
    <t>Act_CF_Ending_Cash</t>
  </si>
  <si>
    <t>Act_CF_EBITDA</t>
  </si>
  <si>
    <t>IS_GP</t>
  </si>
  <si>
    <t>IS_Other_Income</t>
  </si>
  <si>
    <t>IS_Investment_Income</t>
  </si>
  <si>
    <t>BS_Intangible</t>
  </si>
  <si>
    <t>BS_Share_Capital</t>
  </si>
  <si>
    <t>BS_Retained_Reserves</t>
  </si>
  <si>
    <t>BS_Equity</t>
  </si>
  <si>
    <t>CF_EBITDA</t>
  </si>
  <si>
    <t>CF_Working_Capital_Changes</t>
  </si>
  <si>
    <t>CF_Receivables</t>
  </si>
  <si>
    <t>CF_Payables</t>
  </si>
  <si>
    <t>CF_Operating_CF</t>
  </si>
  <si>
    <t>CF_Capital_Expenditure</t>
  </si>
  <si>
    <t>CF_Capital_Expenditure_Intangibles</t>
  </si>
  <si>
    <t>CF_Investments</t>
  </si>
  <si>
    <t>CF_FCFF</t>
  </si>
  <si>
    <t>CF_Finance_Lease</t>
  </si>
  <si>
    <t>CF_FCFE</t>
  </si>
  <si>
    <t>CF_Dividends</t>
  </si>
  <si>
    <t>CF_Change_Cash</t>
  </si>
  <si>
    <t>CF_Beginning_Cash</t>
  </si>
  <si>
    <t>CF_Ending_Cash</t>
  </si>
  <si>
    <t>Provisions</t>
  </si>
  <si>
    <t>EOSB</t>
  </si>
  <si>
    <t>Inputs_Basecase_Intangible_Amortization</t>
  </si>
  <si>
    <t>Minority Interest</t>
  </si>
  <si>
    <t>PPE Depreciation</t>
  </si>
  <si>
    <t>Inputs_Basecase_PPE_Depreciation</t>
  </si>
  <si>
    <t>Trade Receivables, Gross</t>
  </si>
  <si>
    <t xml:space="preserve">Asset_Liability_Pre_Payments  </t>
  </si>
  <si>
    <t>Trade Payables</t>
  </si>
  <si>
    <t xml:space="preserve">Term Loan 1 </t>
  </si>
  <si>
    <t xml:space="preserve">Term Loan 2 </t>
  </si>
  <si>
    <t xml:space="preserve">Term Loan 3 </t>
  </si>
  <si>
    <t xml:space="preserve">Term Loan 4 </t>
  </si>
  <si>
    <t xml:space="preserve">Term Loan 5 </t>
  </si>
  <si>
    <t xml:space="preserve">Refinance </t>
  </si>
  <si>
    <t>Refinance 2</t>
  </si>
  <si>
    <t>Refinance 3</t>
  </si>
  <si>
    <t>Refinance 5</t>
  </si>
  <si>
    <t>Refinance 6</t>
  </si>
  <si>
    <t>Asset_Liability_Investments_Change</t>
  </si>
  <si>
    <t>Revenue &amp; Costs</t>
  </si>
  <si>
    <t>Debt</t>
  </si>
  <si>
    <t>Cash Flow</t>
  </si>
  <si>
    <t>Debt Service</t>
  </si>
  <si>
    <t>Valuation Sheets &gt;&gt;</t>
  </si>
  <si>
    <t>Amounts in Saudi Riyals</t>
  </si>
  <si>
    <t>Weighted Average Cost of Capital</t>
  </si>
  <si>
    <t>Cost of Equity</t>
  </si>
  <si>
    <t>Risk Free Interest Rate (Rf)</t>
  </si>
  <si>
    <t>Equity Risk Premium (Rm - Rf)</t>
  </si>
  <si>
    <t>Beta (B)</t>
  </si>
  <si>
    <t>No.</t>
  </si>
  <si>
    <t>Cost of Equity (Ke = Rf + a + B (Rm - Rf))</t>
  </si>
  <si>
    <t>Cost of Debt</t>
  </si>
  <si>
    <t>Cost of Debt (kd)</t>
  </si>
  <si>
    <t>Weighted Average Cost of Capital (WACC)</t>
  </si>
  <si>
    <t>Debt Proportion</t>
  </si>
  <si>
    <t>Equity Proportion</t>
  </si>
  <si>
    <t>WACC</t>
  </si>
  <si>
    <t>DCF &amp; Terminal Value</t>
  </si>
  <si>
    <t>Free Cash Flow to Equity ("FCFF")</t>
  </si>
  <si>
    <t>Terminal Value Multiple</t>
  </si>
  <si>
    <t>Growth Rate into Perpetuity (g)</t>
  </si>
  <si>
    <t>Terminal Value Multiple (1+g) / (WACC - g)</t>
  </si>
  <si>
    <t>Discount Factor</t>
  </si>
  <si>
    <t xml:space="preserve">Adjustment for Forecast Period </t>
  </si>
  <si>
    <t>Note: The DCF Calculations excludes other income and expenses</t>
  </si>
  <si>
    <t>Changes in Working Capital</t>
  </si>
  <si>
    <t>Total Changes in Working Capital</t>
  </si>
  <si>
    <t>Cash Flow From Operating Activities ("CFO")</t>
  </si>
  <si>
    <t>CAPEX</t>
  </si>
  <si>
    <t>FCFF</t>
  </si>
  <si>
    <t>Discount Factor Yearly</t>
  </si>
  <si>
    <t>Discounted Free Cash Flows</t>
  </si>
  <si>
    <t>DCF Valuation of Terminal Values (Normal Method)</t>
  </si>
  <si>
    <t>Free Cash Flows</t>
  </si>
  <si>
    <t>Replacement Capex</t>
  </si>
  <si>
    <t>Net Free Cash Flows</t>
  </si>
  <si>
    <t>Terminal Value Last Year</t>
  </si>
  <si>
    <t>Discounted Terminal Value</t>
  </si>
  <si>
    <t>Total DCF Valuation (Normal Method)</t>
  </si>
  <si>
    <t>Cumulative Discounted Value of Free Cash Flows</t>
  </si>
  <si>
    <t>Discounted Value of Terminal Values</t>
  </si>
  <si>
    <t>Discounted TV as % of Total Enterprise Valuation</t>
  </si>
  <si>
    <t>Cumulative Enterprise Valuation of Company</t>
  </si>
  <si>
    <t>Less: Net Debt Outstanding at Start of Year</t>
  </si>
  <si>
    <t>Cash and Short-Term Deposits</t>
  </si>
  <si>
    <t>Net Debt Outstanding</t>
  </si>
  <si>
    <t>Equity Valuation</t>
  </si>
  <si>
    <t>Marketability Discount</t>
  </si>
  <si>
    <t>Adjusted Equity Valuation</t>
  </si>
  <si>
    <t>Unlevered Beta - Comparable Companies</t>
  </si>
  <si>
    <t>Company Name</t>
  </si>
  <si>
    <t>βL</t>
  </si>
  <si>
    <t>Net Debt / Equity</t>
  </si>
  <si>
    <t>Gearing 
(Net Debt/AV)</t>
  </si>
  <si>
    <t>Effective Tax Rate</t>
  </si>
  <si>
    <t xml:space="preserve">βu </t>
  </si>
  <si>
    <t>Country</t>
  </si>
  <si>
    <t>Enterprise Value</t>
  </si>
  <si>
    <t>Average</t>
  </si>
  <si>
    <t>Relevered Beta</t>
  </si>
  <si>
    <t>Source</t>
  </si>
  <si>
    <t>D/E</t>
  </si>
  <si>
    <r>
      <t>β</t>
    </r>
    <r>
      <rPr>
        <b/>
        <vertAlign val="subscript"/>
        <sz val="8"/>
        <color rgb="FF000000"/>
        <rFont val="Arial"/>
        <family val="2"/>
      </rPr>
      <t>L</t>
    </r>
  </si>
  <si>
    <t>Relevering process</t>
  </si>
  <si>
    <t xml:space="preserve">WACC Inputs </t>
  </si>
  <si>
    <t>% (Unless Otherwise Stated)</t>
  </si>
  <si>
    <t>Rate</t>
  </si>
  <si>
    <t>Risk-free Rate</t>
  </si>
  <si>
    <r>
      <t>β</t>
    </r>
    <r>
      <rPr>
        <vertAlign val="subscript"/>
        <sz val="8"/>
        <color rgb="FF000000"/>
        <rFont val="Arial"/>
        <family val="2"/>
      </rPr>
      <t>L</t>
    </r>
  </si>
  <si>
    <t>Cost of Debt Net of Zakat</t>
  </si>
  <si>
    <t xml:space="preserve">Weight </t>
  </si>
  <si>
    <t>Contribution</t>
  </si>
  <si>
    <t>CoE</t>
  </si>
  <si>
    <t>CoD (1-t)</t>
  </si>
  <si>
    <t>Year End</t>
  </si>
  <si>
    <t>Public Company</t>
  </si>
  <si>
    <t>-</t>
  </si>
  <si>
    <t>NYSE:LRN</t>
  </si>
  <si>
    <t>SGX:NR7</t>
  </si>
  <si>
    <t>TSE:4318</t>
  </si>
  <si>
    <t>LSE:PSON</t>
  </si>
  <si>
    <t>NM</t>
  </si>
  <si>
    <t>NYSE:EDU</t>
  </si>
  <si>
    <t>SASE:4291</t>
  </si>
  <si>
    <t>JASDAQ:9733</t>
  </si>
  <si>
    <t>SEHK:1569</t>
  </si>
  <si>
    <t>SZSE:000735</t>
  </si>
  <si>
    <t>HOSE:BCM</t>
  </si>
  <si>
    <t>JASDAQ:2415</t>
  </si>
  <si>
    <t>NYSE:FHS</t>
  </si>
  <si>
    <t>SEHK:3360</t>
  </si>
  <si>
    <t>KLSE:EUPE</t>
  </si>
  <si>
    <t>PSE:ELI</t>
  </si>
  <si>
    <t>KWSE:EDU</t>
  </si>
  <si>
    <t>KOSDAQ:A068930</t>
  </si>
  <si>
    <t>SEHK:6169</t>
  </si>
  <si>
    <t>SEHK:1317</t>
  </si>
  <si>
    <t>NYSE:BEDU</t>
  </si>
  <si>
    <t>NYSE:BFAM</t>
  </si>
  <si>
    <t>SASE:4292</t>
  </si>
  <si>
    <t>OM:ACAD</t>
  </si>
  <si>
    <t>Business Description</t>
  </si>
  <si>
    <t>5 Year Beta [Latest]</t>
  </si>
  <si>
    <t>Dividends per share [LTM] (SAR, Historical rate)</t>
  </si>
  <si>
    <t>Capital Expenditure [LTM] (SARmm, Historical rate)</t>
  </si>
  <si>
    <t>Total Equity [Latest Annual] (SARmm, Historical rate)</t>
  </si>
  <si>
    <t>Total Debt [Latest Annual] (SARmm, Historical rate)</t>
  </si>
  <si>
    <t>Total Assets [Latest Annual] (SARmm, Historical rate)</t>
  </si>
  <si>
    <t>Cash And Equivalents [Latest Annual] (SARmm, Historical rate)</t>
  </si>
  <si>
    <t>Forward P/E - Capital IQ [NTM] (x)</t>
  </si>
  <si>
    <t>TEV/Forward EBITDA [My Setting] - Capital IQ [NTM] (x)</t>
  </si>
  <si>
    <t>TEV/LTM EBITDA [My Setting] [Latest] (x)</t>
  </si>
  <si>
    <t>P/LTM Diluted EPS Before Extra [Latest] (x)</t>
  </si>
  <si>
    <t>Net Income [LTM] (SARmm, Historical rate)</t>
  </si>
  <si>
    <t>EBITDA [LTM] (SARmm, Historical rate)</t>
  </si>
  <si>
    <t>Total Revenue [LTM] (SARmm, Historical rate)</t>
  </si>
  <si>
    <t>*Last Sale Price [Latest] (SAR, Historical rate)</t>
  </si>
  <si>
    <t>Market Capitalization [My Setting] [Latest] (SARmm, Historical rate)</t>
  </si>
  <si>
    <t>Total Enterprise Value [My Setting] [Latest] (SARmm, Historical rate)</t>
  </si>
  <si>
    <t>Country/Region of Incorporation</t>
  </si>
  <si>
    <t>Company Type</t>
  </si>
  <si>
    <t>Industry Classifications</t>
  </si>
  <si>
    <t>Exchange:Ticker</t>
  </si>
  <si>
    <t>N/A</t>
  </si>
  <si>
    <t>Market Cap. Weighted Avg.</t>
  </si>
  <si>
    <t>Standard Deviation</t>
  </si>
  <si>
    <t>Maximum</t>
  </si>
  <si>
    <t>Minimum</t>
  </si>
  <si>
    <t>Company Screening Aggregates</t>
  </si>
  <si>
    <t>Screening Aggregates</t>
  </si>
  <si>
    <t>Screening Criteria</t>
  </si>
  <si>
    <t>Effective Tax Rate [LTM] (%)</t>
  </si>
  <si>
    <t>Metrics Definition</t>
  </si>
  <si>
    <t>Tax Rate - Effective</t>
  </si>
  <si>
    <t xml:space="preserve">D/S [LTM] </t>
  </si>
  <si>
    <t xml:space="preserve">Capital Expenditure [LTM] </t>
  </si>
  <si>
    <t>Assets</t>
  </si>
  <si>
    <t>Cash</t>
  </si>
  <si>
    <t>Forward EV / EBITDA</t>
  </si>
  <si>
    <t>EV/EBITDA LTM</t>
  </si>
  <si>
    <t xml:space="preserve">Forward P/E </t>
  </si>
  <si>
    <t>P/E LTM</t>
  </si>
  <si>
    <t xml:space="preserve">Net Income [LTM] </t>
  </si>
  <si>
    <t>EBITDA [LTM]</t>
  </si>
  <si>
    <t>Latest Price</t>
  </si>
  <si>
    <t>Market Capitalization</t>
  </si>
  <si>
    <t>EV</t>
  </si>
  <si>
    <t>n/a: not applicable or available</t>
  </si>
  <si>
    <t>Outlier: not within the specified range</t>
  </si>
  <si>
    <t>Max</t>
  </si>
  <si>
    <t>Min</t>
  </si>
  <si>
    <t>Median</t>
  </si>
  <si>
    <t>Mean</t>
  </si>
  <si>
    <t>Net margin</t>
  </si>
  <si>
    <t>EBITDA margin</t>
  </si>
  <si>
    <t>P/E</t>
  </si>
  <si>
    <t>EV/EBITDA</t>
  </si>
  <si>
    <t>Market cap</t>
  </si>
  <si>
    <t>Company name</t>
  </si>
  <si>
    <t>Source: Capital IQ</t>
  </si>
  <si>
    <t>Gross Profit</t>
  </si>
  <si>
    <t>Low</t>
  </si>
  <si>
    <t>High</t>
  </si>
  <si>
    <t>Geographic Locations</t>
  </si>
  <si>
    <t>Net Debt : Equity</t>
  </si>
  <si>
    <t>Implied EV/EBITDA</t>
  </si>
  <si>
    <t>Equity Value</t>
  </si>
  <si>
    <t xml:space="preserve">Net Income [2020] </t>
  </si>
  <si>
    <t>EBITDA [2020]</t>
  </si>
  <si>
    <t>Multiples</t>
  </si>
  <si>
    <t>Local Peers - EV/EBITDA Multiple [LTM]</t>
  </si>
  <si>
    <t>Global Peers - EV/EBITDA Multiple [LTM]</t>
  </si>
  <si>
    <t>Local Peers - P/E Multiple [LTM]</t>
  </si>
  <si>
    <t>Local Peers - P/E Multiple [Forward]</t>
  </si>
  <si>
    <t>Global Peers - P/E Multiple [LTM]</t>
  </si>
  <si>
    <t>Global Peers - P/E Multiple [Forward]</t>
  </si>
  <si>
    <t>Local Peers - EV/EBITDA Multiple [2022]</t>
  </si>
  <si>
    <t>Global Peers - EV/EBITDA Multiple [2022]</t>
  </si>
  <si>
    <t xml:space="preserve">Net Income [2022] </t>
  </si>
  <si>
    <t>EBITDA [2022]</t>
  </si>
  <si>
    <t>Source: Business Plan</t>
  </si>
  <si>
    <t>Source: Mgmt 2021</t>
  </si>
  <si>
    <t>Saudi Market - P/E Multiple [LTM]</t>
  </si>
  <si>
    <t>Consolidated - Discounted Cash Flow ("DCF")</t>
  </si>
  <si>
    <t>Football Field Analysis</t>
  </si>
  <si>
    <t>Key Metrics</t>
  </si>
  <si>
    <t>SAR mn</t>
  </si>
  <si>
    <t xml:space="preserve">Investments </t>
  </si>
  <si>
    <t>`</t>
  </si>
  <si>
    <t>Ratio Multiple</t>
  </si>
  <si>
    <t>Lower End Ratio Multiple</t>
  </si>
  <si>
    <t>Higher End Ratio Multiple</t>
  </si>
  <si>
    <t>Valuation Lower End</t>
  </si>
  <si>
    <t>Valuation Higher End</t>
  </si>
  <si>
    <t>P/E Multiples Based Valuation</t>
  </si>
  <si>
    <t>Graphing - Implied Values</t>
  </si>
  <si>
    <t>Base</t>
  </si>
  <si>
    <t>EV/EBITDA Multiples Based Valuation</t>
  </si>
  <si>
    <t>Discounted Cash Flow</t>
  </si>
  <si>
    <t>Graphing - Multiples</t>
  </si>
  <si>
    <t>Multiples Range</t>
  </si>
  <si>
    <t xml:space="preserve">  </t>
  </si>
  <si>
    <t>Market data current as of 16 August 2021</t>
  </si>
  <si>
    <t>Valuation - Equinox</t>
  </si>
  <si>
    <t>Valuation SAR mn</t>
  </si>
  <si>
    <t>Indicative Equity Valuation Range - SAR Million</t>
  </si>
  <si>
    <t>- Local Peers</t>
  </si>
  <si>
    <t>- Global Peers</t>
  </si>
  <si>
    <t>P/E - Saudi Market</t>
  </si>
  <si>
    <t>P/E - Local Peers</t>
  </si>
  <si>
    <t>P/E - Global Peers</t>
  </si>
  <si>
    <t>EV/EBITDA - Local Peers</t>
  </si>
  <si>
    <t>EV/EBITDA - Global Peers</t>
  </si>
  <si>
    <t>EBITDA Normalization</t>
  </si>
  <si>
    <t>Lowe Range</t>
  </si>
  <si>
    <t>Higher Range</t>
  </si>
  <si>
    <t>DCF Valuation</t>
  </si>
  <si>
    <t>TV</t>
  </si>
  <si>
    <t>Terminal Growth Rate</t>
  </si>
  <si>
    <t>2022E</t>
  </si>
  <si>
    <t>Forwards Multiples [All Peers Average]</t>
  </si>
  <si>
    <t>- EV/EBITDA [Forward]</t>
  </si>
  <si>
    <t>- P/E [Forward]</t>
  </si>
  <si>
    <t>EV/EBITDA [LTM] - Local Peers</t>
  </si>
  <si>
    <t>P/E [LTM] - Local Peers</t>
  </si>
  <si>
    <t>P/E [LTM] - Global Peers</t>
  </si>
  <si>
    <t>P/E [LTM] - Saudi Market</t>
  </si>
  <si>
    <t>P/E [Forward]</t>
  </si>
  <si>
    <t>EV/EBITDA [Forward]</t>
  </si>
  <si>
    <t>IRR</t>
  </si>
  <si>
    <t>Investment</t>
  </si>
  <si>
    <t>Cash Flows</t>
  </si>
  <si>
    <t>IRR Calculation</t>
  </si>
  <si>
    <t>Sum of Cash Flows</t>
  </si>
  <si>
    <t>Terminal Value - Net Income Exit at P/E multiple of:</t>
  </si>
  <si>
    <t>Based on LTM EBITDA</t>
  </si>
  <si>
    <t>Based EBITDA 2022</t>
  </si>
  <si>
    <t>FINAL</t>
  </si>
  <si>
    <t>Project Alpha</t>
  </si>
  <si>
    <t>December</t>
  </si>
  <si>
    <t>Inputs_Thousand</t>
  </si>
  <si>
    <t>Tax Rate</t>
  </si>
  <si>
    <t>Inputs_Basecase_Rate</t>
  </si>
  <si>
    <t>Other Operating Income</t>
  </si>
  <si>
    <t>Income Tax</t>
  </si>
  <si>
    <t>Act_IS_Tax</t>
  </si>
  <si>
    <t>Operating Income and (expenses)</t>
  </si>
  <si>
    <t>SG&amp;A</t>
  </si>
  <si>
    <t>Income from a bargain purchase</t>
  </si>
  <si>
    <t>Other Operating Expenses</t>
  </si>
  <si>
    <t>Research and Development Expenses</t>
  </si>
  <si>
    <t>Act_IS_SGA</t>
  </si>
  <si>
    <t>Impairement of Intangible Assets &amp; Goodwill</t>
  </si>
  <si>
    <t>Act_IS_Other_Income_Bargain</t>
  </si>
  <si>
    <t>Act_IS_Other_Expenses</t>
  </si>
  <si>
    <t>Interest Expense</t>
  </si>
  <si>
    <t>Interest Income</t>
  </si>
  <si>
    <t>Other Income from Long-Term Investments</t>
  </si>
  <si>
    <t>Act_IS_Amort</t>
  </si>
  <si>
    <t>Depreciation of PPE</t>
  </si>
  <si>
    <t>Amortization</t>
  </si>
  <si>
    <t>Act_IS_Impairement</t>
  </si>
  <si>
    <t>Act_IS_Dep</t>
  </si>
  <si>
    <t>Act_IS_Interest_Expense</t>
  </si>
  <si>
    <t>Act_IS_Other_LT_Investments</t>
  </si>
  <si>
    <t>Share of Results - Investees</t>
  </si>
  <si>
    <t>Act_IS_Other_SOR</t>
  </si>
  <si>
    <t>Income/(expense) from Financial Assets</t>
  </si>
  <si>
    <t>Act_IS_F_Assets</t>
  </si>
  <si>
    <t>Foregin currency exchange results</t>
  </si>
  <si>
    <t>Act_IS_F_Currency</t>
  </si>
  <si>
    <t>Other Operating Income / (Expense)</t>
  </si>
  <si>
    <t>Act_IS_Other_OP_Results</t>
  </si>
  <si>
    <t>Adjusted Income Statement - IFRS</t>
  </si>
  <si>
    <t>Act_IS_Direct_Costs</t>
  </si>
  <si>
    <t>Income before Tax</t>
  </si>
  <si>
    <t>Act_IS_Income_PreTax</t>
  </si>
  <si>
    <t>IS_Direct_Costs</t>
  </si>
  <si>
    <t>IS_R&amp;D</t>
  </si>
  <si>
    <t>IS_SGA</t>
  </si>
  <si>
    <t>IS_Other_Expenses</t>
  </si>
  <si>
    <t>IS_Dep</t>
  </si>
  <si>
    <t>IS_Amort</t>
  </si>
  <si>
    <t>IS_Impairement</t>
  </si>
  <si>
    <t>IS_Interest_Expense</t>
  </si>
  <si>
    <t>IS_Other_LT_Investments</t>
  </si>
  <si>
    <t>IS_Other_SOR</t>
  </si>
  <si>
    <t>IS_F_Assets</t>
  </si>
  <si>
    <t>IS_F_Currency</t>
  </si>
  <si>
    <t>IS_Other_OP_Results</t>
  </si>
  <si>
    <t>IS_Other_Income_Bargain</t>
  </si>
  <si>
    <t>IS_Income_PreTax</t>
  </si>
  <si>
    <t>IS_Tax</t>
  </si>
  <si>
    <t>Act_IS_RD</t>
  </si>
  <si>
    <t>Investments - Current</t>
  </si>
  <si>
    <t>Act_BS_Cur_Investments</t>
  </si>
  <si>
    <t>Trade receivables</t>
  </si>
  <si>
    <t>Accounts receivables from associated companies and LT Investments</t>
  </si>
  <si>
    <t>Act_BS_Other_Receivables</t>
  </si>
  <si>
    <t>Act_BS_Trade_Receivables</t>
  </si>
  <si>
    <t>Investories</t>
  </si>
  <si>
    <t>Act_BS_Inventories</t>
  </si>
  <si>
    <t>Current tax receivables</t>
  </si>
  <si>
    <t>Act_BS_Tax_Receivables</t>
  </si>
  <si>
    <t>Contract Assets</t>
  </si>
  <si>
    <t>Contract assets</t>
  </si>
  <si>
    <t>Act_BS_Contract_Assets</t>
  </si>
  <si>
    <t>Other current financial assets</t>
  </si>
  <si>
    <t>Act_BS_Other_Curr_FA</t>
  </si>
  <si>
    <t>Prepaid expenses and other current assets</t>
  </si>
  <si>
    <t>Act_BS_Prepaid_Expenses</t>
  </si>
  <si>
    <t>Total Current Assets</t>
  </si>
  <si>
    <t>Ahmed AlYahya</t>
  </si>
  <si>
    <t>Modeler:</t>
  </si>
  <si>
    <t>Act_BS_LT_Investments</t>
  </si>
  <si>
    <t>Goodwill</t>
  </si>
  <si>
    <t>Act_BS_Goodwill</t>
  </si>
  <si>
    <t>Deferred tax asset</t>
  </si>
  <si>
    <t>Non-current tax receivables</t>
  </si>
  <si>
    <t>Other non-current financial assets</t>
  </si>
  <si>
    <t>Other non-current assets</t>
  </si>
  <si>
    <t>Act_BS_Deferred_Tax</t>
  </si>
  <si>
    <t>Act_BS_Non_Cur_Tax_Rec</t>
  </si>
  <si>
    <t>Act_BS_Other_FA_NonCur</t>
  </si>
  <si>
    <t>Act_BS_Other_NonCur_Assets</t>
  </si>
  <si>
    <t>Total Non-current Assets</t>
  </si>
  <si>
    <t>Total Assets</t>
  </si>
  <si>
    <t>Current loan liabilities</t>
  </si>
  <si>
    <t>Current portion of lease obligations</t>
  </si>
  <si>
    <t>Contract liabilities</t>
  </si>
  <si>
    <t>Deferred income</t>
  </si>
  <si>
    <t>Act_BS_Debt_Current</t>
  </si>
  <si>
    <t>Act_BS_Lease_Current</t>
  </si>
  <si>
    <t>Current income tax payables</t>
  </si>
  <si>
    <t>Act_BS_Tax_Payable</t>
  </si>
  <si>
    <t>Total Current Liabilities</t>
  </si>
  <si>
    <t>Non-current Liabilities</t>
  </si>
  <si>
    <t>Long-term lease liabilities</t>
  </si>
  <si>
    <t>Act_BS_Lease_Non_Current</t>
  </si>
  <si>
    <t>Act_BS_Debt_Non_Current</t>
  </si>
  <si>
    <t>Deferred tax liabilities</t>
  </si>
  <si>
    <t>Act_BS_Tax_Deferred</t>
  </si>
  <si>
    <t>Act_BS_Provisions_Current</t>
  </si>
  <si>
    <t>Act_BS_Provisions_Non_Current</t>
  </si>
  <si>
    <t>Act_BS_Contract_Liabilities_Current</t>
  </si>
  <si>
    <t>Act_BS_Contract_Liabilities_Non_Current</t>
  </si>
  <si>
    <t>Act_BS_Deferred_Income_Current</t>
  </si>
  <si>
    <t>Act_BS_Deferred_Income_Non_Current</t>
  </si>
  <si>
    <t>Other current financial liabilities</t>
  </si>
  <si>
    <t>Other current liabilities</t>
  </si>
  <si>
    <t>Act_BS_Other_FA_Current</t>
  </si>
  <si>
    <t>Act_BS_Other_NonCurrent_Assets</t>
  </si>
  <si>
    <t>Act_BS_Other_FA_Non_Current</t>
  </si>
  <si>
    <t>Total Non-current Liabilities</t>
  </si>
  <si>
    <t>Additional Paid-in capital</t>
  </si>
  <si>
    <t>Act_BS_Additional_Capital</t>
  </si>
  <si>
    <t>Total Stockholders Equity</t>
  </si>
  <si>
    <t>Total Liabilities &amp; Equity</t>
  </si>
  <si>
    <t>BS_Cur_Investments</t>
  </si>
  <si>
    <t>BS_Trade_Receivables</t>
  </si>
  <si>
    <t>BS_Other_Receivables</t>
  </si>
  <si>
    <t>BS_Inventories</t>
  </si>
  <si>
    <t>BS_Tax_Receivables</t>
  </si>
  <si>
    <t>BS_Other_Curr_FA</t>
  </si>
  <si>
    <t>BS_Prepaid_Expenses</t>
  </si>
  <si>
    <t>BS_LT_Investments</t>
  </si>
  <si>
    <t>BS_Goodwill</t>
  </si>
  <si>
    <t>BS_Deferred_Tax</t>
  </si>
  <si>
    <t>BS_Non_Cur_Tax_Rec</t>
  </si>
  <si>
    <t>BS_Other_FA_NonCur</t>
  </si>
  <si>
    <t>BS_Other_NonCur_Assets</t>
  </si>
  <si>
    <t>BS_Debt_Current</t>
  </si>
  <si>
    <t>BS_Lease_Current</t>
  </si>
  <si>
    <t>BS_Provisions_Current</t>
  </si>
  <si>
    <t>BS_Deferred_Income_Current</t>
  </si>
  <si>
    <t>BS_Tax_Payable</t>
  </si>
  <si>
    <t>BS_Other_FA_Current</t>
  </si>
  <si>
    <t>BS_Debt_Non_Current</t>
  </si>
  <si>
    <t>BS_Lease_Non_Current</t>
  </si>
  <si>
    <t>BS_Tax_Deferred</t>
  </si>
  <si>
    <t>BS_Provisions_Non_Current</t>
  </si>
  <si>
    <t>BS_Deferred_Income_Non_Current</t>
  </si>
  <si>
    <t>BS_Other_FA_Non_Current</t>
  </si>
  <si>
    <t>BS_Additional_Capital</t>
  </si>
  <si>
    <t>BS_Contract_Assets</t>
  </si>
  <si>
    <t>BS_Contract_Liabilities_Current</t>
  </si>
  <si>
    <t>BS_Contract_Liabilities_Non_Current</t>
  </si>
  <si>
    <t>Inventories</t>
  </si>
  <si>
    <t>Act_CF_Inventories</t>
  </si>
  <si>
    <t>Act_CF_Contract_Assets</t>
  </si>
  <si>
    <t>Act_CF_Prepaid_Expenses</t>
  </si>
  <si>
    <t xml:space="preserve">Trade receivables </t>
  </si>
  <si>
    <t>Act_CF_Provisions_Current</t>
  </si>
  <si>
    <t>Act_CF_Contract_Liabilities_Current</t>
  </si>
  <si>
    <t>Act_CF_Other_NonCurrent_Assets</t>
  </si>
  <si>
    <t>Interest paid</t>
  </si>
  <si>
    <t>Act_CF_Interest_Paid</t>
  </si>
  <si>
    <t>Act_CF_Tax_Paid</t>
  </si>
  <si>
    <t>Tax paid</t>
  </si>
  <si>
    <t>Purchase of Intangible assets</t>
  </si>
  <si>
    <t>Investments - Net</t>
  </si>
  <si>
    <t>Proceeds from capital increase</t>
  </si>
  <si>
    <t>Act_CF_Capital</t>
  </si>
  <si>
    <t>Proceeds from term loans</t>
  </si>
  <si>
    <t>Act_CF_Debt_Proceeds</t>
  </si>
  <si>
    <t>Repayment of Lease Obligation</t>
  </si>
  <si>
    <t>Repayment of loans</t>
  </si>
  <si>
    <t>Act_CF_Debt_Repayment</t>
  </si>
  <si>
    <t>Exchange rate difference</t>
  </si>
  <si>
    <t>Purchase of property, plant and equipment</t>
  </si>
  <si>
    <t>CF_Inventories</t>
  </si>
  <si>
    <t>CF_ContrAssets</t>
  </si>
  <si>
    <t>CF_Prepaid_Expenses</t>
  </si>
  <si>
    <t>CF_Provisions_Current</t>
  </si>
  <si>
    <t>CF_ContrLiabilities_Current</t>
  </si>
  <si>
    <t>CF_Tax_Paid</t>
  </si>
  <si>
    <t>CF_Capital</t>
  </si>
  <si>
    <t>CF_Debt_Proceeds</t>
  </si>
  <si>
    <t>CF_Debt_Repayment</t>
  </si>
  <si>
    <t>CF_Interest_Paid</t>
  </si>
  <si>
    <t>EVT Execute</t>
  </si>
  <si>
    <t>Service fees FTE-based research payments</t>
  </si>
  <si>
    <t>Recharges</t>
  </si>
  <si>
    <t>Technology access fees</t>
  </si>
  <si>
    <t>Milestone fees</t>
  </si>
  <si>
    <t>Licences</t>
  </si>
  <si>
    <t xml:space="preserve">Total Revenue </t>
  </si>
  <si>
    <t>EVT Innovate</t>
  </si>
  <si>
    <t>Transition</t>
  </si>
  <si>
    <t>Other Operating Income / (Expenses)</t>
  </si>
  <si>
    <t>Other Expense</t>
  </si>
  <si>
    <t>Costs_R&amp;D</t>
  </si>
  <si>
    <t>Costs_SGA</t>
  </si>
  <si>
    <t>Costs_Other_Income</t>
  </si>
  <si>
    <t>Costs_Other_Expense</t>
  </si>
  <si>
    <t>Inputs_Rev_Exc_FTE</t>
  </si>
  <si>
    <t>Inputs_Rev_Exc_Recharges</t>
  </si>
  <si>
    <t>Inputs_Rev_Exc_Tech</t>
  </si>
  <si>
    <t>Inputs_Rev_Exc_Milestone</t>
  </si>
  <si>
    <t>Inputs_Rev_Exc_Licence</t>
  </si>
  <si>
    <t>Inputs_Rev_Inno_FTE</t>
  </si>
  <si>
    <t>Inputs_Rev_Inno_Recharges</t>
  </si>
  <si>
    <t>Inputs_Rev_Inno_Tech</t>
  </si>
  <si>
    <t>Inputs_Rev_Inno_Milestone</t>
  </si>
  <si>
    <t>Inputs_Rev_Inno_Licence</t>
  </si>
  <si>
    <t>Inputs_Rev_Group_Transition</t>
  </si>
  <si>
    <t>CAGR / Inflation</t>
  </si>
  <si>
    <t>Direct Costs</t>
  </si>
  <si>
    <t>Costs_Cost_of_Revenue</t>
  </si>
  <si>
    <t>Costs of revenue - excluding non cash items</t>
  </si>
  <si>
    <t>Inputs_Costs_COR</t>
  </si>
  <si>
    <t>Inputs_Costs_RD</t>
  </si>
  <si>
    <t>Inputs_Costs_SGA</t>
  </si>
  <si>
    <t>Other Income / (Expenses)</t>
  </si>
  <si>
    <t>Inputs_Costs_Other_Income</t>
  </si>
  <si>
    <t>Inputs_Costs_Other_Expense</t>
  </si>
  <si>
    <t>Revenue_Total_Revenue</t>
  </si>
  <si>
    <t>Inputs_Tax_Rate</t>
  </si>
  <si>
    <t>PPE Cost</t>
  </si>
  <si>
    <t>PPE Depreciation Accum.</t>
  </si>
  <si>
    <t>Act_BS_PPE_Cost</t>
  </si>
  <si>
    <t>Act_BS_PPE_Acc_Dep</t>
  </si>
  <si>
    <t>PPE Capex</t>
  </si>
  <si>
    <t>Cost</t>
  </si>
  <si>
    <t>Amortization Accum.</t>
  </si>
  <si>
    <t>Act_BS_Intangible_Cost</t>
  </si>
  <si>
    <t>Act_BS_Acc_Amort</t>
  </si>
  <si>
    <t>Asset_Liability_Receivables</t>
  </si>
  <si>
    <t>Asset_Liability_Change_In_Receivables</t>
  </si>
  <si>
    <t>Inventory</t>
  </si>
  <si>
    <t xml:space="preserve">Costs of Revenue </t>
  </si>
  <si>
    <t>Inventory Days</t>
  </si>
  <si>
    <t>Asset_Liability_Inventory</t>
  </si>
  <si>
    <t>Asset_Liability_Change_In_Inventory</t>
  </si>
  <si>
    <t>DIO</t>
  </si>
  <si>
    <t>Inputs_Inventory_Days</t>
  </si>
  <si>
    <t>Change in Receivables</t>
  </si>
  <si>
    <t>Contract Days</t>
  </si>
  <si>
    <t>Change in Contract Receivables</t>
  </si>
  <si>
    <t>Asset_Liability_Contracts</t>
  </si>
  <si>
    <t>Asset_Liability_Change_In_Contracts</t>
  </si>
  <si>
    <t>Inputs_Contract_Days</t>
  </si>
  <si>
    <t>Prepaid - Days</t>
  </si>
  <si>
    <t>Inputs_Prepaid_Days</t>
  </si>
  <si>
    <t>Asset_Liability_Contract_Current</t>
  </si>
  <si>
    <t>Asset_Liability_Change_In_Contract_Current</t>
  </si>
  <si>
    <t>Contract Liabilities - Current</t>
  </si>
  <si>
    <t>Inputs_Contract_Current_Days</t>
  </si>
  <si>
    <t>Contract Liabilities - Non-current</t>
  </si>
  <si>
    <t>Asset_Liability_Contract_NonCurrent</t>
  </si>
  <si>
    <t>Asset_Liability_Change_In_Contract_NonCurrent</t>
  </si>
  <si>
    <t>Inputs_Contract_NonCurrent_Days</t>
  </si>
  <si>
    <t>Other Current Liabilities</t>
  </si>
  <si>
    <t>Payable</t>
  </si>
  <si>
    <t>OCL</t>
  </si>
  <si>
    <t>Change in Contract - Current</t>
  </si>
  <si>
    <t>Change in Contract - Non-current</t>
  </si>
  <si>
    <t>Change in OCL</t>
  </si>
  <si>
    <t>Asset_Liability_OCL</t>
  </si>
  <si>
    <t>Asset_Liability_Change_OCL</t>
  </si>
  <si>
    <t>BS_Other_NonCurrent_Liabilities</t>
  </si>
  <si>
    <t>Inputs_OCL_Days</t>
  </si>
  <si>
    <t>31/12/2020</t>
  </si>
  <si>
    <t>Germany 1</t>
  </si>
  <si>
    <t>Germany 2</t>
  </si>
  <si>
    <t>Germany 3</t>
  </si>
  <si>
    <t xml:space="preserve">Germany 4 </t>
  </si>
  <si>
    <t>Act_BS_Debt_LT1</t>
  </si>
  <si>
    <t>Act_BS_Debt_LT2</t>
  </si>
  <si>
    <t>Act_BS_Debt_LT3</t>
  </si>
  <si>
    <t>Act_BS_Debt_LT4</t>
  </si>
  <si>
    <t>Term Loan 2</t>
  </si>
  <si>
    <t>Germany 4</t>
  </si>
  <si>
    <t>Leveraged Buyout</t>
  </si>
  <si>
    <t>Leveraged Buyout Facility</t>
  </si>
  <si>
    <t>Placeholder</t>
  </si>
  <si>
    <t>Buyout Loan</t>
  </si>
  <si>
    <t>BS_Total_Assets</t>
  </si>
  <si>
    <t>CF_Other_Current_Liabilities</t>
  </si>
  <si>
    <t>Leases</t>
  </si>
  <si>
    <t>10x Genomics, Inc. (NasdaqGS:TXG)</t>
  </si>
  <si>
    <t>AbCellera Biologics Inc. (NasdaqGS:ABCL)</t>
  </si>
  <si>
    <t>AddLife AB (publ) (OM:ALIF B)</t>
  </si>
  <si>
    <t>Bachem Holding AG (SWX:BANB)</t>
  </si>
  <si>
    <t>Bio-Rad Laboratories, Inc. (NYSE:BIO)</t>
  </si>
  <si>
    <t>Bio-Techne Corporation (NasdaqGS:TECH)</t>
  </si>
  <si>
    <t>Bruker Corporation (NasdaqGS:BRKR)</t>
  </si>
  <si>
    <t>Charles River Laboratories International, Inc. (NYSE:CRL)</t>
  </si>
  <si>
    <t>Clinigen Group plc (AIM:CLIN)</t>
  </si>
  <si>
    <t>Evotec SE (XTRA:EVT)</t>
  </si>
  <si>
    <t>Gerresheimer AG (XTRA:GXI)</t>
  </si>
  <si>
    <t>Maravai LifeSciences Holdings, Inc. (NasdaqGS:MRVI)</t>
  </si>
  <si>
    <t>Medpace Holdings, Inc. (NasdaqGS:MEDP)</t>
  </si>
  <si>
    <t>NeoGenomics, Inc. (NasdaqCM:NEO)</t>
  </si>
  <si>
    <t>QIAGEN N.V. (NYSE:QGEN)</t>
  </si>
  <si>
    <t>Repligen Corporation (NasdaqGS:RGEN)</t>
  </si>
  <si>
    <t>Sartorius Stedim Biotech S.A. (ENXTPA:DIM)</t>
  </si>
  <si>
    <t>Siegfried Holding AG (SWX:SFZN)</t>
  </si>
  <si>
    <t>Sotera Health Company (NasdaqGS:SHC)</t>
  </si>
  <si>
    <t>Stevanato Group S.p.A. (NYSE:STVN)</t>
  </si>
  <si>
    <t>Tecan Group Ltd. (SWX:TECN)</t>
  </si>
  <si>
    <t>Waters Corporation (NYSE:WAT)</t>
  </si>
  <si>
    <t>West Pharmaceutical Services, Inc. (NYSE:WST)</t>
  </si>
  <si>
    <t xml:space="preserve">10x Genomics, Inc. </t>
  </si>
  <si>
    <t xml:space="preserve">AbCellera Biologics Inc. </t>
  </si>
  <si>
    <t xml:space="preserve">AddLife AB (publ) </t>
  </si>
  <si>
    <t xml:space="preserve">Bachem Holding AG </t>
  </si>
  <si>
    <t xml:space="preserve">Bio-Rad Laboratories, Inc. </t>
  </si>
  <si>
    <t xml:space="preserve">Bio-Techne Corporation </t>
  </si>
  <si>
    <t xml:space="preserve">Bruker Corporation </t>
  </si>
  <si>
    <t xml:space="preserve">Charles River Laboratories International, Inc. </t>
  </si>
  <si>
    <t xml:space="preserve">Clinigen Group plc </t>
  </si>
  <si>
    <t xml:space="preserve">Evotec SE </t>
  </si>
  <si>
    <t xml:space="preserve">Gerresheimer AG </t>
  </si>
  <si>
    <t xml:space="preserve">Maravai LifeSciences Holdings, Inc. </t>
  </si>
  <si>
    <t xml:space="preserve">Medpace Holdings, Inc. </t>
  </si>
  <si>
    <t xml:space="preserve">NeoGenomics, Inc. </t>
  </si>
  <si>
    <t xml:space="preserve">QIAGEN N.V. </t>
  </si>
  <si>
    <t xml:space="preserve">Repligen Corporation </t>
  </si>
  <si>
    <t xml:space="preserve">Sartorius Stedim Biotech S.A. </t>
  </si>
  <si>
    <t xml:space="preserve">Siegfried Holding AG </t>
  </si>
  <si>
    <t xml:space="preserve">Sotera Health Company </t>
  </si>
  <si>
    <t xml:space="preserve">Stevanato Group S.p.A. </t>
  </si>
  <si>
    <t xml:space="preserve">Tecan Group Ltd. </t>
  </si>
  <si>
    <t xml:space="preserve">Waters Corporation </t>
  </si>
  <si>
    <t xml:space="preserve">West Pharmaceutical Services, Inc. </t>
  </si>
  <si>
    <t>Data as of 04/02/2022</t>
  </si>
  <si>
    <t>Life Sciences Tools and Services (Primary)</t>
  </si>
  <si>
    <t>United States and Canada (Primary)</t>
  </si>
  <si>
    <t>European Developed Markets (Primary)</t>
  </si>
  <si>
    <t>10x Genomics, Inc., a life science technology company, develops and sells instruments, consumables, and software for analyzing biological systems in North America, Europe, the Middle East, Africa, China, and the Asia Pacific. The company provides chromium and chromium connect instruments, microfluidic chips, slides, reagents, and other consumables products. Its single cell solutions runs on its chromium instruments, which include single cell gene expression for measuring gene activity on a cell-by-cell basis; single cell immune profiling for measuring the activity of immune cells and their targets; single cell ATAC for measuring epigenetics comprising the physical organization of DNA; and single cell multiome ATAC + gene expression for measuring the genetic activity and epigenetic programming in the same cells across tens of thousands of cells in a single experiment. The company also provides visium spatial gene expression solution for measuring spatial gene expression patterns across a single tissue sample or gene expression and protein co-detection when combined with immunofluorescence. It serves various academic, government, biopharmaceutical, biotechnology, and other institutions. The company was formerly known as 10X Technologies, Inc. and changed its name to 10x Genomics, Inc. in November 2014. 10x Genomics, Inc. was incorporated in 2012 and is headquartered in Pleasanton, California.</t>
  </si>
  <si>
    <t>AbCellera Biologics Inc. develops antibody discovery platform. Its full-stack, AI-powered drug discovery platform searches and analyzes the database of natural immune systems to find antibodies that can be developed as drugs. As of December 31, 2020, the company had 103 discovery programs that are either completed, in progress, or under contract. It has a discovery partnership agreement with Eli Lilly and Company. AbCellera Biologics Inc. was founded in 2012 and is headquartered in Vancouver, Canada.</t>
  </si>
  <si>
    <t>AddLife AB (publ), together with its subsidiaries, provides equipment, medical devices, and reagents primarily to healthcare system, research, colleges, and universities, as well as the food and pharmaceutical industries. The company operates in two segments, Labtech and Medtech. The Labtech segment offers products, solutions, and services in the areas of diagnostics, and biomedical research and laboratory equipment for haematology, pathology, point-of-care diagnostics, cell biology, genetics, microbiology, virology, molecular biology, clinical chemistry, immunology, consumables, and analytical instruments segments. This segment also offers support, maintenance, advice, and training services. The Medtech segment provides medical device products for surgery, respiration, intensive care, wound care, enteral nutrition, fall prevention, welfare technology, ear, and nose and throat segments, as well as bathroom-related assistive devices and assistive devices for children with disabilities. It operates in Sweden, Finland, Denmark, Norway, the United Kingdom, Ireland, Germany, Italy, Austria, Switzerland, rest of Europe, and internationally. AddLife AB (publ) was founded in 1906 and is based in Stockholm, Sweden.</t>
  </si>
  <si>
    <t>Bachem Holding AG, a technology-based biochemicals company, provides services to the pharmaceutical and biotechnology industries primarily in Switzerland, the United States, Germany, Ireland, the United Kingdom, Austria, Japan, and internationally. It develops and manufactures peptide and oligonucleotides as active pharmaceutical ingredients (APIs), as well as biochemicals for research purposes. The company offers research products, which include peptides, amino acid derivatives, and biochemicals for peptide research; and custom synthesis services. It also provides API products comprising generic APIs used in the fields of cancer, diabetes, obesity, fertility, and others; and peptides for new chemical entities. In addition, the company offers oligonucleotide-based APIs, as well as customer support services. Bachem Holding AG was founded in 1971 and is headquartered in Bubendorf, Switzerland. Bachem Holding AG is a subsidiary of Ingro Finanz AG.</t>
  </si>
  <si>
    <t>Bio-Rad Laboratories, Inc. develops, manufactures, and markets life science research and clinical diagnostic products in the United States, Europe, Asia,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</si>
  <si>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Bio-Techne Corporation, together with its subsidiaries, develops, manufactures, and sells life science reagents, instruments, and services for the research, and diagnostics and bioprocessing markets worldwide. The company operates through two segments, Protein Sciences, and Diagnostics and Genomics. The Protein Sciences segment provides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provides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nucleic acid analysis products for use in diagnostic or research applications, as well as instruments and process control products for hematology, blood chemistry, blood gases, and coagulation controls and reagents used in various diagnostic applications. It offers its products under R&amp;D Systems, Novus Biologicals, Tocris Biosciences, ProteinSimple, Advanced Cell Diagnostics, and ExosomeDx brands. Bio-Techne Corporation has a clinical research collaboration with Carterra Inc. for the study of COVID-19 variants. The company was formerly known as Techne Corporation and changed its name to Bio-Techne Corporation in November 2014. Bio-Techne Corporation was founded in 1976 and is headquartered in Minneapolis, Minnesota.</t>
  </si>
  <si>
    <t>Bruker Corporation develops, manufactures, and distributes scientific instruments, and analytical and diagnostic solutions in the United States, Europe, the Asia Pacific, and internationally. The company operates through three segments: Bruker Scientific Instruments (BSI) Life Science, BSI NANO, and Bruker Energy &amp; Supercon Technologies. It offers life science tools based on magnetic resonance technology;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detection. The company also provides X-ray instruments, atomic force microscopy instrumentation, fluorescence optical microscopy instruments, analytical tools for electron microscopes and X-ray metrology, defect-detection equipment for semiconductor process control, and spark optical emission spectroscopy systems, as well as handheld, portable, and mobile X-ray fluorescence spectrometry instruments. In addition, it offers superconducting and non-superconducting materials and devices. The company serves academic and government research customers; pharmaceutical and biotechnology, diagnostics, chemical, food and beverage, clinical, nanotechnology, semiconductor, and other industrial companies; nonprofit laboratories; academic institutions and medical schools; contract research organizations; nonprofit and for-profit forensics, and environmental and clinical microbiology laboratories; agriculture, food, and beverage safety laboratories; hospitals and government departments; agencies; raw material manufacturers; and other businesses involved in materials analysis through direct sales forces, distributors, independent sales representatives, and other representatives. Bruker Corporation was incorporated in 1991 and is headquartered in Billerica, Massachusetts.</t>
  </si>
  <si>
    <t>Charles River Laboratories International, Inc., an early-stage contract research company, provides drug discovery, non-clinical development, and safety testing services in the United States, Europe, Canada, the Asia Pacific, and internationally. It operates through three segments: Research Models and Services (RMS), Discovery and Safety Assessment (DSA), and Manufacturing Support (Manufacturing). The RMS segment produces and sells research model strains and purpose-bred rats and mice for use by researchers. It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and chemical compounds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It also offers specialized testing of biologics that are outsourced by pharmaceutical and biotechnology companies; and avian vaccine services that provide specific-pathogen-free (SPF) fertile chicken eggs, SPF chickens, and diagnostic products used to manufacture vaccines. The company was founded in 1947 and is based in Wilmington, Massachusetts.</t>
  </si>
  <si>
    <t>Clinigen Group plc operates as a pharmaceutical and services company in the United Kingdom, rest of Europe, the United States, South Africa, Australia, and internationally. It operates through Services and Products divisions. The company provides a set of niche and high value services to pharma and biotech clients prior to product launch. It also provides access to critical medicines around the world for patients with unmet needs. In addition, the company provides a portfolio of specialist medicines to service the needs of healthcare professionals and their patients in both licensed and unlicensed markets. Further, it offers Nortriptyline Colonis for the treatment of depressive disorder; Metformin Colonis for the treatment of type 2 diabetes mellitus; Magnesium Chewable Tablets, an oral magnesium supplements for the treatment of patients with chronic magnesium loss; Iloprost, a concentrate for solution for infusion; Glycopyrronium Bromide, an oral solution for the treatment of severe sialorrhoea; Acetylcysteine, an oral solution for the treatment of respiratory disorders associated with thick, viscous, and mucus hypersecretion; Cardioxane that protects the heart against the cardiotoxic effects of anthracyclines; Ethyol, which protect against the harmful effects of chemotherapy medications and radiation treatment; Proleukin for the treatment of kidney cancer; Imukin that is used in chronic granulomatous disease; Totect, a dexrazoxane product; Foscavir, an anti-virals that work by stopping viruses from multiplying in number; and Savene, which is indicated in adults for the treatment of anthracycline extravasation. The company was incorporated in 2008 and is headquartered in Burton-on-Trent, the United Kingdom.</t>
  </si>
  <si>
    <t>Evotec SE operates as a drug discovery and development partner for the pharmaceutical and biotechnology industry worldwide. The company is developing pharmaceutical products in various therapeutic areas, such as neuronal diseases, diabetes and complications of diabetes, pain, inflammation, oncology, infectious diseases, respiratory diseases, fibrosis, rare diseases, and women’s health. It has collaboration agreements with Bayer AG; Chinook Therapeutics; Novo Nordisk A/S; Galapagos; Pfizer Inc.; CONBA Pharmaceutical Co., Ltd.; Celgene; Kazia Therapeutics; Apeiron Biologics; and Takeda Pharmaceuticals. The company was formerly known as Evotec AG and changed its name to Evotec SE in April 2019. Evotec SE was incorporated in 1993 and is headquartered in Hamburg, Germany.</t>
  </si>
  <si>
    <t>Gerresheimer AG, together with its subsidiaries, manufactures and sells specialty glass, plastic products, and drug delivery-devices and solutions primarily worldwide. It operates through three divisions: Plastics &amp; Devices, Primary Packaging Glass, and Advanced Technologies. The Plastics &amp; Devices division offers drug delivery systems, including inhalers, pen systems, and injection systems; sterile and non-sterile syringe systems for the pharmaceutical and biotech industries; and disposables for various analysis systems that are used in laboratories and medical practices, quick tests for patients in medical practices or hospitals, skin-prick aids and lancets for diabetics, disposables, and components for dialysis machines, and catheters and surgical devices. It also provides containers for the delivery of tablets and powders, liquid dosages, ophthalmic and rhinological applications, parenteral packaging applications, oral prescription medications, and cosmetics. The Primary Packaging Glass division offers glass primary packaging for pharma and cosmetics industries, such as ampoules, cartridges, vials, syrup and dropper bottles, tablet jars, and wide-neck jars, as well as injection, infusion, and transfusion bottles; flacons and pots for fragrances, deodorants, and care and decorative cosmetics; and bottles and jars for spirits and food. The Advanced Technologies division develops drug delivery products and platforms, such as micro pumps, which are used to self-administer medication for heart failure or Parkinson’s for pharmaceutical and biotech customers. The company was founded in 1864 and is headquartered in Düsseldorf, Germany.</t>
  </si>
  <si>
    <t>Maravai LifeSciences Holdings, Inc., a life sciences company, provides products to enable the development of drug therapies, diagnostics, novel vaccines, and support research on human diseases in the United States and internationally. The company’s products address the key phases of biopharmaceutical development and include nucleic acids for diagnostic and therapeutic applications, antibody-based products to detect impurities during the production of biopharmaceutical products, and products to detect the expression of proteins in tissues of various species. It operates in three segments: Nucleic Acid Production, Biologics Safety Testing, and Protein Detection. The Nucleic Acid Production segment manufactures and sells products for use in the fields of gene therapy, nucleoside chemistry, oligonucleotide therapy, and molecular diagnostics, including reagents used in the chemical synthesis, modification, labelling, and purification of deoxyribonucleic acid (DNA) and ribonucleic acid (RNA). This segment also offers messenger RNA, oligonucleotides, and oligonucleotide building blocks, as well as plasmid DNA and CleanCap capping technology. The Biologics Safety Testing segment sells analytical products for use in biologic manufacturing process development, including custom product-specific development antibody and assay development services. This segment also provides HCP ELISA kits, other bioprocess impurity and contaminant ELISA kits, ancillary reagents, and custom services. The Protein Detection segment sells labeling and detection reagents for researchers in immunohistochemistry, immunofluorescence, and glycobiology. The company serves biopharmaceutical companies, and other biopharmaceutical and life sciences research companies; and academic research institutions and in vitro diagnostics companies. Maravai LifeSciences Holdings, Inc. was incorporated in 2020 and is headquartered in San Diego, California.</t>
  </si>
  <si>
    <t>Medpace Holdings, Inc. provides clinical research-based drug and medical device development services in North America, Europe, and Asia. The company offers a suite of services supporting the clinical development process from Phase I to Phase IV in various therapeutic areas. It also provides clinical development services to the biotechnology, pharmaceutical, and medical device industries; and development plan design, coordinated central laboratory, project management, regulatory affairs, clinical monitoring, data management and analysis, pharmacovigilance new drug application submissions, and post-marketing clinical support services. The company also provides bio-analytical laboratory services, clinical human pharmacology, imaging services, and electrocardiography reading support for clinical trials. Medpace Holdings, Inc. was founded in 1992 and is based in Cincinnati, Ohio.</t>
  </si>
  <si>
    <t>NeoGenomics, Inc. operates a network of cancer-focused testing laboratories in the United States, Europe, and Asia. It operates in two segments, Clinical Services and Pharma Services. The company offers testing services to hospitals, reference labs, pathologists, oncologists, clinicians, pharmaceutical firms, and researchers It provides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and immunohistochemistry and digital imaging testing services to localize cellular proteins in tissue section, as well as to allow clients to visualize scanned slides, and perform quantitative analysis for various stains. The company also provides molecular testing services, which focus on the analysis of DNA and/or RNA, and the structure and function of genes at the molecular level; morphologic analysis, which is the process of analyzing cells under the microscope by a pathologist for the purpose of diagnosis; and testing services in support of its pharmaceutical clients’ oncology programs covering discovery and commercialization, as well as acts as a reference laboratory supplying anatomic pathology testing services. It has a strategic alliance agreement and laboratory services agreement with Inivata Limited; and has collaboration with Elevation Oncology to expand genomic testing for NRG1 fusions across solid tumors. The company was founded in 2001 and is headquartered in Fort Myers, Florida.</t>
  </si>
  <si>
    <t>QIAGEN N.V. provides sample to insight solutions that transform biological materials into molecular insights worldwide. The company offers primary sample technology consumables, such as nucleic stabilization and purification kits for primary sample materials, manual and automated processing for genotyping, gene expression, and viral and bacterial analysis, as well as silica membranes and magnetic bead technologies; secondary sample technology consumables, including kits and components for purification of nucleic acids from secondary sample materials; and instruments for nucleic acid purification and accessories. It also provides interferon-gamma release assay for TB testing, and assays for post-transplant testing and viral load monitoring; assays for analysis of genomic variants; and assays for prenatal testing and detection of sexually transmitted diseases and HPV; and sample to insight instruments, including one-step molecular analysis of hard-to-diagnose syndromes, and integrated PCR testing. The company offers PCR consumables, such as quantitative PCR, reverse transcription and combinations kits for analysis of gene expression, genotyping and gene regulation instruments and technologies; human ID and forensics assay consumables, including STR assays for human ID, and assays for food contamination; PCR instruments consist of digital PCR solutions; and developed and configured OEM consumables. It offers predefined and custom NGS gene panels, library prep kits and components, whole genome amplification, etc.; bioinformatics solutions; and custom laboratory and genomic services. It serves molecular diagnostics, academia, pharmaceutical, and applied testing customers. The company has collaboration agreements with Amgen Inc.; CLIA-certified laboratories; NuProbe Global; and Personal Genome Diagnostics Inc., as well as a strategic alliance agreement with Sysmex Corporation. The company was founded in 1986 and is headquartered in Venlo, the Netherlands.</t>
  </si>
  <si>
    <t>Repligen Corporation develops and commercializes bioprocessing technologies and systems for use in biological drug manufacturing process in North America, Europe,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offers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and FlowVPE brands. The company sells its products to life sciences, biopharmaceutical, and diagnostics companies; laboratory researchers; and contract manufacturing organizations. Repligen Corporation has collaboration agreements with Navigo Proteins GmbH to develop multiple affinity ligands; and Sartorius Stedim Biotech to create novel perfusion-enabled bioreactors. Repligen Corporation was incorporated in 1981 and is headquartered in Waltham, Massachusetts.</t>
  </si>
  <si>
    <t>Sartorius Stedim Biotech S.A. produces and sells instruments and consumables for the biopharmaceutical industry worldwide. The company offers various products, such as cell lines; cell culture media; bioreactors; and a range of products for separation, purification, and concentration processes, as well as products and systems for storage and transportation of intermediate and finished biological products. It also provides cell cultivation, fermentation, filtration, purification, and fluid management services; single-use and reusable hollow-fiber membrane devices, as well as presterilized assemblies for cell and gene therapy applications; and cell harvesting and various other solutions for intensified bioprocesses. In addition, the company offers data analytics software for modeling and optimizing processes of biopharmaceutical development and production. It serves manufacturers of pharmaceuticals, foods, and chemicals, as well as research and development laboratories. The company was founded in 1870 and is headquartered in Aubagne, France. Sartorius Stedim Biotech S.A. is a subsidiary of Sartorius AG.</t>
  </si>
  <si>
    <t>Siegfried Holding AG engages in the life sciences business worldwide. The company develops and produces active pharmaceutical ingredients (APIs) and intermediates, as well as finished dosage forms, including solid oral dosage forms, and sterile and aseptic filling liquid dosage forms. It offers contract development and manufacturing services, including process and chemical development, analytical development, pilot manufacturing and scale up, and commercial manufacturing. The company also provides APIs and controlled substances focusing on anesthetics, pain/addiction treatment applications, and central nervous and respiratory diseases, as well as caffeine for human health and nutrition. In addition, it licenses oral solid and sterile products; assembles registration dossiers; and offers a common technical document for various products. The company was founded in 1873 and is headquartered in Zofingen, Switzerland.</t>
  </si>
  <si>
    <t>Sotera Health Company provides sterilization, and lab testing and advisory services to the medical device, pharmaceutical, and food products industries in the Americas, Europe and Asia. The company’s sterilization services include gamma and electron beam irradiation, and EO processing; Nelson Labs comprise microbiological and analytical chemistry testing; and advisory services for medical device and biopharmaceutical industries. It serves medical devices; pharmaceuticals; food and agricultural products; and commercial, advanced, and specialty application industries. The company was formerly known as Sotera Health Topco, Inc. and changed its name to Sotera Health Company in October 2020. Sotera Health Company was incorporated in 2017 and is headquartered in Broadview Heights, Ohio.</t>
  </si>
  <si>
    <t>Stevanato Group S.p.A. engages in the design, production, and distribution of products and systems to provide integrated solutions for pharma and healthcare. Its principal products are linked to containment solutions, drug delivery systems, medical devices, diagnostic, analytical services, visual inspection machines, assembling and packaging machines, and glass forming machine. Stevanato Group S.p.A. was founded in 1949 and is based in Piombino Dese, Italy.</t>
  </si>
  <si>
    <t>Tecan Group Ltd. provides laboratory instruments and solutions for pharmaceutical and biotechnology companies, university research departments, and forensic and diagnostic laboratories. It operates through Life Sciences Business and Partnering Business segments. The company develops, produces, markets, and supports automated workflow solutions, including laboratory instruments, software packages, application knowhow, services, consumables, and spare parts; bioanalytical instruments, such as microplate readers and washers; and consulting, and service and consumables for genomics, protein analysis, and cell and tissue analysis. It also develops and manufactures laboratory instrument manufacturers with essential components comprising precision pumps, valves, robotic arms, and developer software for life science research, diagnostics, and various other industries; platform-based automation solutions for various molecular diagnostic tests; and dedicated automation solutions. The company operates in Switzerland and Other European countries, North America, Asia, and internationally. Tecan Group Ltd. was founded in 1980 and is headquartered in Männedorf, Switzerland.</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</si>
  <si>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The company has a collaboration with Genovis AB to develop and market biopharmaceutical characterization workflows based on the its BioAccord LC-MS System, Andrew+ pipetting robot and Genovis SmartEnzymes. Waters Corporation was founded in 1958 and is headquartered in Milford, Massachusetts.</t>
  </si>
  <si>
    <t>West Pharmaceutical Services, Inc. designs and produces containment and delivery systems for injectable drugs and healthcare products in the Americas, Europe,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</si>
  <si>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 xml:space="preserve">Capital IQ Company Screening Report &gt; Drug Discovery and Development </t>
  </si>
  <si>
    <t>German Equity Risk Premium</t>
  </si>
  <si>
    <t>tax</t>
  </si>
  <si>
    <t>Assumption</t>
  </si>
  <si>
    <t>Peer Group</t>
  </si>
  <si>
    <t xml:space="preserve">Life Sciences Tools and Services </t>
  </si>
  <si>
    <t xml:space="preserve">United States and Canada </t>
  </si>
  <si>
    <t>Region</t>
  </si>
  <si>
    <t>All</t>
  </si>
  <si>
    <t>Excluding Outliers + Target</t>
  </si>
  <si>
    <t xml:space="preserve">Net Income [2021] </t>
  </si>
  <si>
    <t>EBITDA [2021]</t>
  </si>
  <si>
    <t>Source: Financial Statements</t>
  </si>
  <si>
    <t xml:space="preserve">- Equity Value - FCFF </t>
  </si>
  <si>
    <t xml:space="preserve">DCF - FCFF </t>
  </si>
  <si>
    <t>EV/EBITDA [LTM]</t>
  </si>
  <si>
    <t>Close approximation given that no secondary database is present at our disposal</t>
  </si>
  <si>
    <t>Market Cap - Dec 30, 2021</t>
  </si>
  <si>
    <t>Intangibles Additions</t>
  </si>
  <si>
    <t>Total Enterprise Value [My Setting] [Latest] (€EURmm, Historical rate)</t>
  </si>
  <si>
    <t>Market Capitalization [My Setting] [Latest] (€EURmm, Historical rate)</t>
  </si>
  <si>
    <t>Day Close Price [Latest] (€EUR, Historical rate)</t>
  </si>
  <si>
    <t>Total Revenue [LTM] (€EURmm, Historical rate)</t>
  </si>
  <si>
    <t>EBITDA [LTM] (€EURmm, Historical rate)</t>
  </si>
  <si>
    <t>Net Income [LTM] (€EURmm, Historical rate)</t>
  </si>
  <si>
    <t>Cash And Equivalents [Latest Annual] (€EURmm, Historical rate)</t>
  </si>
  <si>
    <t>Total Assets [Latest Annual] (€EURmm, Historical rate)</t>
  </si>
  <si>
    <t>Total Debt [Latest Annual] (€EURmm, Historical rate)</t>
  </si>
  <si>
    <t>Total Equity [LTM] (€EURmm, Historical rate)</t>
  </si>
  <si>
    <t>Capital Expenditure [LTM] (€EURmm, Historical rate)</t>
  </si>
  <si>
    <t>Dividends per share [LTM] (€EUR, Historical rate)</t>
  </si>
  <si>
    <t>NasdaqGS:TXG</t>
  </si>
  <si>
    <t>NasdaqGS:ABCL</t>
  </si>
  <si>
    <t>OM:ALIF B</t>
  </si>
  <si>
    <t>SWX:BANB</t>
  </si>
  <si>
    <t>NYSE:BIO</t>
  </si>
  <si>
    <t>NasdaqGS:TECH</t>
  </si>
  <si>
    <t>NasdaqGS:BRKR</t>
  </si>
  <si>
    <t>NYSE:CRL</t>
  </si>
  <si>
    <t>AIM:CLIN</t>
  </si>
  <si>
    <t>XTRA:EVT</t>
  </si>
  <si>
    <t>XTRA:GXI</t>
  </si>
  <si>
    <t>NasdaqGS:MRVI</t>
  </si>
  <si>
    <t>NasdaqGS:MEDP</t>
  </si>
  <si>
    <t>NasdaqCM:NEO</t>
  </si>
  <si>
    <t>NYSE:QGEN</t>
  </si>
  <si>
    <t>NasdaqGS:RGEN</t>
  </si>
  <si>
    <t>ENXTPA:DIM</t>
  </si>
  <si>
    <t>SWX:SFZN</t>
  </si>
  <si>
    <t>NasdaqGS:SHC</t>
  </si>
  <si>
    <t>NYSE:STVN</t>
  </si>
  <si>
    <t>SWX:TECN</t>
  </si>
  <si>
    <t>NYSE:WAT</t>
  </si>
  <si>
    <t>NYSE:WST</t>
  </si>
  <si>
    <r>
      <t xml:space="preserve">1) </t>
    </r>
    <r>
      <rPr>
        <b/>
        <sz val="8"/>
        <color indexed="8"/>
        <rFont val="Arial"/>
        <family val="2"/>
      </rPr>
      <t xml:space="preserve">Company Type: </t>
    </r>
    <r>
      <rPr>
        <sz val="8"/>
        <color indexed="8"/>
        <rFont val="Arial"/>
        <family val="2"/>
      </rPr>
      <t>Public Company</t>
    </r>
  </si>
  <si>
    <r>
      <t xml:space="preserve">2) </t>
    </r>
    <r>
      <rPr>
        <b/>
        <sz val="8"/>
        <color indexed="8"/>
        <rFont val="Arial"/>
        <family val="2"/>
      </rPr>
      <t xml:space="preserve">Geographic Locations: </t>
    </r>
    <r>
      <rPr>
        <sz val="8"/>
        <color indexed="8"/>
        <rFont val="Arial"/>
        <family val="2"/>
      </rPr>
      <t>United States and Canada (Primary)</t>
    </r>
    <r>
      <rPr>
        <b/>
        <sz val="8"/>
        <color indexed="8"/>
        <rFont val="Arial"/>
        <family val="2"/>
      </rPr>
      <t xml:space="preserve"> OR </t>
    </r>
    <r>
      <rPr>
        <sz val="8"/>
        <color indexed="8"/>
        <rFont val="Arial"/>
        <family val="2"/>
      </rPr>
      <t>European Developed Markets (Primary)</t>
    </r>
  </si>
  <si>
    <r>
      <t xml:space="preserve">3) </t>
    </r>
    <r>
      <rPr>
        <b/>
        <sz val="8"/>
        <color indexed="8"/>
        <rFont val="Arial"/>
        <family val="2"/>
      </rPr>
      <t xml:space="preserve">Industry Classifications: </t>
    </r>
    <r>
      <rPr>
        <sz val="8"/>
        <color indexed="8"/>
        <rFont val="Arial"/>
        <family val="2"/>
      </rPr>
      <t>Pharmaceutical Contract Research Organization (Primary)</t>
    </r>
    <r>
      <rPr>
        <b/>
        <sz val="8"/>
        <color indexed="8"/>
        <rFont val="Arial"/>
        <family val="2"/>
      </rPr>
      <t xml:space="preserve"> OR </t>
    </r>
    <r>
      <rPr>
        <sz val="8"/>
        <color indexed="8"/>
        <rFont val="Arial"/>
        <family val="2"/>
      </rPr>
      <t>Life Sciences Tools and Services (Primary)</t>
    </r>
  </si>
  <si>
    <r>
      <t xml:space="preserve">4) </t>
    </r>
    <r>
      <rPr>
        <b/>
        <sz val="8"/>
        <color indexed="8"/>
        <rFont val="Arial"/>
        <family val="2"/>
      </rPr>
      <t xml:space="preserve">Total Revenue [LTM] (€EURmm, Historical rate): </t>
    </r>
    <r>
      <rPr>
        <sz val="8"/>
        <color indexed="8"/>
        <rFont val="Arial"/>
        <family val="2"/>
      </rPr>
      <t>is between 300 and 3000 (Unreported data set to 0)</t>
    </r>
  </si>
  <si>
    <t>Equity Value - DCF</t>
  </si>
  <si>
    <t>Equity Value - Closing Price</t>
  </si>
  <si>
    <t>Premium assumed</t>
  </si>
  <si>
    <t xml:space="preserve">Shares bought </t>
  </si>
  <si>
    <t>Shares Outstanding as of Dec 31, 2020</t>
  </si>
  <si>
    <t>Share Price as of Dec 31. 2021</t>
  </si>
  <si>
    <t>Total acquisition price including premium</t>
  </si>
  <si>
    <t># '000</t>
  </si>
  <si>
    <t>Total acquisition valuation including premium</t>
  </si>
  <si>
    <t>Funding Mix:</t>
  </si>
  <si>
    <t>Share Price including premium</t>
  </si>
  <si>
    <t>Switch Levereged Buyout?</t>
  </si>
  <si>
    <t>Yes</t>
  </si>
  <si>
    <t>No</t>
  </si>
  <si>
    <t xml:space="preserve">On Evotec Books </t>
  </si>
  <si>
    <t>On Sponsors' Books</t>
  </si>
  <si>
    <t>Debt:</t>
  </si>
  <si>
    <t xml:space="preserve">Adiitional Capital </t>
  </si>
  <si>
    <t>Equity_Add_Share_Capital_Closing_Bal</t>
  </si>
  <si>
    <t>Equity_Add_Share_Capital_Repayment</t>
  </si>
  <si>
    <t>§</t>
  </si>
  <si>
    <t>SAR '000</t>
  </si>
  <si>
    <t>SAR</t>
  </si>
  <si>
    <t>SARobor</t>
  </si>
  <si>
    <t>Inputs_Basecase_SARobor</t>
  </si>
  <si>
    <t>Amounts in SARos - Thousands</t>
  </si>
  <si>
    <t>SAR Mn</t>
  </si>
  <si>
    <t>(SARmn)</t>
  </si>
  <si>
    <t>10x Genomics, Inc., a life science technology company, develops and sells instruments, consumables, and software for analyzing biological systems in North America, SARope, the Middle East, Africa, China, and the Asia Pacific. The company provides chromium and chromium connect instruments, microfluidic chips, slides, reagents, and other consumables products. Its single cell solutions runs on its chromium instruments, which include single cell gene expression for measuring gene activity on a cell-by-cell basis; single cell immune profiling for measuring the activity of immune cells and their targets; single cell ATAC for measuring epigenetics comprising the physical organization of DNA; and single cell multiome ATAC + gene expression for measuring the genetic activity and epigenetic programming in the same cells across tens of thousands of cells in a single experiment. The company also provides visium spatial gene expression solution for measuring spatial gene expression patterns across a single tissue sample or gene expression and protein co-detection when combined with immunofluorescence. It serves various academic, government, biopharmaceutical, biotechnology, and other institutions. The company was formerly known as 10X Technologies, Inc. and changed its name to 10x Genomics, Inc. in November 2014. 10x Genomics, Inc. was incorporated in 2012 and is headquartered in Pleasanton, California.</t>
  </si>
  <si>
    <t xml:space="preserve">SARopean Developed Markets </t>
  </si>
  <si>
    <t>AddLife AB (publ), together with its subsidiaries, provides equipment, medical devices, and reagents primarily to healthcare system, research, colleges, and universities, as well as the food and pharmaceutical industries. The company operates in two segments, Labtech and Medtech. The Labtech segment offers products, solutions, and services in the areas of diagnostics, and biomedical research and laboratory equipment for haematology, pathology, point-of-care diagnostics, cell biology, genetics, microbiology, virology, molecular biology, clinical chemistry, immunology, consumables, and analytical instruments segments. This segment also offers support, maintenance, advice, and training services. The Medtech segment provides medical device products for surgery, respiration, intensive care, wound care, enteral nutrition, fall prevention, welfare technology, ear, and nose and throat segments, as well as bathroom-related assistive devices and assistive devices for children with disabilities. It operates in Sweden, Finland, Denmark, Norway, the United Kingdom, Ireland, Germany, Italy, Austria, Switzerland, rest of SARope, and internationally. AddLife AB (publ) was founded in 1906 and is based in Stockholm, Sweden.</t>
  </si>
  <si>
    <t>Bio-Rad Laboratories, Inc. develops, manufactures, and markets life science research and clinical diagnostic products in the United States, SARope, Asia,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</si>
  <si>
    <t>Bruker Corporation develops, manufactures, and distributes scientific instruments, and analytical and diagnostic solutions in the United States, SARope, the Asia Pacific, and internationally. The company operates through three segments: Bruker Scientific Instruments (BSI) Life Science, BSI NANO, and Bruker Energy &amp; Supercon Technologies. It offers life science tools based on magnetic resonance technology; life science mass spectrometry and ion mobility spectrometry solutions; analytical and process analysis instruments and solutions based on infrared and Raman molecular spectroscopy technologies; and radiological/nuclear detectors for chemical, biological, radiological, nuclear, and explosive detection. The company also provides X-ray instruments, atomic force microscopy instrumentation, fluorescence optical microscopy instruments, analytical tools for electron microscopes and X-ray metrology, defect-detection equipment for semiconductor process control, and spark optical emission spectroscopy systems, as well as handheld, portable, and mobile X-ray fluorescence spectrometry instruments. In addition, it offers superconducting and non-superconducting materials and devices. The company serves academic and government research customers; pharmaceutical and biotechnology, diagnostics, chemical, food and beverage, clinical, nanotechnology, semiconductor, and other industrial companies; nonprofit laboratories; academic institutions and medical schools; contract research organizations; nonprofit and for-profit forensics, and environmental and clinical microbiology laboratories; agriculture, food, and beverage safety laboratories; hospitals and government departments; agencies; raw material manufacturers; and other businesses involved in materials analysis through direct sales forces, distributors, independent sales representatives, and other representatives. Bruker Corporation was incorporated in 1991 and is headquartered in Billerica, Massachusetts.</t>
  </si>
  <si>
    <t>Charles River Laboratories International, Inc., an early-stage contract research company, provides drug discovery, non-clinical development, and safety testing services in the United States, SARope, Canada, the Asia Pacific, and internationally. It operates through three segments: Research Models and Services (RMS), Discovery and Safety Assessment (DSA), and Manufacturing Support (Manufacturing). The RMS segment produces and sells research model strains and purpose-bred rats and mice for use by researchers. It also provides a range of services to assist its clients in supporting the use of research models in research and screening non-clinical drug candidates, including research models, genetically engineered models and services, insourcing solutions, and research animal diagnostic services. The DSA segment offers early and in vivo discovery services for the identification and validation of novel targets and chemical compounds through delivery of non-clinical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It also offers specialized testing of biologics that are outsourced by pharmaceutical and biotechnology companies; and avian vaccine services that provide specific-pathogen-free (SPF) fertile chicken eggs, SPF chickens, and diagnostic products used to manufacture vaccines. The company was founded in 1947 and is based in Wilmington, Massachusetts.</t>
  </si>
  <si>
    <t>Clinigen Group plc operates as a pharmaceutical and services company in the United Kingdom, rest of SARope, the United States, South Africa, Australia, and internationally. It operates through Services and Products divisions. The company provides a set of niche and high value services to pharma and biotech clients prior to product launch. It also provides access to critical medicines around the world for patients with unmet needs. In addition, the company provides a portfolio of specialist medicines to service the needs of healthcare professionals and their patients in both licensed and unlicensed markets. Further, it offers Nortriptyline Colonis for the treatment of depressive disorder; Metformin Colonis for the treatment of type 2 diabetes mellitus; Magnesium Chewable Tablets, an oral magnesium supplements for the treatment of patients with chronic magnesium loss; Iloprost, a concentrate for solution for infusion; Glycopyrronium Bromide, an oral solution for the treatment of severe sialorrhoea; Acetylcysteine, an oral solution for the treatment of respiratory disorders associated with thick, viscous, and mucus hypersecretion; Cardioxane that protects the heart against the cardiotoxic effects of anthracyclines; Ethyol, which protect against the harmful effects of chemotherapy medications and radiation treatment; Proleukin for the treatment of kidney cancer; Imukin that is used in chronic granulomatous disease; Totect, a dexrazoxane product; Foscavir, an anti-virals that work by stopping viruses from multiplying in number; and Savene, which is indicated in adults for the treatment of anthracycline extravasation. The company was incorporated in 2008 and is headquartered in Burton-on-Trent, the United Kingdom.</t>
  </si>
  <si>
    <t>Evotec SE operates as a drug discovery and development partner for the pharmaceutical and biotechnology industry worldwide. The company is developing pharmaceutical products in various therapeutic areas, such as nSARonal diseases, diabetes and complications of diabetes, pain, inflammation, oncology, infectious diseases, respiratory diseases, fibrosis, rare diseases, and women’s health. It has collaboration agreements with Bayer AG; Chinook Therapeutics; Novo Nordisk A/S; Galapagos; Pfizer Inc.; CONBA Pharmaceutical Co., Ltd.; Celgene; Kazia Therapeutics; Apeiron Biologics; and Takeda Pharmaceuticals. The company was formerly known as Evotec AG and changed its name to Evotec SE in April 2019. Evotec SE was incorporated in 1993 and is headquartered in Hamburg, Germany.</t>
  </si>
  <si>
    <t>Medpace Holdings, Inc. provides clinical research-based drug and medical device development services in North America, SARope, and Asia. The company offers a suite of services supporting the clinical development process from Phase I to Phase IV in various therapeutic areas. It also provides clinical development services to the biotechnology, pharmaceutical, and medical device industries; and development plan design, coordinated central laboratory, project management, regulatory affairs, clinical monitoring, data management and analysis, pharmacovigilance new drug application submissions, and post-marketing clinical support services. The company also provides bio-analytical laboratory services, clinical human pharmacology, imaging services, and electrocardiography reading support for clinical trials. Medpace Holdings, Inc. was founded in 1992 and is based in Cincinnati, Ohio.</t>
  </si>
  <si>
    <t>NeoGenomics, Inc. operates a network of cancer-focused testing laboratories in the United States, SARope, and Asia. It operates in two segments, Clinical Services and Pharma Services. The company offers testing services to hospitals, reference labs, pathologists, oncologists, clinicians, pharmaceutical firms, and researchers It provides cytogenetics testing services to study normal and abnormal chromosomes and their relationship to diseases; fluorescence in-situ hybridization testing services that focus on detecting and locating the presence or absence of specific DNA sequences and genes on chromosomes; flow cytometry testing services to measure the characteristics of cell populations; and immunohistochemistry and digital imaging testing services to localize cellular proteins in tissue section, as well as to allow clients to visualize scanned slides, and perform quantitative analysis for various stains. The company also provides molecular testing services, which focus on the analysis of DNA and/or RNA, and the structure and function of genes at the molecular level; morphologic analysis, which is the process of analyzing cells under the microscope by a pathologist for the purpose of diagnosis; and testing services in support of its pharmaceutical clients’ oncology programs covering discovery and commercialization, as well as acts as a reference laboratory supplying anatomic pathology testing services. It has a strategic alliance agreement and laboratory services agreement with Inivata Limited; and has collaboration with Elevation Oncology to expand genomic testing for NRG1 fusions across solid tumors. The company was founded in 2001 and is headquartered in Fort Myers, Florida.</t>
  </si>
  <si>
    <t>Repligen Corporation develops and commercializes bioprocessing technologies and systems for use in biological drug manufacturing process in North America, SARope, the Asia Pacific, and internationally. It offers Protein A ligands that are the binding components of Protein A affinity chromatography resins; and cell culture growth factor products. The company’s chromatography products include OPUS pre-packed chromatography columns, which are used in the purification of biologics; and OPUS smaller-scale columns that are used in the high throughput process development screening, viral clearance validation studies, and scale down validation of chromatography processes. It also offers ELISA test kits; and chromatography resins under the CaptivA brand. In addition, the company offers filtration products, such as XCell Alternating Tangential Flow systems that are filtration devices used in upstream perfusion and cell culture processing; TangenX flat sheet cassettes, which are used in downstream biologic drug concentration and formulation processes; KrosFlo tangential flow filtration and tangential flow depth filtration systems; Spectra/Por laboratory and process dialysis products, and SpectraFlo dynamic dialysis systems; and ProConnex single-use hollow fiber. Further, it provides process analytics products, such as slope spectroscopy systems under the SoloVPE and FlowVPE brands. The company sells its products to life sciences, biopharmaceutical, and diagnostics companies; laboratory researchers; and contract manufacturing organizations. Repligen Corporation has collaboration agreements with Navigo Proteins GmbH to develop multiple affinity ligands; and Sartorius Stedim Biotech to create novel perfusion-enabled bioreactors. Repligen Corporation was incorporated in 1981 and is headquartered in Waltham, Massachusetts.</t>
  </si>
  <si>
    <t>Sotera Health Company provides sterilization, and lab testing and advisory services to the medical device, pharmaceutical, and food products industries in the Americas, SARope and Asia. The company’s sterilization services include gamma and electron beam irradiation, and EO processing; Nelson Labs comprise microbiological and analytical chemistry testing; and advisory services for medical device and biopharmaceutical industries. It serves medical devices; pharmaceuticals; food and agricultural products; and commercial, advanced, and specialty application industries. The company was formerly known as Sotera Health Topco, Inc. and changed its name to Sotera Health Company in October 2020. Sotera Health Company was incorporated in 2017 and is headquartered in Broadview Heights, Ohio.</t>
  </si>
  <si>
    <t>Tecan Group Ltd. provides laboratory instruments and solutions for pharmaceutical and biotechnology companies, university research departments, and forensic and diagnostic laboratories. It operates through Life Sciences Business and Partnering Business segments. The company develops, produces, markets, and supports automated workflow solutions, including laboratory instruments, software packages, application knowhow, services, consumables, and spare parts; bioanalytical instruments, such as microplate readers and washers; and consulting, and service and consumables for genomics, protein analysis, and cell and tissue analysis. It also develops and manufactures laboratory instrument manufacturers with essential components comprising precision pumps, valves, robotic arms, and developer software for life science research, diagnostics, and various other industries; platform-based automation solutions for various molecular diagnostic tests; and dedicated automation solutions. The company operates in Switzerland and Other SARopean countries, North America, Asia, and internationally. Tecan Group Ltd. was founded in 1980 and is headquartered in Männedorf, Switzerland.</t>
  </si>
  <si>
    <t>Waters Corporation, a specialty measurement company, provides analytical workflow solutions in Asia, the Americas, and SARope.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The company has a collaboration with Genovis AB to develop and market biopharmaceutical characterization workflows based on the its BioAccord LC-MS System, Andrew+ pipetting robot and Genovis SmartEnzymes. Waters Corporation was founded in 1958 and is headquartered in Milford, Massachusetts.</t>
  </si>
  <si>
    <t>West Pharmaceutical Services, Inc. designs and produces containment and delivery systems for injectable drugs and healthcare products in the Americas, SARope, the Middle East, Africa, and the Asia Pacific. The company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It serves pharmaceutical, diagnostic, and medical device companies. The company distributes its products through its sales force and distribution network, as well as contract sales agents and regional distributors. West Pharmaceutical Services, Inc. was incorporated in 1923 and is headquartered in Exton, Pennsylvania.</t>
  </si>
  <si>
    <t>Alusystems - KSA</t>
  </si>
  <si>
    <t>Project Alsystems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</si>
</sst>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164" formatCode="_(* #,##0.00_);_(* \(#,##0.00\);_(* &quot;-&quot;??_);_(@_)"/>
    <numFmt numFmtId="165" formatCode="yyyy"/>
    <numFmt numFmtId="166" formatCode="0.0%"/>
    <numFmt numFmtId="167" formatCode="_(* #,##0_);_(* \(#,##0\);_(* &quot;-&quot;??_);_(@_)"/>
    <numFmt numFmtId="168" formatCode="#,##0;_(* \(#,##0\);_(* &quot;-&quot;??_);_(@_)"/>
    <numFmt numFmtId="169" formatCode="_(#,##0_);_(* \(#,##0\);_(* &quot;-&quot;??_);_(@_)"/>
    <numFmt numFmtId="170" formatCode="_(* #,##0.0_);_(* \(#,##0.0\);_(* &quot;-&quot;??_);_(@_)"/>
    <numFmt numFmtId="171" formatCode="_(* #,##0.000_);_(* \(#,##0.000\);_(* &quot;-&quot;??_);_(@_)"/>
    <numFmt numFmtId="172" formatCode="#,##0_);[Red]\(#,##0\);\-_)"/>
    <numFmt numFmtId="173" formatCode="[$-409]d\-mmm\-yy;@"/>
    <numFmt numFmtId="174" formatCode="[$-F800]dddd\,\ mmmm\ dd\,\ yyyy"/>
    <numFmt numFmtId="175" formatCode="[$-409]d/mmm/yy;@"/>
    <numFmt numFmtId="176" formatCode="_(* #,##0_);_(* \(#,##0\);_(* &quot;-&quot;_);@_)"/>
    <numFmt numFmtId="177" formatCode="#,##0.00;\(#,##0.00\);\-;@"/>
    <numFmt numFmtId="178" formatCode="0.0000%"/>
    <numFmt numFmtId="179" formatCode="0.0"/>
    <numFmt numFmtId="180" formatCode="_(* #,##0.0#_);_(* \(#,##0.0#\)_)\ ;_(* 0_)"/>
    <numFmt numFmtId="181" formatCode="_(* #,##0.0##_);_(* \(#,##0.0##\)_)\ ;_(* 0_)"/>
    <numFmt numFmtId="182" formatCode="_(* #,##0.0_);_(* \(#,##0.0\)_)\ ;_(* 0_)"/>
    <numFmt numFmtId="183" formatCode="_(* #,##0_);_(* \(#,##0\)_)\ ;_(* 0_)"/>
    <numFmt numFmtId="184" formatCode="_(\ #,##0.0#_);_(\(\ #,##0.0#\)_);_(\ &quot; - &quot;_)"/>
    <numFmt numFmtId="185" formatCode="0.0\x"/>
    <numFmt numFmtId="186" formatCode="#,##0.0\x_);\(#,##0.0\x\);\-_);@"/>
    <numFmt numFmtId="187" formatCode="#,##0\x_);\(#,##0\x\);\-_);@"/>
    <numFmt numFmtId="188" formatCode="_(* #,##0.0_);_(* \(#,##0.0\);_(* &quot;-&quot;?_);_(@_)"/>
  </numFmts>
  <fonts count="99" x14ac:knownFonts="1">
    <font>
      <sz val="11"/>
      <color theme="1"/>
      <name val="Calibri"/>
      <family val="2"/>
      <scheme val="minor"/>
    </font>
    <font>
      <sz val="11"/>
      <color theme="1"/>
      <name val="Calibri"/>
      <family val="2"/>
      <scheme val="minor"/>
    </font>
    <font>
      <sz val="9.5"/>
      <color theme="1"/>
      <name val="Arial"/>
      <family val="2"/>
    </font>
    <font>
      <sz val="9.5"/>
      <color theme="0" tint="-0.34998626667073579"/>
      <name val="Arial"/>
      <family val="2"/>
    </font>
    <font>
      <i/>
      <sz val="9.5"/>
      <color rgb="FF141EDC"/>
      <name val="Arial"/>
      <family val="2"/>
    </font>
    <font>
      <b/>
      <u/>
      <sz val="9.5"/>
      <color theme="1"/>
      <name val="Arial"/>
      <family val="2"/>
    </font>
    <font>
      <i/>
      <sz val="9.5"/>
      <color theme="1"/>
      <name val="Arial"/>
      <family val="2"/>
    </font>
    <font>
      <sz val="9.5"/>
      <name val="Arial"/>
      <family val="2"/>
    </font>
    <font>
      <sz val="9.5"/>
      <color rgb="FFC00000"/>
      <name val="Arial"/>
      <family val="2"/>
    </font>
    <font>
      <b/>
      <sz val="12"/>
      <color theme="1"/>
      <name val="Calibri"/>
      <family val="2"/>
      <scheme val="minor"/>
    </font>
    <font>
      <b/>
      <sz val="9.5"/>
      <color theme="1"/>
      <name val="Arial"/>
      <family val="2"/>
    </font>
    <font>
      <b/>
      <i/>
      <sz val="9.5"/>
      <color rgb="FF141EDC"/>
      <name val="Arial"/>
      <family val="2"/>
    </font>
    <font>
      <sz val="9.5"/>
      <color rgb="FFFF0000"/>
      <name val="Arial"/>
      <family val="2"/>
    </font>
    <font>
      <b/>
      <sz val="9.5"/>
      <color theme="0" tint="-0.34998626667073579"/>
      <name val="Arial"/>
      <family val="2"/>
    </font>
    <font>
      <b/>
      <i/>
      <sz val="9.5"/>
      <color theme="1"/>
      <name val="Arial"/>
      <family val="2"/>
    </font>
    <font>
      <sz val="9.5"/>
      <color theme="7"/>
      <name val="Arial"/>
      <family val="2"/>
    </font>
    <font>
      <sz val="11"/>
      <color theme="1"/>
      <name val="Arial"/>
      <family val="2"/>
    </font>
    <font>
      <b/>
      <sz val="11"/>
      <color theme="1"/>
      <name val="Arial"/>
      <family val="2"/>
    </font>
    <font>
      <b/>
      <sz val="10"/>
      <name val="Arial"/>
      <family val="2"/>
    </font>
    <font>
      <sz val="10"/>
      <name val="Arial"/>
      <family val="2"/>
    </font>
    <font>
      <sz val="10"/>
      <color theme="0"/>
      <name val="Arial"/>
      <family val="2"/>
    </font>
    <font>
      <sz val="10"/>
      <color theme="1"/>
      <name val="Arial"/>
      <family val="2"/>
    </font>
    <font>
      <i/>
      <sz val="9.5"/>
      <color theme="7"/>
      <name val="Arial"/>
      <family val="2"/>
    </font>
    <font>
      <i/>
      <sz val="9.5"/>
      <color theme="0" tint="-0.34998626667073579"/>
      <name val="Arial"/>
      <family val="2"/>
    </font>
    <font>
      <b/>
      <sz val="9.5"/>
      <color rgb="FF000000"/>
      <name val="Arial"/>
      <family val="2"/>
    </font>
    <font>
      <u/>
      <sz val="8"/>
      <color indexed="12"/>
      <name val="Arial"/>
      <family val="2"/>
    </font>
    <font>
      <sz val="10"/>
      <name val="Calibri"/>
      <family val="2"/>
    </font>
    <font>
      <b/>
      <sz val="9.5"/>
      <name val="Arial"/>
      <family val="2"/>
    </font>
    <font>
      <sz val="9.5"/>
      <color theme="4"/>
      <name val="Arial"/>
      <family val="2"/>
    </font>
    <font>
      <sz val="8"/>
      <name val="Calibri"/>
      <family val="2"/>
      <scheme val="minor"/>
    </font>
    <font>
      <b/>
      <sz val="11"/>
      <color indexed="9"/>
      <name val="Calibri"/>
      <family val="2"/>
    </font>
    <font>
      <b/>
      <sz val="10"/>
      <color indexed="9"/>
      <name val="Arial"/>
      <family val="2"/>
    </font>
    <font>
      <sz val="9.5"/>
      <color rgb="FF000000"/>
      <name val="Arial"/>
      <family val="2"/>
    </font>
    <font>
      <sz val="9.5"/>
      <color rgb="FFA6A6A6"/>
      <name val="Arial"/>
      <family val="2"/>
    </font>
    <font>
      <i/>
      <sz val="9.5"/>
      <color rgb="FF000000"/>
      <name val="Arial"/>
      <family val="2"/>
    </font>
    <font>
      <i/>
      <sz val="10"/>
      <color theme="1"/>
      <name val="Arial"/>
      <family val="2"/>
    </font>
    <font>
      <sz val="9.5"/>
      <color rgb="FF0000FF"/>
      <name val="Arial"/>
      <family val="2"/>
    </font>
    <font>
      <i/>
      <sz val="9.5"/>
      <color rgb="FF0000FF"/>
      <name val="Arial"/>
      <family val="2"/>
    </font>
    <font>
      <sz val="9.5"/>
      <color theme="0"/>
      <name val="Arial"/>
      <family val="2"/>
    </font>
    <font>
      <i/>
      <sz val="9"/>
      <color theme="1"/>
      <name val="Arial"/>
      <family val="2"/>
    </font>
    <font>
      <sz val="32"/>
      <color theme="1"/>
      <name val="Arial"/>
      <family val="2"/>
    </font>
    <font>
      <b/>
      <sz val="32"/>
      <color theme="1"/>
      <name val="Arial"/>
      <family val="2"/>
    </font>
    <font>
      <b/>
      <sz val="14"/>
      <color theme="1"/>
      <name val="Arial"/>
      <family val="2"/>
    </font>
    <font>
      <i/>
      <sz val="9.5"/>
      <color rgb="FFC00000"/>
      <name val="Arial"/>
      <family val="2"/>
    </font>
    <font>
      <sz val="9.5"/>
      <color rgb="FF000000"/>
      <name val="Arial"/>
      <family val="2"/>
    </font>
    <font>
      <b/>
      <sz val="14"/>
      <color rgb="FF262760"/>
      <name val="Arial"/>
      <family val="2"/>
    </font>
    <font>
      <b/>
      <sz val="12"/>
      <color rgb="FF262760"/>
      <name val="Arial"/>
      <family val="2"/>
    </font>
    <font>
      <b/>
      <sz val="20"/>
      <color rgb="FF262760"/>
      <name val="Arial"/>
      <family val="2"/>
    </font>
    <font>
      <b/>
      <sz val="32"/>
      <color rgb="FF62C3AD"/>
      <name val="Arial"/>
      <family val="2"/>
    </font>
    <font>
      <b/>
      <sz val="22"/>
      <color rgb="FF62C3AD"/>
      <name val="Arial"/>
      <family val="2"/>
    </font>
    <font>
      <b/>
      <sz val="9.5"/>
      <color theme="0"/>
      <name val="Arial"/>
      <family val="2"/>
    </font>
    <font>
      <b/>
      <sz val="15"/>
      <color rgb="FF602320"/>
      <name val="Arial"/>
      <family val="2"/>
    </font>
    <font>
      <b/>
      <sz val="11"/>
      <color rgb="FFA32020"/>
      <name val="Arial"/>
      <family val="2"/>
    </font>
    <font>
      <b/>
      <sz val="9"/>
      <color theme="1"/>
      <name val="Calibri"/>
      <family val="2"/>
      <scheme val="minor"/>
    </font>
    <font>
      <i/>
      <sz val="8"/>
      <color indexed="8"/>
      <name val="Arial"/>
      <family val="2"/>
    </font>
    <font>
      <sz val="11"/>
      <color theme="0"/>
      <name val="Calibri"/>
      <family val="2"/>
      <scheme val="minor"/>
    </font>
    <font>
      <b/>
      <sz val="48"/>
      <color theme="0"/>
      <name val="Arial"/>
      <family val="2"/>
    </font>
    <font>
      <sz val="9"/>
      <color theme="1"/>
      <name val="Calibri"/>
      <family val="2"/>
      <scheme val="minor"/>
    </font>
    <font>
      <sz val="9.5"/>
      <color theme="1"/>
      <name val="Calibri"/>
      <family val="2"/>
      <scheme val="minor"/>
    </font>
    <font>
      <b/>
      <sz val="9"/>
      <color theme="1"/>
      <name val="Arial"/>
      <family val="2"/>
    </font>
    <font>
      <sz val="9"/>
      <color theme="1"/>
      <name val="Arial"/>
      <family val="2"/>
    </font>
    <font>
      <b/>
      <sz val="8"/>
      <color theme="0"/>
      <name val="Arial"/>
      <family val="2"/>
    </font>
    <font>
      <b/>
      <sz val="8"/>
      <color rgb="FF000000"/>
      <name val="Arial"/>
      <family val="2"/>
    </font>
    <font>
      <b/>
      <vertAlign val="subscript"/>
      <sz val="8"/>
      <color rgb="FF000000"/>
      <name val="Arial"/>
      <family val="2"/>
    </font>
    <font>
      <i/>
      <sz val="8"/>
      <name val="Arial"/>
      <family val="2"/>
    </font>
    <font>
      <sz val="8"/>
      <name val="Arial"/>
      <family val="2"/>
    </font>
    <font>
      <sz val="8"/>
      <color rgb="FF000000"/>
      <name val="Arial"/>
      <family val="2"/>
    </font>
    <font>
      <vertAlign val="subscript"/>
      <sz val="8"/>
      <color rgb="FF000000"/>
      <name val="Arial"/>
      <family val="2"/>
    </font>
    <font>
      <sz val="8"/>
      <color indexed="8"/>
      <name val="Arial"/>
      <family val="2"/>
    </font>
    <font>
      <b/>
      <u val="singleAccounting"/>
      <sz val="8"/>
      <color indexed="8"/>
      <name val="Arial"/>
      <family val="2"/>
    </font>
    <font>
      <b/>
      <u val="singleAccounting"/>
      <sz val="8"/>
      <color theme="0"/>
      <name val="Arial"/>
      <family val="2"/>
    </font>
    <font>
      <b/>
      <sz val="13"/>
      <color indexed="8"/>
      <name val="Verdana"/>
      <family val="2"/>
    </font>
    <font>
      <b/>
      <sz val="8"/>
      <color indexed="8"/>
      <name val="Arial"/>
      <family val="2"/>
    </font>
    <font>
      <sz val="1"/>
      <color indexed="9"/>
      <name val="Symbol"/>
      <family val="1"/>
      <charset val="2"/>
    </font>
    <font>
      <b/>
      <sz val="8"/>
      <color indexed="9"/>
      <name val="Verdana"/>
      <family val="2"/>
    </font>
    <font>
      <b/>
      <u val="singleAccounting"/>
      <sz val="8"/>
      <color rgb="FF262660"/>
      <name val="Arial"/>
      <family val="2"/>
    </font>
    <font>
      <b/>
      <sz val="8"/>
      <name val="Arial"/>
      <family val="2"/>
    </font>
    <font>
      <b/>
      <u/>
      <sz val="8"/>
      <name val="Arial"/>
      <family val="2"/>
    </font>
    <font>
      <sz val="18"/>
      <name val="Arial"/>
      <family val="2"/>
    </font>
    <font>
      <sz val="8"/>
      <color theme="0"/>
      <name val="Arial"/>
      <family val="2"/>
    </font>
    <font>
      <i/>
      <sz val="8"/>
      <color theme="1"/>
      <name val="Arial"/>
      <family val="2"/>
    </font>
    <font>
      <sz val="8"/>
      <color theme="1"/>
      <name val="Arial"/>
      <family val="2"/>
    </font>
    <font>
      <b/>
      <sz val="8"/>
      <color rgb="FFFFFFFF"/>
      <name val="Arial"/>
      <family val="2"/>
    </font>
    <font>
      <i/>
      <sz val="8"/>
      <color rgb="FF000000"/>
      <name val="Arial"/>
      <family val="2"/>
    </font>
    <font>
      <b/>
      <i/>
      <sz val="8"/>
      <color rgb="FF000000"/>
      <name val="Arial"/>
      <family val="2"/>
    </font>
    <font>
      <b/>
      <i/>
      <sz val="8"/>
      <name val="Arial"/>
      <family val="2"/>
    </font>
    <font>
      <u val="singleAccounting"/>
      <sz val="9.5"/>
      <color theme="1"/>
      <name val="Arial"/>
      <family val="2"/>
    </font>
    <font>
      <u/>
      <sz val="11"/>
      <color theme="10"/>
      <name val="Calibri"/>
      <family val="2"/>
      <scheme val="minor"/>
    </font>
    <font>
      <u/>
      <sz val="9.5"/>
      <color theme="10"/>
      <name val="Arial"/>
      <family val="2"/>
    </font>
    <font>
      <b/>
      <sz val="9.5"/>
      <color rgb="FF00338D"/>
      <name val="Arial"/>
      <family val="2"/>
    </font>
    <font>
      <b/>
      <sz val="12"/>
      <color rgb="FF000000"/>
      <name val="Arial"/>
      <family val="2"/>
    </font>
    <font>
      <b/>
      <sz val="8"/>
      <color rgb="FF53565A"/>
      <name val="Arial"/>
      <family val="2"/>
    </font>
    <font>
      <sz val="8"/>
      <color rgb="FF53565A"/>
      <name val="Arial"/>
      <family val="2"/>
    </font>
    <font>
      <sz val="8"/>
      <color rgb="FF00B050"/>
      <name val="Arial"/>
      <family val="2"/>
    </font>
    <font>
      <sz val="8"/>
      <color rgb="FF9C0006"/>
      <name val="Arial"/>
      <family val="2"/>
    </font>
    <font>
      <b/>
      <i/>
      <sz val="14"/>
      <color rgb="FF0000FF"/>
      <name val="Arial"/>
      <family val="2"/>
    </font>
    <font>
      <sz val="12"/>
      <color rgb="FF262760"/>
      <name val="Arial"/>
      <family val="2"/>
    </font>
    <font>
      <i/>
      <sz val="9.5"/>
      <color theme="0" tint="-0.499984740745262"/>
      <name val="Arial"/>
      <family val="2"/>
    </font>
    <font>
      <sz val="8"/>
      <color rgb="FFC00000"/>
      <name val="Arial"/>
      <family val="2"/>
    </font>
  </fonts>
  <fills count="2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rgb="FFC00000"/>
        <bgColor indexed="64"/>
      </patternFill>
    </fill>
    <fill>
      <patternFill patternType="solid">
        <fgColor rgb="FF4F81BD"/>
        <bgColor indexed="64"/>
      </patternFill>
    </fill>
    <fill>
      <patternFill patternType="solid">
        <fgColor rgb="FFFFFFFF"/>
        <bgColor rgb="FF000000"/>
      </patternFill>
    </fill>
    <fill>
      <patternFill patternType="solid">
        <fgColor theme="0"/>
        <bgColor rgb="FF000000"/>
      </patternFill>
    </fill>
    <fill>
      <patternFill patternType="solid">
        <fgColor theme="4"/>
        <bgColor indexed="64"/>
      </patternFill>
    </fill>
    <fill>
      <patternFill patternType="solid">
        <fgColor rgb="FF62C3AD"/>
        <bgColor indexed="64"/>
      </patternFill>
    </fill>
    <fill>
      <patternFill patternType="solid">
        <fgColor rgb="FF262760"/>
        <bgColor indexed="64"/>
      </patternFill>
    </fill>
    <fill>
      <patternFill patternType="solid">
        <fgColor theme="0" tint="-0.499984740745262"/>
        <bgColor indexed="64"/>
      </patternFill>
    </fill>
    <fill>
      <patternFill patternType="solid">
        <fgColor rgb="FFFFFFFF"/>
        <bgColor indexed="64"/>
      </patternFill>
    </fill>
    <fill>
      <patternFill patternType="solid">
        <fgColor indexed="60"/>
        <bgColor indexed="64"/>
      </patternFill>
    </fill>
    <fill>
      <patternFill patternType="solid">
        <fgColor rgb="FF262660"/>
        <bgColor indexed="64"/>
      </patternFill>
    </fill>
    <fill>
      <patternFill patternType="solid">
        <fgColor indexed="56"/>
        <bgColor indexed="64"/>
      </patternFill>
    </fill>
    <fill>
      <patternFill patternType="solid">
        <fgColor theme="0" tint="-0.249977111117893"/>
        <bgColor indexed="64"/>
      </patternFill>
    </fill>
    <fill>
      <patternFill patternType="solid">
        <fgColor rgb="FF00A599"/>
        <bgColor indexed="64"/>
      </patternFill>
    </fill>
  </fills>
  <borders count="87">
    <border>
      <left/>
      <right/>
      <top/>
      <bottom/>
      <diagonal/>
    </border>
    <border>
      <left/>
      <right/>
      <top/>
      <bottom style="dashed">
        <color theme="0" tint="-0.34998626667073579"/>
      </bottom>
      <diagonal/>
    </border>
    <border>
      <left style="dashed">
        <color theme="0" tint="-0.34998626667073579"/>
      </left>
      <right/>
      <top style="dashed">
        <color theme="0" tint="-0.34998626667073579"/>
      </top>
      <bottom style="dashed">
        <color theme="0" tint="-0.34998626667073579"/>
      </bottom>
      <diagonal/>
    </border>
    <border>
      <left/>
      <right/>
      <top style="dashed">
        <color theme="0" tint="-0.34998626667073579"/>
      </top>
      <bottom style="dashed">
        <color theme="0" tint="-0.34998626667073579"/>
      </bottom>
      <diagonal/>
    </border>
    <border>
      <left/>
      <right style="dashed">
        <color theme="0" tint="-0.34998626667073579"/>
      </right>
      <top style="dashed">
        <color theme="0" tint="-0.34998626667073579"/>
      </top>
      <bottom style="dashed">
        <color theme="0" tint="-0.34998626667073579"/>
      </bottom>
      <diagonal/>
    </border>
    <border>
      <left/>
      <right/>
      <top style="thin">
        <color indexed="64"/>
      </top>
      <bottom style="thin">
        <color indexed="64"/>
      </bottom>
      <diagonal/>
    </border>
    <border>
      <left/>
      <right/>
      <top style="thick">
        <color rgb="FF000066"/>
      </top>
      <bottom/>
      <diagonal/>
    </border>
    <border>
      <left/>
      <right/>
      <top style="thick">
        <color rgb="FF53565A"/>
      </top>
      <bottom/>
      <diagonal/>
    </border>
    <border>
      <left/>
      <right/>
      <top style="thin">
        <color theme="0" tint="-0.34998626667073579"/>
      </top>
      <bottom style="thin">
        <color theme="0" tint="-0.34998626667073579"/>
      </bottom>
      <diagonal/>
    </border>
    <border>
      <left/>
      <right/>
      <top style="thin">
        <color theme="0" tint="-0.34998626667073579"/>
      </top>
      <bottom style="medium">
        <color theme="0" tint="-0.34998626667073579"/>
      </bottom>
      <diagonal/>
    </border>
    <border>
      <left/>
      <right/>
      <top style="thick">
        <color rgb="FF002060"/>
      </top>
      <bottom/>
      <diagonal/>
    </border>
    <border>
      <left/>
      <right/>
      <top style="thick">
        <color theme="4" tint="-0.24994659260841701"/>
      </top>
      <bottom/>
      <diagonal/>
    </border>
    <border>
      <left style="dashed">
        <color theme="0" tint="-0.34998626667073579"/>
      </left>
      <right style="dashed">
        <color theme="0" tint="-0.34998626667073579"/>
      </right>
      <top style="dashed">
        <color theme="0" tint="-0.34998626667073579"/>
      </top>
      <bottom style="dashed">
        <color theme="0" tint="-0.34998626667073579"/>
      </bottom>
      <diagonal/>
    </border>
    <border>
      <left style="dashed">
        <color theme="0" tint="-0.24994659260841701"/>
      </left>
      <right style="dashed">
        <color theme="0" tint="-0.24994659260841701"/>
      </right>
      <top style="dashed">
        <color theme="0" tint="-0.24994659260841701"/>
      </top>
      <bottom style="dashed">
        <color theme="0" tint="-0.24994659260841701"/>
      </bottom>
      <diagonal/>
    </border>
    <border>
      <left/>
      <right style="dashed">
        <color theme="0" tint="-0.24994659260841701"/>
      </right>
      <top style="dashed">
        <color theme="0" tint="-0.24994659260841701"/>
      </top>
      <bottom style="dashed">
        <color theme="0" tint="-0.24994659260841701"/>
      </bottom>
      <diagonal/>
    </border>
    <border>
      <left/>
      <right/>
      <top style="dashed">
        <color theme="0" tint="-0.24994659260841701"/>
      </top>
      <bottom/>
      <diagonal/>
    </border>
    <border>
      <left/>
      <right/>
      <top/>
      <bottom style="medium">
        <color theme="7"/>
      </bottom>
      <diagonal/>
    </border>
    <border>
      <left/>
      <right/>
      <top style="thin">
        <color theme="0" tint="-0.24994659260841701"/>
      </top>
      <bottom style="thin">
        <color theme="0" tint="-0.24994659260841701"/>
      </bottom>
      <diagonal/>
    </border>
    <border>
      <left style="thin">
        <color indexed="64"/>
      </left>
      <right style="thin">
        <color indexed="64"/>
      </right>
      <top/>
      <bottom style="thin">
        <color indexed="64"/>
      </bottom>
      <diagonal/>
    </border>
    <border>
      <left/>
      <right/>
      <top style="thin">
        <color indexed="64"/>
      </top>
      <bottom/>
      <diagonal/>
    </border>
    <border>
      <left/>
      <right/>
      <top style="dashed">
        <color theme="0" tint="-0.34998626667073579"/>
      </top>
      <bottom style="thin">
        <color indexed="64"/>
      </bottom>
      <diagonal/>
    </border>
    <border>
      <left/>
      <right/>
      <top style="dashed">
        <color theme="0" tint="-0.24994659260841701"/>
      </top>
      <bottom style="dashed">
        <color theme="0" tint="-0.24994659260841701"/>
      </bottom>
      <diagonal/>
    </border>
    <border>
      <left/>
      <right/>
      <top style="thin">
        <color theme="0" tint="-0.24994659260841701"/>
      </top>
      <bottom style="medium">
        <color theme="0" tint="-0.24994659260841701"/>
      </bottom>
      <diagonal/>
    </border>
    <border>
      <left/>
      <right/>
      <top style="thin">
        <color theme="2" tint="-0.24994659260841701"/>
      </top>
      <bottom style="thin">
        <color theme="2" tint="-0.24994659260841701"/>
      </bottom>
      <diagonal/>
    </border>
    <border>
      <left/>
      <right/>
      <top style="thin">
        <color rgb="FFA6A6A6"/>
      </top>
      <bottom style="thin">
        <color rgb="FFA6A6A6"/>
      </bottom>
      <diagonal/>
    </border>
    <border>
      <left/>
      <right/>
      <top style="thin">
        <color rgb="FFA6A6A6"/>
      </top>
      <bottom style="medium">
        <color rgb="FFA6A6A6"/>
      </bottom>
      <diagonal/>
    </border>
    <border>
      <left/>
      <right/>
      <top style="medium">
        <color theme="0" tint="-0.499984740745262"/>
      </top>
      <bottom/>
      <diagonal/>
    </border>
    <border>
      <left/>
      <right/>
      <top style="thick">
        <color theme="0" tint="-0.34998626667073579"/>
      </top>
      <bottom/>
      <diagonal/>
    </border>
    <border>
      <left style="dashed">
        <color theme="0" tint="-0.34998626667073579"/>
      </left>
      <right/>
      <top style="dashed">
        <color theme="0" tint="-0.34998626667073579"/>
      </top>
      <bottom style="thin">
        <color indexed="64"/>
      </bottom>
      <diagonal/>
    </border>
    <border>
      <left style="dashed">
        <color theme="0" tint="-0.34998626667073579"/>
      </left>
      <right/>
      <top style="dashed">
        <color theme="0" tint="-0.34998626667073579"/>
      </top>
      <bottom/>
      <diagonal/>
    </border>
    <border>
      <left/>
      <right/>
      <top style="dashed">
        <color theme="0" tint="-0.34998626667073579"/>
      </top>
      <bottom/>
      <diagonal/>
    </border>
    <border>
      <left/>
      <right style="dashed">
        <color theme="0" tint="-0.34998626667073579"/>
      </right>
      <top style="dashed">
        <color theme="0" tint="-0.34998626667073579"/>
      </top>
      <bottom/>
      <diagonal/>
    </border>
    <border>
      <left style="dashed">
        <color theme="0" tint="-0.34998626667073579"/>
      </left>
      <right/>
      <top/>
      <bottom/>
      <diagonal/>
    </border>
    <border>
      <left/>
      <right style="dashed">
        <color theme="0" tint="-0.34998626667073579"/>
      </right>
      <top/>
      <bottom/>
      <diagonal/>
    </border>
    <border>
      <left style="dashed">
        <color theme="0" tint="-0.34998626667073579"/>
      </left>
      <right/>
      <top/>
      <bottom style="dashed">
        <color theme="0" tint="-0.34998626667073579"/>
      </bottom>
      <diagonal/>
    </border>
    <border>
      <left/>
      <right style="dashed">
        <color theme="0" tint="-0.34998626667073579"/>
      </right>
      <top/>
      <bottom style="dashed">
        <color theme="0" tint="-0.34998626667073579"/>
      </bottom>
      <diagonal/>
    </border>
    <border>
      <left/>
      <right/>
      <top style="thin">
        <color theme="2" tint="-0.24994659260841701"/>
      </top>
      <bottom style="medium">
        <color theme="0" tint="-0.34998626667073579"/>
      </bottom>
      <diagonal/>
    </border>
    <border>
      <left/>
      <right/>
      <top style="medium">
        <color rgb="FF262760"/>
      </top>
      <bottom/>
      <diagonal/>
    </border>
    <border>
      <left/>
      <right/>
      <top/>
      <bottom style="medium">
        <color rgb="FF262760"/>
      </bottom>
      <diagonal/>
    </border>
    <border>
      <left/>
      <right/>
      <top style="thick">
        <color rgb="FF262760"/>
      </top>
      <bottom/>
      <diagonal/>
    </border>
    <border>
      <left/>
      <right/>
      <top style="thin">
        <color rgb="FF262760"/>
      </top>
      <bottom style="medium">
        <color rgb="FF262760"/>
      </bottom>
      <diagonal/>
    </border>
    <border>
      <left/>
      <right/>
      <top/>
      <bottom style="medium">
        <color rgb="FF602320"/>
      </bottom>
      <diagonal/>
    </border>
    <border>
      <left/>
      <right/>
      <top style="thin">
        <color theme="4"/>
      </top>
      <bottom/>
      <diagonal/>
    </border>
    <border>
      <left/>
      <right/>
      <top style="thin">
        <color theme="4"/>
      </top>
      <bottom style="medium">
        <color theme="4"/>
      </bottom>
      <diagonal/>
    </border>
    <border>
      <left/>
      <right/>
      <top style="thick">
        <color rgb="FF62C3AD"/>
      </top>
      <bottom/>
      <diagonal/>
    </border>
    <border>
      <left/>
      <right/>
      <top/>
      <bottom style="medium">
        <color rgb="FFA6A6A6"/>
      </bottom>
      <diagonal/>
    </border>
    <border>
      <left/>
      <right/>
      <top style="medium">
        <color theme="0" tint="-0.34998626667073579"/>
      </top>
      <bottom/>
      <diagonal/>
    </border>
    <border>
      <left/>
      <right/>
      <top style="thin">
        <color theme="0" tint="-0.34998626667073579"/>
      </top>
      <bottom/>
      <diagonal/>
    </border>
    <border>
      <left/>
      <right/>
      <top style="dashed">
        <color rgb="FF62C3AD"/>
      </top>
      <bottom style="medium">
        <color rgb="FF62C3AD"/>
      </bottom>
      <diagonal/>
    </border>
    <border>
      <left/>
      <right/>
      <top style="dashed">
        <color rgb="FF62C3AD"/>
      </top>
      <bottom style="dashed">
        <color rgb="FF62C3AD"/>
      </bottom>
      <diagonal/>
    </border>
    <border>
      <left/>
      <right/>
      <top/>
      <bottom style="dashed">
        <color rgb="FF62C3AD"/>
      </bottom>
      <diagonal/>
    </border>
    <border>
      <left/>
      <right/>
      <top style="thin">
        <color theme="0"/>
      </top>
      <bottom/>
      <diagonal/>
    </border>
    <border>
      <left/>
      <right/>
      <top/>
      <bottom style="thin">
        <color theme="0"/>
      </bottom>
      <diagonal/>
    </border>
    <border>
      <left style="medium">
        <color rgb="FF62C3AD"/>
      </left>
      <right/>
      <top style="medium">
        <color rgb="FF62C3AD"/>
      </top>
      <bottom/>
      <diagonal/>
    </border>
    <border>
      <left/>
      <right style="medium">
        <color rgb="FF62C3AD"/>
      </right>
      <top style="medium">
        <color rgb="FF62C3AD"/>
      </top>
      <bottom/>
      <diagonal/>
    </border>
    <border>
      <left style="medium">
        <color rgb="FF62C3AD"/>
      </left>
      <right/>
      <top/>
      <bottom/>
      <diagonal/>
    </border>
    <border>
      <left/>
      <right style="medium">
        <color rgb="FF62C3AD"/>
      </right>
      <top/>
      <bottom/>
      <diagonal/>
    </border>
    <border>
      <left style="medium">
        <color rgb="FF62C3AD"/>
      </left>
      <right/>
      <top/>
      <bottom style="medium">
        <color rgb="FF62C3AD"/>
      </bottom>
      <diagonal/>
    </border>
    <border>
      <left/>
      <right style="medium">
        <color rgb="FF62C3AD"/>
      </right>
      <top/>
      <bottom style="medium">
        <color rgb="FF62C3AD"/>
      </bottom>
      <diagonal/>
    </border>
    <border>
      <left style="medium">
        <color rgb="FF62C3AD"/>
      </left>
      <right/>
      <top style="medium">
        <color rgb="FF62C3AD"/>
      </top>
      <bottom style="medium">
        <color rgb="FF62C3AD"/>
      </bottom>
      <diagonal/>
    </border>
    <border>
      <left/>
      <right style="medium">
        <color rgb="FF62C3AD"/>
      </right>
      <top style="medium">
        <color rgb="FF62C3AD"/>
      </top>
      <bottom style="medium">
        <color rgb="FF62C3AD"/>
      </bottom>
      <diagonal/>
    </border>
    <border>
      <left style="thin">
        <color rgb="FF262660"/>
      </left>
      <right/>
      <top style="thin">
        <color rgb="FF262660"/>
      </top>
      <bottom/>
      <diagonal/>
    </border>
    <border>
      <left/>
      <right/>
      <top style="thin">
        <color rgb="FF262660"/>
      </top>
      <bottom/>
      <diagonal/>
    </border>
    <border>
      <left style="thin">
        <color rgb="FF262660"/>
      </left>
      <right/>
      <top/>
      <bottom style="thin">
        <color rgb="FF262660"/>
      </bottom>
      <diagonal/>
    </border>
    <border>
      <left/>
      <right/>
      <top/>
      <bottom style="thin">
        <color rgb="FF262660"/>
      </bottom>
      <diagonal/>
    </border>
    <border>
      <left/>
      <right style="thin">
        <color rgb="FF262660"/>
      </right>
      <top style="thin">
        <color rgb="FF262660"/>
      </top>
      <bottom/>
      <diagonal/>
    </border>
    <border>
      <left/>
      <right style="thin">
        <color rgb="FF262660"/>
      </right>
      <top/>
      <bottom style="thin">
        <color rgb="FF262660"/>
      </bottom>
      <diagonal/>
    </border>
    <border>
      <left style="thin">
        <color rgb="FF262660"/>
      </left>
      <right style="thin">
        <color rgb="FF262660"/>
      </right>
      <top style="thin">
        <color rgb="FF262660"/>
      </top>
      <bottom/>
      <diagonal/>
    </border>
    <border>
      <left style="thin">
        <color rgb="FF262660"/>
      </left>
      <right style="thin">
        <color rgb="FF262660"/>
      </right>
      <top/>
      <bottom style="thin">
        <color rgb="FF262660"/>
      </bottom>
      <diagonal/>
    </border>
    <border>
      <left style="thin">
        <color rgb="FF262660"/>
      </left>
      <right style="dashed">
        <color rgb="FF262660"/>
      </right>
      <top style="thin">
        <color rgb="FF262660"/>
      </top>
      <bottom/>
      <diagonal/>
    </border>
    <border>
      <left style="thin">
        <color rgb="FF262660"/>
      </left>
      <right style="dashed">
        <color rgb="FF262660"/>
      </right>
      <top/>
      <bottom style="thin">
        <color rgb="FF262660"/>
      </bottom>
      <diagonal/>
    </border>
    <border>
      <left style="dashed">
        <color rgb="FF262660"/>
      </left>
      <right/>
      <top style="dashed">
        <color rgb="FF262660"/>
      </top>
      <bottom/>
      <diagonal/>
    </border>
    <border>
      <left/>
      <right/>
      <top style="dashed">
        <color rgb="FF262660"/>
      </top>
      <bottom/>
      <diagonal/>
    </border>
    <border>
      <left style="dashed">
        <color rgb="FF262660"/>
      </left>
      <right/>
      <top/>
      <bottom/>
      <diagonal/>
    </border>
    <border>
      <left style="thin">
        <color rgb="FF262660"/>
      </left>
      <right/>
      <top/>
      <bottom/>
      <diagonal/>
    </border>
    <border>
      <left/>
      <right style="thin">
        <color rgb="FF262660"/>
      </right>
      <top/>
      <bottom/>
      <diagonal/>
    </border>
    <border>
      <left style="thin">
        <color rgb="FF262660"/>
      </left>
      <right style="thin">
        <color rgb="FF262660"/>
      </right>
      <top/>
      <bottom/>
      <diagonal/>
    </border>
    <border>
      <left style="thin">
        <color rgb="FF262660"/>
      </left>
      <right style="dashed">
        <color rgb="FF262660"/>
      </right>
      <top/>
      <bottom/>
      <diagonal/>
    </border>
    <border>
      <left/>
      <right/>
      <top style="dashed">
        <color rgb="FF62C3AD"/>
      </top>
      <bottom style="thick">
        <color rgb="FF62C3AD"/>
      </bottom>
      <diagonal/>
    </border>
    <border>
      <left/>
      <right/>
      <top/>
      <bottom style="thin">
        <color auto="1"/>
      </bottom>
      <diagonal/>
    </border>
    <border>
      <left/>
      <right/>
      <top/>
      <bottom style="medium">
        <color rgb="FF262660"/>
      </bottom>
      <diagonal/>
    </border>
    <border>
      <left style="dashed">
        <color rgb="FF62C3AD"/>
      </left>
      <right style="dashed">
        <color rgb="FF62C3AD"/>
      </right>
      <top style="dashed">
        <color rgb="FF62C3AD"/>
      </top>
      <bottom style="dashed">
        <color rgb="FF62C3AD"/>
      </bottom>
      <diagonal/>
    </border>
    <border>
      <left/>
      <right/>
      <top style="dashed">
        <color rgb="FF62C3AD"/>
      </top>
      <bottom/>
      <diagonal/>
    </border>
    <border>
      <left/>
      <right/>
      <top style="thin">
        <color theme="0" tint="-0.34998626667073579"/>
      </top>
      <bottom style="thick">
        <color theme="0" tint="-0.34998626667073579"/>
      </bottom>
      <diagonal/>
    </border>
    <border>
      <left style="thin">
        <color indexed="64"/>
      </left>
      <right style="thin">
        <color indexed="64"/>
      </right>
      <top style="thin">
        <color indexed="64"/>
      </top>
      <bottom style="thin">
        <color indexed="64"/>
      </bottom>
      <diagonal/>
    </border>
    <border>
      <left/>
      <right/>
      <top style="medium">
        <color rgb="FF62C3AD"/>
      </top>
      <bottom/>
      <diagonal/>
    </border>
    <border>
      <left/>
      <right/>
      <top style="dashed">
        <color theme="0" tint="-0.14996795556505021"/>
      </top>
      <bottom style="dashed">
        <color theme="0" tint="-0.14996795556505021"/>
      </bottom>
      <diagonal/>
    </border>
  </borders>
  <cellStyleXfs count="37">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6"/>
    <xf numFmtId="0" fontId="19" fillId="0" borderId="0"/>
    <xf numFmtId="0" fontId="25" fillId="0" borderId="0" applyNumberFormat="0" applyFill="0" applyBorder="0" applyAlignment="0" applyProtection="0">
      <alignment vertical="top"/>
      <protection locked="0"/>
    </xf>
    <xf numFmtId="9" fontId="19" fillId="0" borderId="0" applyFont="0" applyFill="0" applyBorder="0" applyAlignment="0" applyProtection="0"/>
    <xf numFmtId="0" fontId="19" fillId="0" borderId="0">
      <alignment vertical="top"/>
    </xf>
    <xf numFmtId="0" fontId="26" fillId="0" borderId="0"/>
    <xf numFmtId="164" fontId="26" fillId="0" borderId="0" applyFont="0" applyFill="0" applyBorder="0" applyAlignment="0" applyProtection="0"/>
    <xf numFmtId="0" fontId="1" fillId="0" borderId="0"/>
    <xf numFmtId="164" fontId="1" fillId="0" borderId="0" applyFont="0" applyFill="0" applyBorder="0" applyAlignment="0" applyProtection="0"/>
    <xf numFmtId="0" fontId="19" fillId="0" borderId="0"/>
    <xf numFmtId="0" fontId="1" fillId="0" borderId="0"/>
    <xf numFmtId="0" fontId="30" fillId="8" borderId="0"/>
    <xf numFmtId="0" fontId="31" fillId="8" borderId="18">
      <alignment horizontal="right"/>
    </xf>
    <xf numFmtId="0" fontId="1" fillId="0" borderId="0"/>
    <xf numFmtId="9" fontId="1" fillId="0" borderId="0" applyFont="0" applyFill="0" applyBorder="0" applyAlignment="0" applyProtection="0"/>
    <xf numFmtId="0" fontId="1" fillId="0" borderId="0"/>
    <xf numFmtId="0" fontId="51" fillId="0" borderId="41" applyNumberFormat="0" applyFill="0" applyAlignment="0">
      <alignment vertical="top"/>
    </xf>
    <xf numFmtId="0" fontId="52" fillId="0" borderId="0" applyNumberFormat="0" applyFill="0" applyAlignment="0"/>
    <xf numFmtId="0" fontId="21" fillId="0" borderId="0"/>
    <xf numFmtId="176" fontId="53" fillId="0" borderId="42" applyNumberFormat="0" applyFill="0" applyAlignment="0" applyProtection="0"/>
    <xf numFmtId="173" fontId="53" fillId="0" borderId="43" applyNumberFormat="0" applyFill="0" applyAlignment="0" applyProtection="0"/>
    <xf numFmtId="175" fontId="53" fillId="0" borderId="43" applyNumberFormat="0" applyFill="0" applyAlignment="0" applyProtection="0"/>
    <xf numFmtId="0" fontId="54" fillId="0" borderId="0" applyNumberFormat="0" applyFill="0" applyBorder="0" applyAlignment="0" applyProtection="0"/>
    <xf numFmtId="0" fontId="68" fillId="0" borderId="0" applyAlignment="0"/>
    <xf numFmtId="0" fontId="69" fillId="16" borderId="0" applyAlignment="0"/>
    <xf numFmtId="0" fontId="73" fillId="0" borderId="0" applyAlignment="0"/>
    <xf numFmtId="164" fontId="19" fillId="0" borderId="0" applyFont="0" applyFill="0" applyBorder="0" applyAlignment="0" applyProtection="0"/>
    <xf numFmtId="0" fontId="73" fillId="0" borderId="0" applyAlignment="0"/>
    <xf numFmtId="0" fontId="68" fillId="0" borderId="0" applyAlignment="0"/>
    <xf numFmtId="0" fontId="69" fillId="16" borderId="0" applyAlignment="0"/>
    <xf numFmtId="0" fontId="87" fillId="0" borderId="0" applyNumberFormat="0" applyFill="0" applyBorder="0" applyAlignment="0" applyProtection="0"/>
    <xf numFmtId="0" fontId="65" fillId="0" borderId="0"/>
    <xf numFmtId="0" fontId="19" fillId="0" borderId="0">
      <alignment vertical="center"/>
    </xf>
    <xf numFmtId="164" fontId="19" fillId="0" borderId="0" applyFont="0" applyFill="0" applyBorder="0" applyAlignment="0" applyProtection="0">
      <alignment vertical="center"/>
    </xf>
  </cellStyleXfs>
  <cellXfs count="761">
    <xf numFmtId="0" fontId="0" fillId="0" borderId="0" xfId="0"/>
    <xf numFmtId="0" fontId="2" fillId="2" borderId="0" xfId="0" applyFont="1" applyFill="1"/>
    <xf numFmtId="0" fontId="3" fillId="2" borderId="0" xfId="0" applyFont="1" applyFill="1" applyAlignment="1">
      <alignment horizontal="center"/>
    </xf>
    <xf numFmtId="0" fontId="4" fillId="2" borderId="0" xfId="0" applyFont="1" applyFill="1"/>
    <xf numFmtId="0" fontId="5" fillId="2" borderId="0" xfId="0" applyFont="1" applyFill="1"/>
    <xf numFmtId="0" fontId="2" fillId="2" borderId="0" xfId="0" applyFont="1" applyFill="1" applyBorder="1" applyAlignment="1">
      <alignment horizontal="right"/>
    </xf>
    <xf numFmtId="0" fontId="7" fillId="3" borderId="2" xfId="0" applyFont="1" applyFill="1" applyBorder="1" applyAlignment="1">
      <alignment horizontal="right"/>
    </xf>
    <xf numFmtId="0" fontId="7" fillId="3" borderId="3" xfId="0" applyFont="1" applyFill="1" applyBorder="1" applyAlignment="1">
      <alignment horizontal="right"/>
    </xf>
    <xf numFmtId="0" fontId="8" fillId="2" borderId="0" xfId="0" applyFont="1" applyFill="1"/>
    <xf numFmtId="165" fontId="7" fillId="2" borderId="5" xfId="0" applyNumberFormat="1" applyFont="1" applyFill="1" applyBorder="1" applyAlignment="1">
      <alignment horizontal="right"/>
    </xf>
    <xf numFmtId="0" fontId="2" fillId="2" borderId="0" xfId="0" applyFont="1" applyFill="1" applyBorder="1"/>
    <xf numFmtId="0" fontId="10" fillId="2" borderId="0" xfId="3" applyFont="1" applyFill="1" applyBorder="1"/>
    <xf numFmtId="0" fontId="10" fillId="0" borderId="7" xfId="3" applyFont="1" applyBorder="1"/>
    <xf numFmtId="0" fontId="10" fillId="2" borderId="7" xfId="3" applyFont="1" applyFill="1" applyBorder="1"/>
    <xf numFmtId="0" fontId="11" fillId="2" borderId="7" xfId="3" applyFont="1" applyFill="1" applyBorder="1"/>
    <xf numFmtId="164" fontId="10" fillId="2" borderId="7" xfId="1" applyFont="1" applyFill="1" applyBorder="1"/>
    <xf numFmtId="164" fontId="10" fillId="2" borderId="0" xfId="1" applyFont="1" applyFill="1" applyBorder="1"/>
    <xf numFmtId="0" fontId="6" fillId="2" borderId="0" xfId="0" applyFont="1" applyFill="1"/>
    <xf numFmtId="164" fontId="2" fillId="2" borderId="0" xfId="1" applyFont="1" applyFill="1"/>
    <xf numFmtId="166" fontId="2" fillId="2" borderId="0" xfId="2" applyNumberFormat="1" applyFont="1" applyFill="1"/>
    <xf numFmtId="0" fontId="6" fillId="2" borderId="0" xfId="0" applyFont="1" applyFill="1" applyBorder="1"/>
    <xf numFmtId="164" fontId="2" fillId="2" borderId="0" xfId="1" applyFont="1" applyFill="1" applyBorder="1"/>
    <xf numFmtId="0" fontId="3" fillId="2" borderId="0" xfId="0" applyFont="1" applyFill="1" applyBorder="1" applyAlignment="1">
      <alignment horizontal="center"/>
    </xf>
    <xf numFmtId="0" fontId="4" fillId="2" borderId="0" xfId="0" applyFont="1" applyFill="1" applyBorder="1"/>
    <xf numFmtId="10" fontId="2" fillId="2" borderId="0" xfId="2" applyNumberFormat="1" applyFont="1" applyFill="1" applyBorder="1"/>
    <xf numFmtId="167" fontId="2" fillId="2" borderId="0" xfId="1" applyNumberFormat="1" applyFont="1" applyFill="1"/>
    <xf numFmtId="167" fontId="6" fillId="2" borderId="0" xfId="1" applyNumberFormat="1" applyFont="1" applyFill="1"/>
    <xf numFmtId="0" fontId="10" fillId="2" borderId="8" xfId="0" applyFont="1" applyFill="1" applyBorder="1"/>
    <xf numFmtId="0" fontId="2" fillId="2" borderId="8" xfId="0" applyFont="1" applyFill="1" applyBorder="1"/>
    <xf numFmtId="0" fontId="3" fillId="2" borderId="8" xfId="0" applyFont="1" applyFill="1" applyBorder="1" applyAlignment="1">
      <alignment horizontal="center"/>
    </xf>
    <xf numFmtId="0" fontId="4" fillId="2" borderId="8" xfId="0" applyFont="1" applyFill="1" applyBorder="1"/>
    <xf numFmtId="167" fontId="2" fillId="2" borderId="0" xfId="1" applyNumberFormat="1" applyFont="1" applyFill="1" applyBorder="1"/>
    <xf numFmtId="0" fontId="10" fillId="2" borderId="0" xfId="0" applyFont="1" applyFill="1" applyBorder="1"/>
    <xf numFmtId="167" fontId="12" fillId="2" borderId="0" xfId="1" applyNumberFormat="1" applyFont="1" applyFill="1" applyBorder="1"/>
    <xf numFmtId="9" fontId="2" fillId="2" borderId="0" xfId="2" applyFont="1" applyFill="1" applyBorder="1"/>
    <xf numFmtId="0" fontId="10" fillId="2" borderId="0" xfId="0" applyFont="1" applyFill="1"/>
    <xf numFmtId="0" fontId="10" fillId="2" borderId="9" xfId="0" applyFont="1" applyFill="1" applyBorder="1"/>
    <xf numFmtId="0" fontId="13" fillId="2" borderId="0" xfId="0" applyFont="1" applyFill="1" applyBorder="1" applyAlignment="1">
      <alignment horizontal="center"/>
    </xf>
    <xf numFmtId="0" fontId="11" fillId="2" borderId="0" xfId="0" applyFont="1" applyFill="1" applyBorder="1"/>
    <xf numFmtId="0" fontId="10" fillId="2" borderId="10" xfId="0" applyFont="1" applyFill="1" applyBorder="1"/>
    <xf numFmtId="0" fontId="10" fillId="2" borderId="6" xfId="3" applyFont="1" applyFill="1"/>
    <xf numFmtId="0" fontId="2" fillId="2" borderId="10" xfId="0" applyFont="1" applyFill="1" applyBorder="1" applyAlignment="1">
      <alignment horizontal="right"/>
    </xf>
    <xf numFmtId="164" fontId="10" fillId="2" borderId="6" xfId="1" applyFont="1" applyFill="1" applyBorder="1"/>
    <xf numFmtId="0" fontId="11" fillId="2" borderId="6" xfId="3" applyFont="1" applyFill="1"/>
    <xf numFmtId="0" fontId="4" fillId="2" borderId="7" xfId="3" applyFont="1" applyFill="1" applyBorder="1"/>
    <xf numFmtId="167" fontId="2" fillId="2" borderId="0" xfId="1" applyNumberFormat="1" applyFont="1" applyFill="1" applyBorder="1" applyAlignment="1">
      <alignment horizontal="center"/>
    </xf>
    <xf numFmtId="167" fontId="2" fillId="2" borderId="11" xfId="1" applyNumberFormat="1" applyFont="1" applyFill="1" applyBorder="1" applyAlignment="1">
      <alignment horizontal="center"/>
    </xf>
    <xf numFmtId="0" fontId="14" fillId="2" borderId="0" xfId="0" applyFont="1" applyFill="1" applyBorder="1"/>
    <xf numFmtId="168" fontId="2" fillId="2" borderId="0" xfId="1" applyNumberFormat="1" applyFont="1" applyFill="1" applyBorder="1" applyAlignment="1">
      <alignment horizontal="center" vertical="center"/>
    </xf>
    <xf numFmtId="168" fontId="2" fillId="4" borderId="12" xfId="1" applyNumberFormat="1" applyFont="1" applyFill="1" applyBorder="1" applyAlignment="1">
      <alignment horizontal="center" vertical="center"/>
    </xf>
    <xf numFmtId="169" fontId="3" fillId="2" borderId="13" xfId="1" applyNumberFormat="1" applyFont="1" applyFill="1" applyBorder="1" applyAlignment="1">
      <alignment horizontal="center"/>
    </xf>
    <xf numFmtId="169" fontId="3" fillId="2" borderId="0" xfId="1" applyNumberFormat="1" applyFont="1" applyFill="1" applyBorder="1" applyAlignment="1">
      <alignment horizontal="center"/>
    </xf>
    <xf numFmtId="167" fontId="3" fillId="2" borderId="0" xfId="1" applyNumberFormat="1" applyFont="1" applyFill="1" applyBorder="1" applyAlignment="1">
      <alignment horizontal="center"/>
    </xf>
    <xf numFmtId="167" fontId="3" fillId="2" borderId="14" xfId="1" applyNumberFormat="1" applyFont="1" applyFill="1" applyBorder="1" applyAlignment="1">
      <alignment horizontal="center"/>
    </xf>
    <xf numFmtId="167" fontId="3" fillId="2" borderId="13" xfId="1" applyNumberFormat="1" applyFont="1" applyFill="1" applyBorder="1" applyAlignment="1">
      <alignment horizontal="center"/>
    </xf>
    <xf numFmtId="167" fontId="3" fillId="2" borderId="15" xfId="1" applyNumberFormat="1" applyFont="1" applyFill="1" applyBorder="1" applyAlignment="1">
      <alignment horizontal="center"/>
    </xf>
    <xf numFmtId="164" fontId="2" fillId="2" borderId="0" xfId="1" applyNumberFormat="1" applyFont="1" applyFill="1" applyBorder="1" applyAlignment="1">
      <alignment horizontal="center"/>
    </xf>
    <xf numFmtId="169" fontId="2" fillId="4" borderId="12" xfId="1" applyNumberFormat="1" applyFont="1" applyFill="1" applyBorder="1" applyAlignment="1">
      <alignment horizontal="center" vertical="center"/>
    </xf>
    <xf numFmtId="0" fontId="2" fillId="2" borderId="9" xfId="0" applyFont="1" applyFill="1" applyBorder="1"/>
    <xf numFmtId="0" fontId="3" fillId="2" borderId="9" xfId="0" applyFont="1" applyFill="1" applyBorder="1" applyAlignment="1">
      <alignment horizontal="center"/>
    </xf>
    <xf numFmtId="0" fontId="4" fillId="2" borderId="9" xfId="0" applyFont="1" applyFill="1" applyBorder="1"/>
    <xf numFmtId="167" fontId="2" fillId="2" borderId="0" xfId="1" applyNumberFormat="1" applyFont="1" applyFill="1" applyAlignment="1">
      <alignment horizontal="right"/>
    </xf>
    <xf numFmtId="0" fontId="14" fillId="2" borderId="8" xfId="0" applyFont="1" applyFill="1" applyBorder="1"/>
    <xf numFmtId="0" fontId="2" fillId="2" borderId="6" xfId="3" applyFont="1" applyFill="1"/>
    <xf numFmtId="164" fontId="2" fillId="2" borderId="6" xfId="1" applyFont="1" applyFill="1" applyBorder="1"/>
    <xf numFmtId="0" fontId="4" fillId="2" borderId="6" xfId="3" applyFont="1" applyFill="1"/>
    <xf numFmtId="167" fontId="10" fillId="2" borderId="8" xfId="1" applyNumberFormat="1" applyFont="1" applyFill="1" applyBorder="1"/>
    <xf numFmtId="167" fontId="2" fillId="0" borderId="0" xfId="1" applyNumberFormat="1" applyFont="1" applyFill="1" applyBorder="1"/>
    <xf numFmtId="0" fontId="0" fillId="2" borderId="0" xfId="0" applyFill="1"/>
    <xf numFmtId="0" fontId="16" fillId="6" borderId="0" xfId="0" applyFont="1" applyFill="1"/>
    <xf numFmtId="0" fontId="16" fillId="2" borderId="0" xfId="0" applyFont="1" applyFill="1"/>
    <xf numFmtId="0" fontId="17" fillId="2" borderId="0" xfId="0" applyFont="1" applyFill="1"/>
    <xf numFmtId="49" fontId="19" fillId="2" borderId="0" xfId="0" applyNumberFormat="1" applyFont="1" applyFill="1"/>
    <xf numFmtId="0" fontId="20" fillId="7" borderId="0" xfId="0" applyFont="1" applyFill="1" applyAlignment="1">
      <alignment horizontal="center"/>
    </xf>
    <xf numFmtId="0" fontId="15" fillId="6" borderId="0" xfId="0" applyFont="1" applyFill="1"/>
    <xf numFmtId="0" fontId="15" fillId="6" borderId="16" xfId="0" applyFont="1" applyFill="1" applyBorder="1"/>
    <xf numFmtId="0" fontId="2" fillId="2" borderId="0" xfId="0" applyFont="1" applyFill="1" applyBorder="1" applyAlignment="1">
      <alignment horizontal="left" indent="2"/>
    </xf>
    <xf numFmtId="0" fontId="2" fillId="2" borderId="0" xfId="0" applyFont="1" applyFill="1" applyBorder="1" applyAlignment="1">
      <alignment horizontal="left"/>
    </xf>
    <xf numFmtId="0" fontId="2" fillId="2" borderId="0" xfId="0" applyFont="1" applyFill="1" applyAlignment="1">
      <alignment horizontal="left" indent="1"/>
    </xf>
    <xf numFmtId="9" fontId="2" fillId="2" borderId="0" xfId="2" applyFont="1" applyFill="1"/>
    <xf numFmtId="0" fontId="6" fillId="2" borderId="0" xfId="0" applyFont="1" applyFill="1" applyAlignment="1">
      <alignment horizontal="left" indent="1"/>
    </xf>
    <xf numFmtId="166" fontId="10" fillId="2" borderId="0" xfId="2" applyNumberFormat="1" applyFont="1" applyFill="1" applyBorder="1"/>
    <xf numFmtId="170" fontId="2" fillId="2" borderId="0" xfId="1" applyNumberFormat="1" applyFont="1" applyFill="1" applyBorder="1"/>
    <xf numFmtId="0" fontId="11" fillId="2" borderId="8" xfId="0" applyFont="1" applyFill="1" applyBorder="1"/>
    <xf numFmtId="167" fontId="28" fillId="2" borderId="0" xfId="1" applyNumberFormat="1" applyFont="1" applyFill="1" applyBorder="1"/>
    <xf numFmtId="10" fontId="10" fillId="2" borderId="0" xfId="2" applyNumberFormat="1" applyFont="1" applyFill="1" applyBorder="1"/>
    <xf numFmtId="166" fontId="2" fillId="4" borderId="0" xfId="2" applyNumberFormat="1" applyFont="1" applyFill="1" applyBorder="1"/>
    <xf numFmtId="9" fontId="2" fillId="2" borderId="8" xfId="2" applyNumberFormat="1" applyFont="1" applyFill="1" applyBorder="1"/>
    <xf numFmtId="167" fontId="28" fillId="2" borderId="8" xfId="1" applyNumberFormat="1" applyFont="1" applyFill="1" applyBorder="1"/>
    <xf numFmtId="167" fontId="2" fillId="2" borderId="0" xfId="2" applyNumberFormat="1" applyFont="1" applyFill="1" applyBorder="1"/>
    <xf numFmtId="164" fontId="2" fillId="2" borderId="0" xfId="1" applyNumberFormat="1" applyFont="1" applyFill="1" applyBorder="1"/>
    <xf numFmtId="167" fontId="2" fillId="4" borderId="0" xfId="1" applyNumberFormat="1" applyFont="1" applyFill="1" applyBorder="1"/>
    <xf numFmtId="0" fontId="2" fillId="2" borderId="17" xfId="0" applyFont="1" applyFill="1" applyBorder="1"/>
    <xf numFmtId="167" fontId="2" fillId="2" borderId="17" xfId="1" applyNumberFormat="1" applyFont="1" applyFill="1" applyBorder="1"/>
    <xf numFmtId="0" fontId="3" fillId="2" borderId="17" xfId="0" applyFont="1" applyFill="1" applyBorder="1" applyAlignment="1">
      <alignment horizontal="center"/>
    </xf>
    <xf numFmtId="0" fontId="4" fillId="2" borderId="17" xfId="0" applyFont="1" applyFill="1" applyBorder="1"/>
    <xf numFmtId="10" fontId="2" fillId="2" borderId="0" xfId="1" applyNumberFormat="1" applyFont="1" applyFill="1" applyBorder="1"/>
    <xf numFmtId="0" fontId="2" fillId="2" borderId="0" xfId="0" applyFont="1" applyFill="1" applyBorder="1"/>
    <xf numFmtId="0" fontId="3" fillId="2" borderId="0" xfId="0" applyFont="1" applyFill="1" applyBorder="1" applyAlignment="1">
      <alignment horizontal="center"/>
    </xf>
    <xf numFmtId="0" fontId="4" fillId="2" borderId="0" xfId="0" applyFont="1" applyFill="1" applyBorder="1"/>
    <xf numFmtId="167" fontId="2" fillId="2" borderId="8" xfId="1" applyNumberFormat="1" applyFont="1" applyFill="1" applyBorder="1"/>
    <xf numFmtId="167" fontId="2" fillId="2" borderId="0" xfId="1" applyNumberFormat="1" applyFont="1" applyFill="1" applyBorder="1"/>
    <xf numFmtId="167" fontId="10" fillId="2" borderId="9" xfId="1" applyNumberFormat="1" applyFont="1" applyFill="1" applyBorder="1"/>
    <xf numFmtId="167" fontId="10" fillId="2" borderId="0" xfId="1" applyNumberFormat="1" applyFont="1" applyFill="1" applyBorder="1"/>
    <xf numFmtId="167" fontId="6" fillId="2" borderId="0" xfId="1" applyNumberFormat="1" applyFont="1" applyFill="1" applyBorder="1"/>
    <xf numFmtId="167" fontId="2" fillId="2" borderId="9" xfId="1" applyNumberFormat="1" applyFont="1" applyFill="1" applyBorder="1"/>
    <xf numFmtId="0" fontId="2" fillId="2" borderId="0" xfId="0" applyFont="1" applyFill="1" applyBorder="1" applyAlignment="1">
      <alignment horizontal="left" indent="1"/>
    </xf>
    <xf numFmtId="0" fontId="23" fillId="2" borderId="0" xfId="0" applyFont="1" applyFill="1" applyAlignment="1">
      <alignment horizontal="center"/>
    </xf>
    <xf numFmtId="166" fontId="2" fillId="2" borderId="0" xfId="2" applyNumberFormat="1" applyFont="1" applyFill="1" applyBorder="1"/>
    <xf numFmtId="9" fontId="2" fillId="2" borderId="0" xfId="2" applyNumberFormat="1" applyFont="1" applyFill="1" applyBorder="1"/>
    <xf numFmtId="0" fontId="6" fillId="2" borderId="1" xfId="0" applyFont="1" applyFill="1" applyBorder="1" applyAlignment="1">
      <alignment horizontal="center"/>
    </xf>
    <xf numFmtId="167" fontId="2" fillId="3" borderId="0" xfId="1" applyNumberFormat="1" applyFont="1" applyFill="1" applyBorder="1"/>
    <xf numFmtId="9" fontId="2" fillId="3" borderId="0" xfId="2" applyFont="1" applyFill="1" applyBorder="1"/>
    <xf numFmtId="9" fontId="6" fillId="2" borderId="0" xfId="2" applyFont="1" applyFill="1" applyBorder="1"/>
    <xf numFmtId="9" fontId="2" fillId="2" borderId="0" xfId="1" applyNumberFormat="1" applyFont="1" applyFill="1" applyBorder="1"/>
    <xf numFmtId="0" fontId="0" fillId="2" borderId="0" xfId="0" applyFill="1" applyBorder="1"/>
    <xf numFmtId="0" fontId="2" fillId="2" borderId="21" xfId="0" applyFont="1" applyFill="1" applyBorder="1"/>
    <xf numFmtId="0" fontId="3" fillId="2" borderId="21" xfId="0" applyFont="1" applyFill="1" applyBorder="1" applyAlignment="1">
      <alignment horizontal="center"/>
    </xf>
    <xf numFmtId="0" fontId="10" fillId="2" borderId="22" xfId="0" applyFont="1" applyFill="1" applyBorder="1" applyAlignment="1">
      <alignment horizontal="left"/>
    </xf>
    <xf numFmtId="0" fontId="2" fillId="2" borderId="22" xfId="0" applyFont="1" applyFill="1" applyBorder="1"/>
    <xf numFmtId="167" fontId="2" fillId="2" borderId="22" xfId="1" applyNumberFormat="1" applyFont="1" applyFill="1" applyBorder="1"/>
    <xf numFmtId="0" fontId="10" fillId="2" borderId="22" xfId="0" applyFont="1" applyFill="1" applyBorder="1"/>
    <xf numFmtId="167" fontId="10" fillId="2" borderId="22" xfId="1" applyNumberFormat="1" applyFont="1" applyFill="1" applyBorder="1"/>
    <xf numFmtId="0" fontId="2" fillId="2" borderId="23" xfId="0" applyFont="1" applyFill="1" applyBorder="1"/>
    <xf numFmtId="0" fontId="10" fillId="2" borderId="23" xfId="0" applyFont="1" applyFill="1" applyBorder="1"/>
    <xf numFmtId="167" fontId="2" fillId="2" borderId="23" xfId="1" applyNumberFormat="1" applyFont="1" applyFill="1" applyBorder="1"/>
    <xf numFmtId="0" fontId="3" fillId="2" borderId="23" xfId="0" applyFont="1" applyFill="1" applyBorder="1" applyAlignment="1">
      <alignment horizontal="center"/>
    </xf>
    <xf numFmtId="167" fontId="10" fillId="2" borderId="23" xfId="1" applyNumberFormat="1" applyFont="1" applyFill="1" applyBorder="1"/>
    <xf numFmtId="0" fontId="3" fillId="2" borderId="23" xfId="0" applyFont="1" applyFill="1" applyBorder="1"/>
    <xf numFmtId="0" fontId="4" fillId="2" borderId="23" xfId="0" applyFont="1" applyFill="1" applyBorder="1"/>
    <xf numFmtId="164" fontId="2" fillId="2" borderId="8" xfId="1" applyFont="1" applyFill="1" applyBorder="1"/>
    <xf numFmtId="0" fontId="13" fillId="2" borderId="22" xfId="0" applyFont="1" applyFill="1" applyBorder="1" applyAlignment="1">
      <alignment horizontal="center"/>
    </xf>
    <xf numFmtId="172" fontId="2" fillId="2" borderId="0" xfId="0" applyNumberFormat="1" applyFont="1" applyFill="1"/>
    <xf numFmtId="172" fontId="6" fillId="2" borderId="0" xfId="0" applyNumberFormat="1" applyFont="1" applyFill="1" applyBorder="1"/>
    <xf numFmtId="172" fontId="2" fillId="2" borderId="0" xfId="0" applyNumberFormat="1" applyFont="1" applyFill="1" applyBorder="1"/>
    <xf numFmtId="172" fontId="3" fillId="2" borderId="0" xfId="0" applyNumberFormat="1" applyFont="1" applyFill="1" applyBorder="1" applyAlignment="1">
      <alignment horizontal="center"/>
    </xf>
    <xf numFmtId="172" fontId="4" fillId="2" borderId="0" xfId="0" applyNumberFormat="1" applyFont="1" applyFill="1" applyBorder="1"/>
    <xf numFmtId="172" fontId="2" fillId="2" borderId="0" xfId="1" applyNumberFormat="1" applyFont="1" applyFill="1" applyBorder="1"/>
    <xf numFmtId="9" fontId="2" fillId="2" borderId="0" xfId="0" applyNumberFormat="1" applyFont="1" applyFill="1" applyBorder="1"/>
    <xf numFmtId="0" fontId="32" fillId="9" borderId="0" xfId="0" applyFont="1" applyFill="1" applyBorder="1"/>
    <xf numFmtId="0" fontId="24" fillId="9" borderId="0" xfId="0" applyFont="1" applyFill="1" applyBorder="1"/>
    <xf numFmtId="167" fontId="32" fillId="9" borderId="0" xfId="1" applyNumberFormat="1" applyFont="1" applyFill="1" applyBorder="1"/>
    <xf numFmtId="0" fontId="33" fillId="9" borderId="0" xfId="0" applyFont="1" applyFill="1" applyBorder="1" applyAlignment="1">
      <alignment horizontal="center"/>
    </xf>
    <xf numFmtId="0" fontId="4" fillId="9" borderId="0" xfId="0" applyFont="1" applyFill="1" applyBorder="1"/>
    <xf numFmtId="0" fontId="24" fillId="9" borderId="24" xfId="0" applyFont="1" applyFill="1" applyBorder="1"/>
    <xf numFmtId="0" fontId="32" fillId="9" borderId="24" xfId="0" applyFont="1" applyFill="1" applyBorder="1"/>
    <xf numFmtId="167" fontId="32" fillId="9" borderId="24" xfId="1" applyNumberFormat="1" applyFont="1" applyFill="1" applyBorder="1"/>
    <xf numFmtId="0" fontId="33" fillId="9" borderId="24" xfId="0" applyFont="1" applyFill="1" applyBorder="1" applyAlignment="1">
      <alignment horizontal="center"/>
    </xf>
    <xf numFmtId="0" fontId="4" fillId="9" borderId="24" xfId="0" applyFont="1" applyFill="1" applyBorder="1"/>
    <xf numFmtId="166" fontId="32" fillId="9" borderId="0" xfId="2" applyNumberFormat="1" applyFont="1" applyFill="1" applyBorder="1"/>
    <xf numFmtId="0" fontId="34" fillId="9" borderId="24" xfId="0" applyFont="1" applyFill="1" applyBorder="1"/>
    <xf numFmtId="0" fontId="24" fillId="9" borderId="25" xfId="0" applyFont="1" applyFill="1" applyBorder="1"/>
    <xf numFmtId="0" fontId="32" fillId="9" borderId="25" xfId="0" applyFont="1" applyFill="1" applyBorder="1"/>
    <xf numFmtId="167" fontId="32" fillId="9" borderId="25" xfId="1" applyNumberFormat="1" applyFont="1" applyFill="1" applyBorder="1"/>
    <xf numFmtId="0" fontId="33" fillId="9" borderId="25" xfId="0" applyFont="1" applyFill="1" applyBorder="1" applyAlignment="1">
      <alignment horizontal="center"/>
    </xf>
    <xf numFmtId="0" fontId="4" fillId="9" borderId="25" xfId="0" applyFont="1" applyFill="1" applyBorder="1"/>
    <xf numFmtId="167" fontId="24" fillId="9" borderId="25" xfId="1" applyNumberFormat="1" applyFont="1" applyFill="1" applyBorder="1"/>
    <xf numFmtId="167" fontId="24" fillId="9" borderId="24" xfId="1" applyNumberFormat="1" applyFont="1" applyFill="1" applyBorder="1"/>
    <xf numFmtId="9" fontId="2" fillId="2" borderId="0" xfId="1" applyNumberFormat="1" applyFont="1" applyFill="1"/>
    <xf numFmtId="0" fontId="24" fillId="10" borderId="0" xfId="0" applyFont="1" applyFill="1" applyBorder="1"/>
    <xf numFmtId="0" fontId="32" fillId="10" borderId="0" xfId="0" applyFont="1" applyFill="1" applyBorder="1"/>
    <xf numFmtId="0" fontId="32" fillId="10" borderId="25" xfId="0" applyFont="1" applyFill="1" applyBorder="1"/>
    <xf numFmtId="0" fontId="4" fillId="2" borderId="22" xfId="0" applyFont="1" applyFill="1" applyBorder="1"/>
    <xf numFmtId="167" fontId="2" fillId="2" borderId="0" xfId="0" applyNumberFormat="1" applyFont="1" applyFill="1"/>
    <xf numFmtId="0" fontId="10" fillId="2" borderId="26" xfId="0" applyFont="1" applyFill="1" applyBorder="1"/>
    <xf numFmtId="0" fontId="2" fillId="2" borderId="26" xfId="0" applyFont="1" applyFill="1" applyBorder="1"/>
    <xf numFmtId="167" fontId="2" fillId="2" borderId="26" xfId="1" applyNumberFormat="1" applyFont="1" applyFill="1" applyBorder="1"/>
    <xf numFmtId="0" fontId="3" fillId="2" borderId="26" xfId="0" applyFont="1" applyFill="1" applyBorder="1" applyAlignment="1">
      <alignment horizontal="center"/>
    </xf>
    <xf numFmtId="0" fontId="4" fillId="2" borderId="26" xfId="0" applyFont="1" applyFill="1" applyBorder="1"/>
    <xf numFmtId="164" fontId="2" fillId="2" borderId="26" xfId="1" applyFont="1" applyFill="1" applyBorder="1"/>
    <xf numFmtId="0" fontId="6" fillId="2" borderId="27" xfId="0" applyFont="1" applyFill="1" applyBorder="1"/>
    <xf numFmtId="0" fontId="14" fillId="2" borderId="27" xfId="0" applyFont="1" applyFill="1" applyBorder="1"/>
    <xf numFmtId="0" fontId="2" fillId="2" borderId="27" xfId="0" applyFont="1" applyFill="1" applyBorder="1"/>
    <xf numFmtId="168" fontId="2" fillId="2" borderId="27" xfId="1" applyNumberFormat="1" applyFont="1" applyFill="1" applyBorder="1" applyAlignment="1">
      <alignment horizontal="center" vertical="center"/>
    </xf>
    <xf numFmtId="0" fontId="3" fillId="2" borderId="27" xfId="0" applyFont="1" applyFill="1" applyBorder="1" applyAlignment="1">
      <alignment horizontal="center"/>
    </xf>
    <xf numFmtId="167" fontId="2" fillId="2" borderId="27" xfId="1" applyNumberFormat="1" applyFont="1" applyFill="1" applyBorder="1" applyAlignment="1">
      <alignment horizontal="center"/>
    </xf>
    <xf numFmtId="167" fontId="2" fillId="4" borderId="0" xfId="1" applyNumberFormat="1" applyFont="1" applyFill="1"/>
    <xf numFmtId="166" fontId="2" fillId="4" borderId="0" xfId="2" applyNumberFormat="1" applyFont="1" applyFill="1"/>
    <xf numFmtId="164" fontId="2" fillId="2" borderId="17" xfId="1" applyFont="1" applyFill="1" applyBorder="1"/>
    <xf numFmtId="10" fontId="2" fillId="2" borderId="0" xfId="2" applyNumberFormat="1" applyFont="1" applyFill="1"/>
    <xf numFmtId="167" fontId="10" fillId="2" borderId="0" xfId="1" applyNumberFormat="1" applyFont="1" applyFill="1"/>
    <xf numFmtId="166" fontId="6" fillId="2" borderId="0" xfId="2" applyNumberFormat="1" applyFont="1" applyFill="1" applyBorder="1"/>
    <xf numFmtId="9" fontId="2" fillId="2" borderId="9" xfId="2" applyFont="1" applyFill="1" applyBorder="1"/>
    <xf numFmtId="10" fontId="2" fillId="2" borderId="8" xfId="1" applyNumberFormat="1" applyFont="1" applyFill="1" applyBorder="1"/>
    <xf numFmtId="0" fontId="12" fillId="2" borderId="0" xfId="0" applyFont="1" applyFill="1" applyBorder="1"/>
    <xf numFmtId="167" fontId="28" fillId="2" borderId="0" xfId="1" applyNumberFormat="1" applyFont="1" applyFill="1"/>
    <xf numFmtId="0" fontId="7" fillId="3" borderId="28" xfId="0" applyFont="1" applyFill="1" applyBorder="1" applyAlignment="1">
      <alignment horizontal="right"/>
    </xf>
    <xf numFmtId="0" fontId="7" fillId="3" borderId="20" xfId="0" applyFont="1" applyFill="1" applyBorder="1" applyAlignment="1">
      <alignment horizontal="right"/>
    </xf>
    <xf numFmtId="9" fontId="2" fillId="4" borderId="0" xfId="2" applyNumberFormat="1" applyFont="1" applyFill="1"/>
    <xf numFmtId="10" fontId="2" fillId="4" borderId="0" xfId="2" applyNumberFormat="1" applyFont="1" applyFill="1"/>
    <xf numFmtId="173" fontId="2" fillId="4" borderId="0" xfId="0" applyNumberFormat="1" applyFont="1" applyFill="1" applyAlignment="1">
      <alignment horizontal="center"/>
    </xf>
    <xf numFmtId="166" fontId="2" fillId="4" borderId="0" xfId="2" applyNumberFormat="1" applyFont="1" applyFill="1" applyAlignment="1">
      <alignment horizontal="right"/>
    </xf>
    <xf numFmtId="10" fontId="2" fillId="2" borderId="0" xfId="2" applyNumberFormat="1" applyFont="1" applyFill="1" applyAlignment="1">
      <alignment horizontal="right"/>
    </xf>
    <xf numFmtId="172" fontId="36" fillId="2" borderId="0" xfId="0" applyNumberFormat="1" applyFont="1" applyFill="1" applyAlignment="1" applyProtection="1">
      <protection locked="0" hidden="1"/>
    </xf>
    <xf numFmtId="167" fontId="2" fillId="4" borderId="0" xfId="0" applyNumberFormat="1" applyFont="1" applyFill="1"/>
    <xf numFmtId="171" fontId="2" fillId="2" borderId="0" xfId="1" applyNumberFormat="1" applyFont="1" applyFill="1"/>
    <xf numFmtId="10" fontId="36" fillId="2" borderId="0" xfId="2" applyNumberFormat="1" applyFont="1" applyFill="1" applyAlignment="1" applyProtection="1">
      <protection locked="0" hidden="1"/>
    </xf>
    <xf numFmtId="9" fontId="2" fillId="4" borderId="0" xfId="2" applyFont="1" applyFill="1"/>
    <xf numFmtId="10" fontId="2" fillId="4" borderId="0" xfId="2" applyNumberFormat="1" applyFont="1" applyFill="1" applyAlignment="1">
      <alignment horizontal="right"/>
    </xf>
    <xf numFmtId="164" fontId="37" fillId="2" borderId="0" xfId="1" applyFont="1" applyFill="1"/>
    <xf numFmtId="167" fontId="2" fillId="0" borderId="9" xfId="1" applyNumberFormat="1" applyFont="1" applyFill="1" applyBorder="1"/>
    <xf numFmtId="0" fontId="23" fillId="2" borderId="0" xfId="0" applyFont="1" applyFill="1" applyBorder="1" applyAlignment="1">
      <alignment horizontal="center"/>
    </xf>
    <xf numFmtId="0" fontId="23" fillId="2" borderId="8" xfId="0" applyFont="1" applyFill="1" applyBorder="1" applyAlignment="1">
      <alignment horizontal="center"/>
    </xf>
    <xf numFmtId="0" fontId="2" fillId="3" borderId="0" xfId="0" applyFont="1" applyFill="1" applyBorder="1"/>
    <xf numFmtId="0" fontId="4" fillId="3" borderId="0" xfId="0" applyFont="1" applyFill="1" applyBorder="1"/>
    <xf numFmtId="167" fontId="39" fillId="2" borderId="0" xfId="1" applyNumberFormat="1" applyFont="1" applyFill="1"/>
    <xf numFmtId="166" fontId="2" fillId="2" borderId="0" xfId="2" applyNumberFormat="1" applyFont="1" applyFill="1" applyAlignment="1">
      <alignment horizontal="right"/>
    </xf>
    <xf numFmtId="167" fontId="2" fillId="4" borderId="9" xfId="1" applyNumberFormat="1" applyFont="1" applyFill="1" applyBorder="1"/>
    <xf numFmtId="167" fontId="24" fillId="10" borderId="24" xfId="1" applyNumberFormat="1" applyFont="1" applyFill="1" applyBorder="1"/>
    <xf numFmtId="167" fontId="32" fillId="10" borderId="0" xfId="1" applyNumberFormat="1" applyFont="1" applyFill="1" applyBorder="1"/>
    <xf numFmtId="166" fontId="32" fillId="10" borderId="0" xfId="2" applyNumberFormat="1" applyFont="1" applyFill="1" applyBorder="1"/>
    <xf numFmtId="167" fontId="32" fillId="10" borderId="24" xfId="1" applyNumberFormat="1" applyFont="1" applyFill="1" applyBorder="1"/>
    <xf numFmtId="167" fontId="24" fillId="10" borderId="25" xfId="1" applyNumberFormat="1" applyFont="1" applyFill="1" applyBorder="1"/>
    <xf numFmtId="0" fontId="33" fillId="10" borderId="0" xfId="0" applyFont="1" applyFill="1" applyBorder="1" applyAlignment="1">
      <alignment horizontal="center"/>
    </xf>
    <xf numFmtId="0" fontId="4" fillId="10" borderId="0" xfId="0" applyFont="1" applyFill="1" applyBorder="1"/>
    <xf numFmtId="0" fontId="24" fillId="10" borderId="25" xfId="0" applyFont="1" applyFill="1" applyBorder="1"/>
    <xf numFmtId="167" fontId="32" fillId="10" borderId="25" xfId="1" applyNumberFormat="1" applyFont="1" applyFill="1" applyBorder="1"/>
    <xf numFmtId="0" fontId="33" fillId="10" borderId="25" xfId="0" applyFont="1" applyFill="1" applyBorder="1" applyAlignment="1">
      <alignment horizontal="center"/>
    </xf>
    <xf numFmtId="0" fontId="4" fillId="10" borderId="25" xfId="0" applyFont="1" applyFill="1" applyBorder="1"/>
    <xf numFmtId="9" fontId="32" fillId="10" borderId="0" xfId="2" applyFont="1" applyFill="1" applyBorder="1"/>
    <xf numFmtId="167" fontId="24" fillId="10" borderId="0" xfId="1" applyNumberFormat="1" applyFont="1" applyFill="1" applyBorder="1"/>
    <xf numFmtId="164" fontId="24" fillId="10" borderId="0" xfId="1" applyNumberFormat="1" applyFont="1" applyFill="1" applyBorder="1"/>
    <xf numFmtId="167" fontId="2" fillId="5" borderId="0" xfId="1" applyNumberFormat="1" applyFont="1" applyFill="1" applyBorder="1"/>
    <xf numFmtId="167" fontId="10" fillId="5" borderId="0" xfId="1" applyNumberFormat="1" applyFont="1" applyFill="1" applyBorder="1"/>
    <xf numFmtId="167" fontId="10" fillId="5" borderId="8" xfId="1" applyNumberFormat="1" applyFont="1" applyFill="1" applyBorder="1"/>
    <xf numFmtId="0" fontId="16" fillId="2" borderId="0" xfId="0" applyFont="1" applyFill="1" applyBorder="1"/>
    <xf numFmtId="166" fontId="2" fillId="5" borderId="0" xfId="2" applyNumberFormat="1" applyFont="1" applyFill="1" applyBorder="1"/>
    <xf numFmtId="170" fontId="2" fillId="5" borderId="0" xfId="1" applyNumberFormat="1" applyFont="1" applyFill="1" applyBorder="1"/>
    <xf numFmtId="10" fontId="2" fillId="5" borderId="0" xfId="2" applyNumberFormat="1" applyFont="1" applyFill="1" applyBorder="1"/>
    <xf numFmtId="0" fontId="14" fillId="2" borderId="0" xfId="0" applyFont="1" applyFill="1"/>
    <xf numFmtId="1" fontId="2" fillId="2" borderId="0" xfId="1" applyNumberFormat="1" applyFont="1" applyFill="1"/>
    <xf numFmtId="0" fontId="2" fillId="2" borderId="3" xfId="0" applyFont="1" applyFill="1" applyBorder="1"/>
    <xf numFmtId="39" fontId="2" fillId="2" borderId="0" xfId="1" applyNumberFormat="1" applyFont="1" applyFill="1"/>
    <xf numFmtId="166" fontId="2" fillId="2" borderId="0" xfId="2" applyNumberFormat="1" applyFont="1" applyFill="1" applyBorder="1" applyAlignment="1">
      <alignment horizontal="center"/>
    </xf>
    <xf numFmtId="2" fontId="2" fillId="2" borderId="0" xfId="2" applyNumberFormat="1" applyFont="1" applyFill="1" applyBorder="1" applyAlignment="1">
      <alignment horizontal="center"/>
    </xf>
    <xf numFmtId="167" fontId="10" fillId="2" borderId="0" xfId="1" applyNumberFormat="1" applyFont="1" applyFill="1" applyBorder="1" applyAlignment="1">
      <alignment vertical="center"/>
    </xf>
    <xf numFmtId="0" fontId="10" fillId="2" borderId="0" xfId="1" applyNumberFormat="1" applyFont="1" applyFill="1" applyBorder="1" applyAlignment="1">
      <alignment horizontal="center" vertical="center"/>
    </xf>
    <xf numFmtId="0" fontId="10" fillId="2" borderId="0" xfId="1" applyNumberFormat="1" applyFont="1" applyFill="1" applyBorder="1" applyAlignment="1">
      <alignment horizontal="center" vertical="center" wrapText="1"/>
    </xf>
    <xf numFmtId="2" fontId="2" fillId="2" borderId="0" xfId="1" applyNumberFormat="1" applyFont="1" applyFill="1" applyBorder="1" applyAlignment="1">
      <alignment horizontal="center"/>
    </xf>
    <xf numFmtId="166" fontId="12" fillId="2" borderId="0" xfId="2" applyNumberFormat="1" applyFont="1" applyFill="1" applyBorder="1" applyAlignment="1">
      <alignment horizontal="center"/>
    </xf>
    <xf numFmtId="0" fontId="10" fillId="2" borderId="0" xfId="1" applyNumberFormat="1" applyFont="1" applyFill="1" applyBorder="1"/>
    <xf numFmtId="167" fontId="10" fillId="2" borderId="0" xfId="1" applyNumberFormat="1" applyFont="1" applyFill="1" applyBorder="1" applyAlignment="1">
      <alignment horizontal="center" vertical="center"/>
    </xf>
    <xf numFmtId="1" fontId="10" fillId="2" borderId="0" xfId="1" applyNumberFormat="1" applyFont="1" applyFill="1" applyBorder="1" applyAlignment="1">
      <alignment horizontal="center"/>
    </xf>
    <xf numFmtId="0" fontId="2" fillId="2" borderId="0" xfId="0" applyFont="1" applyFill="1" applyAlignment="1">
      <alignment horizontal="left"/>
    </xf>
    <xf numFmtId="166" fontId="2" fillId="2" borderId="8" xfId="2" applyNumberFormat="1" applyFont="1" applyFill="1" applyBorder="1"/>
    <xf numFmtId="167" fontId="32" fillId="2" borderId="0" xfId="1" applyNumberFormat="1" applyFont="1" applyFill="1" applyBorder="1"/>
    <xf numFmtId="0" fontId="4" fillId="2" borderId="36" xfId="0" applyFont="1" applyFill="1" applyBorder="1"/>
    <xf numFmtId="0" fontId="10" fillId="3" borderId="0" xfId="0" applyFont="1" applyFill="1"/>
    <xf numFmtId="0" fontId="10" fillId="3" borderId="0" xfId="0" applyFont="1" applyFill="1" applyBorder="1"/>
    <xf numFmtId="0" fontId="3" fillId="3" borderId="0" xfId="0" applyFont="1" applyFill="1" applyBorder="1" applyAlignment="1">
      <alignment horizontal="center"/>
    </xf>
    <xf numFmtId="167" fontId="10" fillId="3" borderId="0" xfId="1" applyNumberFormat="1" applyFont="1" applyFill="1" applyBorder="1"/>
    <xf numFmtId="0" fontId="2" fillId="3" borderId="8" xfId="0" applyFont="1" applyFill="1" applyBorder="1"/>
    <xf numFmtId="0" fontId="10" fillId="3" borderId="8" xfId="0" applyFont="1" applyFill="1" applyBorder="1"/>
    <xf numFmtId="167" fontId="2" fillId="3" borderId="8" xfId="1" applyNumberFormat="1" applyFont="1" applyFill="1" applyBorder="1"/>
    <xf numFmtId="0" fontId="3" fillId="3" borderId="8" xfId="0" applyFont="1" applyFill="1" applyBorder="1" applyAlignment="1">
      <alignment horizontal="center"/>
    </xf>
    <xf numFmtId="0" fontId="4" fillId="3" borderId="8" xfId="0" applyFont="1" applyFill="1" applyBorder="1"/>
    <xf numFmtId="167" fontId="10" fillId="3" borderId="8" xfId="1" applyNumberFormat="1" applyFont="1" applyFill="1" applyBorder="1"/>
    <xf numFmtId="9" fontId="2" fillId="4" borderId="0" xfId="1" applyNumberFormat="1" applyFont="1" applyFill="1"/>
    <xf numFmtId="1" fontId="27" fillId="2" borderId="0" xfId="1" applyNumberFormat="1" applyFont="1" applyFill="1" applyBorder="1" applyAlignment="1">
      <alignment horizontal="center"/>
    </xf>
    <xf numFmtId="164" fontId="32" fillId="10" borderId="0" xfId="1" applyNumberFormat="1" applyFont="1" applyFill="1" applyBorder="1"/>
    <xf numFmtId="10" fontId="32" fillId="10" borderId="0" xfId="2" applyNumberFormat="1" applyFont="1" applyFill="1" applyBorder="1" applyAlignment="1">
      <alignment horizontal="center"/>
    </xf>
    <xf numFmtId="167" fontId="10" fillId="2" borderId="19" xfId="1" applyNumberFormat="1" applyFont="1" applyFill="1" applyBorder="1"/>
    <xf numFmtId="167" fontId="2" fillId="11" borderId="0" xfId="1" applyNumberFormat="1" applyFont="1" applyFill="1" applyBorder="1"/>
    <xf numFmtId="164" fontId="2" fillId="2" borderId="0" xfId="1" applyFont="1" applyFill="1" applyBorder="1" applyAlignment="1">
      <alignment horizontal="center"/>
    </xf>
    <xf numFmtId="167" fontId="10" fillId="2" borderId="0" xfId="1" applyNumberFormat="1" applyFont="1" applyFill="1" applyBorder="1" applyAlignment="1">
      <alignment horizontal="center"/>
    </xf>
    <xf numFmtId="167" fontId="27" fillId="2" borderId="0" xfId="1" applyNumberFormat="1" applyFont="1" applyFill="1" applyBorder="1" applyAlignment="1">
      <alignment horizontal="center"/>
    </xf>
    <xf numFmtId="0" fontId="16" fillId="5" borderId="0" xfId="0" applyFont="1" applyFill="1" applyBorder="1"/>
    <xf numFmtId="0" fontId="0" fillId="5" borderId="29" xfId="0" applyFill="1" applyBorder="1"/>
    <xf numFmtId="0" fontId="16" fillId="5" borderId="30" xfId="0" applyFont="1" applyFill="1" applyBorder="1"/>
    <xf numFmtId="0" fontId="16" fillId="5" borderId="31" xfId="0" applyFont="1" applyFill="1" applyBorder="1"/>
    <xf numFmtId="0" fontId="20" fillId="5" borderId="32" xfId="0" applyFont="1" applyFill="1" applyBorder="1" applyAlignment="1">
      <alignment horizontal="center"/>
    </xf>
    <xf numFmtId="0" fontId="16" fillId="5" borderId="33" xfId="0" applyFont="1" applyFill="1" applyBorder="1"/>
    <xf numFmtId="0" fontId="21" fillId="5" borderId="32" xfId="0" applyFont="1" applyFill="1" applyBorder="1" applyAlignment="1">
      <alignment horizontal="center"/>
    </xf>
    <xf numFmtId="0" fontId="41" fillId="5" borderId="0" xfId="0" applyFont="1" applyFill="1" applyBorder="1"/>
    <xf numFmtId="0" fontId="40" fillId="5" borderId="0" xfId="0" applyFont="1" applyFill="1" applyBorder="1"/>
    <xf numFmtId="174" fontId="42" fillId="5" borderId="0" xfId="0" applyNumberFormat="1" applyFont="1" applyFill="1" applyBorder="1" applyAlignment="1">
      <alignment horizontal="left" indent="1"/>
    </xf>
    <xf numFmtId="0" fontId="16" fillId="5" borderId="32" xfId="0" applyFont="1" applyFill="1" applyBorder="1"/>
    <xf numFmtId="0" fontId="16" fillId="5" borderId="34" xfId="0" applyFont="1" applyFill="1" applyBorder="1"/>
    <xf numFmtId="0" fontId="16" fillId="5" borderId="1" xfId="0" applyFont="1" applyFill="1" applyBorder="1"/>
    <xf numFmtId="0" fontId="16" fillId="5" borderId="35" xfId="0" applyFont="1" applyFill="1" applyBorder="1"/>
    <xf numFmtId="0" fontId="45" fillId="5" borderId="0" xfId="0" applyFont="1" applyFill="1" applyBorder="1" applyAlignment="1">
      <alignment horizontal="left" indent="1"/>
    </xf>
    <xf numFmtId="174" fontId="45" fillId="5" borderId="0" xfId="0" applyNumberFormat="1" applyFont="1" applyFill="1" applyBorder="1" applyAlignment="1">
      <alignment horizontal="left" indent="1"/>
    </xf>
    <xf numFmtId="0" fontId="46" fillId="5" borderId="0" xfId="0" applyFont="1" applyFill="1" applyBorder="1" applyAlignment="1">
      <alignment horizontal="left" indent="1"/>
    </xf>
    <xf numFmtId="0" fontId="46" fillId="5" borderId="0" xfId="0" applyFont="1" applyFill="1" applyBorder="1"/>
    <xf numFmtId="0" fontId="47" fillId="2" borderId="0" xfId="0" applyFont="1" applyFill="1"/>
    <xf numFmtId="0" fontId="18" fillId="2" borderId="0" xfId="0" applyFont="1" applyFill="1" applyBorder="1"/>
    <xf numFmtId="0" fontId="0" fillId="2" borderId="37" xfId="0" applyFill="1" applyBorder="1"/>
    <xf numFmtId="49" fontId="19" fillId="2" borderId="0" xfId="0" applyNumberFormat="1" applyFont="1" applyFill="1" applyBorder="1"/>
    <xf numFmtId="0" fontId="20" fillId="7" borderId="0" xfId="0" applyFont="1" applyFill="1" applyBorder="1" applyAlignment="1">
      <alignment horizontal="center"/>
    </xf>
    <xf numFmtId="0" fontId="21" fillId="12" borderId="0" xfId="0" applyFont="1" applyFill="1" applyAlignment="1">
      <alignment horizontal="center"/>
    </xf>
    <xf numFmtId="0" fontId="20" fillId="13" borderId="0" xfId="0" applyFont="1" applyFill="1" applyAlignment="1">
      <alignment horizontal="center"/>
    </xf>
    <xf numFmtId="0" fontId="48" fillId="5" borderId="0" xfId="0" applyFont="1" applyFill="1" applyBorder="1"/>
    <xf numFmtId="0" fontId="49" fillId="5" borderId="0" xfId="0" applyFont="1" applyFill="1" applyBorder="1" applyAlignment="1">
      <alignment horizontal="left" indent="1"/>
    </xf>
    <xf numFmtId="0" fontId="15" fillId="5" borderId="38" xfId="0" applyFont="1" applyFill="1" applyBorder="1"/>
    <xf numFmtId="0" fontId="27" fillId="5" borderId="38" xfId="0" applyFont="1" applyFill="1" applyBorder="1"/>
    <xf numFmtId="0" fontId="15" fillId="5" borderId="38" xfId="0" applyFont="1" applyFill="1" applyBorder="1" applyAlignment="1">
      <alignment horizontal="center"/>
    </xf>
    <xf numFmtId="0" fontId="22" fillId="5" borderId="38" xfId="0" applyFont="1" applyFill="1" applyBorder="1"/>
    <xf numFmtId="0" fontId="10" fillId="5" borderId="38" xfId="0" applyFont="1" applyFill="1" applyBorder="1"/>
    <xf numFmtId="0" fontId="6" fillId="5" borderId="38" xfId="0" applyFont="1" applyFill="1" applyBorder="1"/>
    <xf numFmtId="0" fontId="2" fillId="5" borderId="38" xfId="0" applyFont="1" applyFill="1" applyBorder="1"/>
    <xf numFmtId="164" fontId="2" fillId="5" borderId="38" xfId="1" applyFont="1" applyFill="1" applyBorder="1"/>
    <xf numFmtId="0" fontId="3" fillId="5" borderId="38" xfId="0" applyFont="1" applyFill="1" applyBorder="1" applyAlignment="1">
      <alignment horizontal="center"/>
    </xf>
    <xf numFmtId="0" fontId="4" fillId="5" borderId="38" xfId="0" applyFont="1" applyFill="1" applyBorder="1"/>
    <xf numFmtId="1" fontId="2" fillId="5" borderId="38" xfId="1" applyNumberFormat="1" applyFont="1" applyFill="1" applyBorder="1"/>
    <xf numFmtId="166" fontId="2" fillId="5" borderId="38" xfId="2" applyNumberFormat="1" applyFont="1" applyFill="1" applyBorder="1"/>
    <xf numFmtId="0" fontId="38" fillId="13" borderId="3" xfId="0" applyFont="1" applyFill="1" applyBorder="1" applyAlignment="1">
      <alignment horizontal="right"/>
    </xf>
    <xf numFmtId="0" fontId="38" fillId="13" borderId="4" xfId="0" applyFont="1" applyFill="1" applyBorder="1" applyAlignment="1">
      <alignment horizontal="right"/>
    </xf>
    <xf numFmtId="0" fontId="10" fillId="2" borderId="0" xfId="1" applyNumberFormat="1" applyFont="1" applyFill="1" applyBorder="1" applyAlignment="1">
      <alignment horizontal="center"/>
    </xf>
    <xf numFmtId="37" fontId="2" fillId="2" borderId="0" xfId="1" applyNumberFormat="1" applyFont="1" applyFill="1" applyBorder="1" applyAlignment="1">
      <alignment horizontal="center"/>
    </xf>
    <xf numFmtId="167" fontId="2" fillId="2" borderId="0" xfId="1" applyNumberFormat="1" applyFont="1" applyFill="1" applyBorder="1" applyAlignment="1">
      <alignment horizontal="left"/>
    </xf>
    <xf numFmtId="167" fontId="32" fillId="10" borderId="0" xfId="1" applyNumberFormat="1" applyFont="1" applyFill="1" applyBorder="1" applyAlignment="1">
      <alignment horizontal="center"/>
    </xf>
    <xf numFmtId="2" fontId="32" fillId="10" borderId="0" xfId="1" applyNumberFormat="1" applyFont="1" applyFill="1" applyBorder="1" applyAlignment="1">
      <alignment horizontal="center"/>
    </xf>
    <xf numFmtId="10" fontId="44" fillId="2" borderId="0" xfId="0" applyNumberFormat="1" applyFont="1" applyFill="1" applyBorder="1" applyAlignment="1">
      <alignment horizontal="center" wrapText="1" readingOrder="1"/>
    </xf>
    <xf numFmtId="0" fontId="50" fillId="12" borderId="13" xfId="1" applyNumberFormat="1" applyFont="1" applyFill="1" applyBorder="1" applyAlignment="1">
      <alignment horizontal="center" vertical="center"/>
    </xf>
    <xf numFmtId="17" fontId="2" fillId="2" borderId="0" xfId="0" applyNumberFormat="1" applyFont="1" applyFill="1"/>
    <xf numFmtId="167" fontId="3" fillId="2" borderId="0" xfId="0" applyNumberFormat="1" applyFont="1" applyFill="1" applyAlignment="1">
      <alignment horizontal="center"/>
    </xf>
    <xf numFmtId="0" fontId="10" fillId="2" borderId="19" xfId="0" applyFont="1" applyFill="1" applyBorder="1"/>
    <xf numFmtId="164" fontId="10" fillId="2" borderId="19" xfId="1" applyFont="1" applyFill="1" applyBorder="1"/>
    <xf numFmtId="0" fontId="11" fillId="2" borderId="19" xfId="0" applyFont="1" applyFill="1" applyBorder="1"/>
    <xf numFmtId="0" fontId="4" fillId="2" borderId="19" xfId="0" applyFont="1" applyFill="1" applyBorder="1"/>
    <xf numFmtId="0" fontId="6" fillId="2" borderId="44" xfId="0" applyFont="1" applyFill="1" applyBorder="1"/>
    <xf numFmtId="0" fontId="2" fillId="2" borderId="44" xfId="0" applyFont="1" applyFill="1" applyBorder="1"/>
    <xf numFmtId="0" fontId="3" fillId="2" borderId="44" xfId="0" applyFont="1" applyFill="1" applyBorder="1" applyAlignment="1">
      <alignment horizontal="center"/>
    </xf>
    <xf numFmtId="0" fontId="4" fillId="2" borderId="44" xfId="0" applyFont="1" applyFill="1" applyBorder="1"/>
    <xf numFmtId="164" fontId="2" fillId="2" borderId="44" xfId="1" applyFont="1" applyFill="1" applyBorder="1"/>
    <xf numFmtId="167" fontId="10" fillId="2" borderId="8" xfId="2" applyNumberFormat="1" applyFont="1" applyFill="1" applyBorder="1"/>
    <xf numFmtId="0" fontId="2" fillId="2" borderId="19" xfId="0" applyFont="1" applyFill="1" applyBorder="1"/>
    <xf numFmtId="167" fontId="2" fillId="2" borderId="19" xfId="1" applyNumberFormat="1" applyFont="1" applyFill="1" applyBorder="1"/>
    <xf numFmtId="0" fontId="13" fillId="2" borderId="19" xfId="0" applyFont="1" applyFill="1" applyBorder="1" applyAlignment="1">
      <alignment horizontal="center"/>
    </xf>
    <xf numFmtId="0" fontId="13" fillId="3" borderId="0" xfId="0" applyFont="1" applyFill="1" applyBorder="1" applyAlignment="1">
      <alignment horizontal="center"/>
    </xf>
    <xf numFmtId="164" fontId="10" fillId="3" borderId="0" xfId="1" applyFont="1" applyFill="1" applyBorder="1"/>
    <xf numFmtId="0" fontId="11" fillId="3" borderId="0" xfId="0" applyFont="1" applyFill="1" applyBorder="1"/>
    <xf numFmtId="167" fontId="2" fillId="2" borderId="44" xfId="1" applyNumberFormat="1" applyFont="1" applyFill="1" applyBorder="1"/>
    <xf numFmtId="0" fontId="14" fillId="2" borderId="44" xfId="0" applyFont="1" applyFill="1" applyBorder="1"/>
    <xf numFmtId="168" fontId="2" fillId="2" borderId="44" xfId="1" applyNumberFormat="1" applyFont="1" applyFill="1" applyBorder="1" applyAlignment="1">
      <alignment horizontal="center" vertical="center"/>
    </xf>
    <xf numFmtId="167" fontId="2" fillId="2" borderId="44" xfId="1" applyNumberFormat="1" applyFont="1" applyFill="1" applyBorder="1" applyAlignment="1">
      <alignment horizontal="center"/>
    </xf>
    <xf numFmtId="0" fontId="14" fillId="2" borderId="39" xfId="0" applyFont="1" applyFill="1" applyBorder="1"/>
    <xf numFmtId="0" fontId="6" fillId="2" borderId="39" xfId="0" applyFont="1" applyFill="1" applyBorder="1"/>
    <xf numFmtId="0" fontId="2" fillId="2" borderId="39" xfId="0" applyFont="1" applyFill="1" applyBorder="1"/>
    <xf numFmtId="168" fontId="2" fillId="2" borderId="39" xfId="1" applyNumberFormat="1" applyFont="1" applyFill="1" applyBorder="1" applyAlignment="1">
      <alignment horizontal="center" vertical="center"/>
    </xf>
    <xf numFmtId="0" fontId="3" fillId="2" borderId="39" xfId="0" applyFont="1" applyFill="1" applyBorder="1" applyAlignment="1">
      <alignment horizontal="center"/>
    </xf>
    <xf numFmtId="167" fontId="2" fillId="2" borderId="39" xfId="1" applyNumberFormat="1" applyFont="1" applyFill="1" applyBorder="1" applyAlignment="1">
      <alignment horizontal="center"/>
    </xf>
    <xf numFmtId="0" fontId="4" fillId="2" borderId="39" xfId="0" applyFont="1" applyFill="1" applyBorder="1"/>
    <xf numFmtId="164" fontId="2" fillId="2" borderId="39" xfId="1" applyFont="1" applyFill="1" applyBorder="1"/>
    <xf numFmtId="1" fontId="38" fillId="2" borderId="0" xfId="1" applyNumberFormat="1" applyFont="1" applyFill="1" applyBorder="1" applyAlignment="1">
      <alignment horizontal="center"/>
    </xf>
    <xf numFmtId="164" fontId="43" fillId="2" borderId="0" xfId="1" applyFont="1" applyFill="1"/>
    <xf numFmtId="0" fontId="10" fillId="5" borderId="40" xfId="0" applyFont="1" applyFill="1" applyBorder="1" applyAlignment="1">
      <alignment horizontal="left"/>
    </xf>
    <xf numFmtId="0" fontId="2" fillId="5" borderId="40" xfId="0" applyFont="1" applyFill="1" applyBorder="1"/>
    <xf numFmtId="167" fontId="2" fillId="5" borderId="40" xfId="1" applyNumberFormat="1" applyFont="1" applyFill="1" applyBorder="1"/>
    <xf numFmtId="0" fontId="10" fillId="5" borderId="40" xfId="0" applyFont="1" applyFill="1" applyBorder="1"/>
    <xf numFmtId="0" fontId="3" fillId="5" borderId="40" xfId="0" applyFont="1" applyFill="1" applyBorder="1" applyAlignment="1">
      <alignment horizontal="center"/>
    </xf>
    <xf numFmtId="0" fontId="4" fillId="5" borderId="40" xfId="0" applyFont="1" applyFill="1" applyBorder="1"/>
    <xf numFmtId="167" fontId="10" fillId="5" borderId="40" xfId="1" applyNumberFormat="1" applyFont="1" applyFill="1" applyBorder="1"/>
    <xf numFmtId="167" fontId="2" fillId="2" borderId="0" xfId="1" applyNumberFormat="1" applyFont="1" applyFill="1" applyBorder="1" applyAlignment="1">
      <alignment horizontal="right"/>
    </xf>
    <xf numFmtId="167" fontId="2" fillId="2" borderId="21" xfId="1" applyNumberFormat="1" applyFont="1" applyFill="1" applyBorder="1" applyAlignment="1">
      <alignment horizontal="right"/>
    </xf>
    <xf numFmtId="167" fontId="27" fillId="2" borderId="9" xfId="1" applyNumberFormat="1" applyFont="1" applyFill="1" applyBorder="1"/>
    <xf numFmtId="167" fontId="2" fillId="2" borderId="6" xfId="1" applyNumberFormat="1" applyFont="1" applyFill="1" applyBorder="1"/>
    <xf numFmtId="0" fontId="6" fillId="2" borderId="0" xfId="0" applyFont="1" applyFill="1" applyBorder="1" applyAlignment="1">
      <alignment horizontal="left" indent="1"/>
    </xf>
    <xf numFmtId="0" fontId="4" fillId="9" borderId="45" xfId="0" applyFont="1" applyFill="1" applyBorder="1"/>
    <xf numFmtId="0" fontId="0" fillId="14" borderId="0" xfId="0" applyFill="1"/>
    <xf numFmtId="0" fontId="55" fillId="13" borderId="0" xfId="0" applyFont="1" applyFill="1"/>
    <xf numFmtId="0" fontId="56" fillId="13" borderId="0" xfId="0" applyFont="1" applyFill="1"/>
    <xf numFmtId="0" fontId="2" fillId="2" borderId="0" xfId="0" applyFont="1" applyFill="1" applyAlignment="1">
      <alignment horizontal="right"/>
    </xf>
    <xf numFmtId="10" fontId="14" fillId="2" borderId="0" xfId="2" applyNumberFormat="1" applyFont="1" applyFill="1" applyBorder="1"/>
    <xf numFmtId="0" fontId="10" fillId="2" borderId="46" xfId="0" applyFont="1" applyFill="1" applyBorder="1"/>
    <xf numFmtId="0" fontId="2" fillId="2" borderId="46" xfId="0" applyFont="1" applyFill="1" applyBorder="1"/>
    <xf numFmtId="167" fontId="2" fillId="2" borderId="46" xfId="1" applyNumberFormat="1" applyFont="1" applyFill="1" applyBorder="1"/>
    <xf numFmtId="0" fontId="3" fillId="2" borderId="46" xfId="0" applyFont="1" applyFill="1" applyBorder="1" applyAlignment="1">
      <alignment horizontal="center"/>
    </xf>
    <xf numFmtId="0" fontId="4" fillId="2" borderId="46" xfId="0" applyFont="1" applyFill="1" applyBorder="1"/>
    <xf numFmtId="167" fontId="10" fillId="2" borderId="46" xfId="1" applyNumberFormat="1" applyFont="1" applyFill="1" applyBorder="1"/>
    <xf numFmtId="164" fontId="10" fillId="2" borderId="46" xfId="1" applyFont="1" applyFill="1" applyBorder="1"/>
    <xf numFmtId="0" fontId="12" fillId="2" borderId="0" xfId="0" applyFont="1" applyFill="1"/>
    <xf numFmtId="0" fontId="13" fillId="2" borderId="8" xfId="0" applyFont="1" applyFill="1" applyBorder="1" applyAlignment="1">
      <alignment horizontal="center"/>
    </xf>
    <xf numFmtId="9" fontId="2" fillId="2" borderId="17" xfId="2" applyFont="1" applyFill="1" applyBorder="1"/>
    <xf numFmtId="167" fontId="2" fillId="2" borderId="17" xfId="2" applyNumberFormat="1" applyFont="1" applyFill="1" applyBorder="1"/>
    <xf numFmtId="0" fontId="10" fillId="2" borderId="47" xfId="0" applyFont="1" applyFill="1" applyBorder="1"/>
    <xf numFmtId="0" fontId="2" fillId="2" borderId="47" xfId="0" applyFont="1" applyFill="1" applyBorder="1"/>
    <xf numFmtId="167" fontId="2" fillId="2" borderId="47" xfId="1" applyNumberFormat="1" applyFont="1" applyFill="1" applyBorder="1"/>
    <xf numFmtId="0" fontId="13" fillId="2" borderId="47" xfId="0" applyFont="1" applyFill="1" applyBorder="1" applyAlignment="1">
      <alignment horizontal="center"/>
    </xf>
    <xf numFmtId="0" fontId="4" fillId="2" borderId="47" xfId="0" applyFont="1" applyFill="1" applyBorder="1"/>
    <xf numFmtId="167" fontId="10" fillId="2" borderId="47" xfId="1" applyNumberFormat="1" applyFont="1" applyFill="1" applyBorder="1"/>
    <xf numFmtId="9" fontId="10" fillId="2" borderId="0" xfId="2" applyFont="1" applyFill="1" applyBorder="1"/>
    <xf numFmtId="0" fontId="57" fillId="0" borderId="0" xfId="0" applyFont="1"/>
    <xf numFmtId="0" fontId="58" fillId="2" borderId="0" xfId="0" applyFont="1" applyFill="1"/>
    <xf numFmtId="0" fontId="61" fillId="13" borderId="0" xfId="16" applyFont="1" applyFill="1" applyAlignment="1">
      <alignment horizontal="left" vertical="center"/>
    </xf>
    <xf numFmtId="0" fontId="62" fillId="15" borderId="0" xfId="16" applyFont="1" applyFill="1" applyAlignment="1">
      <alignment horizontal="left" vertical="center"/>
    </xf>
    <xf numFmtId="0" fontId="62" fillId="15" borderId="0" xfId="16" applyFont="1" applyFill="1" applyAlignment="1">
      <alignment horizontal="center" vertical="center"/>
    </xf>
    <xf numFmtId="0" fontId="62" fillId="15" borderId="0" xfId="16" applyFont="1" applyFill="1" applyAlignment="1">
      <alignment horizontal="center" vertical="center" wrapText="1"/>
    </xf>
    <xf numFmtId="0" fontId="66" fillId="15" borderId="0" xfId="16" applyFont="1" applyFill="1" applyAlignment="1">
      <alignment horizontal="left" vertical="center"/>
    </xf>
    <xf numFmtId="166" fontId="58" fillId="2" borderId="0" xfId="2" applyNumberFormat="1" applyFont="1" applyFill="1"/>
    <xf numFmtId="164" fontId="58" fillId="2" borderId="0" xfId="1" applyFont="1" applyFill="1"/>
    <xf numFmtId="178" fontId="58" fillId="2" borderId="0" xfId="0" applyNumberFormat="1" applyFont="1" applyFill="1"/>
    <xf numFmtId="9" fontId="58" fillId="2" borderId="0" xfId="2" applyFont="1" applyFill="1"/>
    <xf numFmtId="166" fontId="58" fillId="2" borderId="0" xfId="0" applyNumberFormat="1" applyFont="1" applyFill="1"/>
    <xf numFmtId="167" fontId="43" fillId="2" borderId="0" xfId="1" applyNumberFormat="1" applyFont="1" applyFill="1" applyBorder="1" applyAlignment="1">
      <alignment horizontal="left"/>
    </xf>
    <xf numFmtId="167" fontId="43" fillId="2" borderId="0" xfId="1" applyNumberFormat="1" applyFont="1" applyFill="1" applyBorder="1" applyAlignment="1">
      <alignment horizontal="center"/>
    </xf>
    <xf numFmtId="14" fontId="38" fillId="13" borderId="0" xfId="1" applyNumberFormat="1" applyFont="1" applyFill="1" applyAlignment="1">
      <alignment horizontal="right"/>
    </xf>
    <xf numFmtId="167" fontId="38" fillId="2" borderId="0" xfId="1" applyNumberFormat="1" applyFont="1" applyFill="1" applyBorder="1"/>
    <xf numFmtId="0" fontId="65" fillId="2" borderId="0" xfId="4" applyFont="1" applyFill="1"/>
    <xf numFmtId="0" fontId="65" fillId="2" borderId="49" xfId="4" applyFont="1" applyFill="1" applyBorder="1" applyAlignment="1">
      <alignment vertical="top" wrapText="1"/>
    </xf>
    <xf numFmtId="49" fontId="65" fillId="2" borderId="49" xfId="4" applyNumberFormat="1" applyFont="1" applyFill="1" applyBorder="1" applyAlignment="1">
      <alignment horizontal="left" vertical="top"/>
    </xf>
    <xf numFmtId="0" fontId="65" fillId="2" borderId="50" xfId="4" applyFont="1" applyFill="1" applyBorder="1" applyAlignment="1">
      <alignment vertical="top" wrapText="1"/>
    </xf>
    <xf numFmtId="49" fontId="65" fillId="2" borderId="50" xfId="4" applyNumberFormat="1" applyFont="1" applyFill="1" applyBorder="1" applyAlignment="1">
      <alignment horizontal="left" vertical="top"/>
    </xf>
    <xf numFmtId="0" fontId="70" fillId="17" borderId="0" xfId="27" applyFont="1" applyFill="1" applyAlignment="1">
      <alignment horizontal="left" wrapText="1"/>
    </xf>
    <xf numFmtId="0" fontId="70" fillId="17" borderId="0" xfId="27" applyFont="1" applyFill="1" applyAlignment="1">
      <alignment horizontal="center" wrapText="1"/>
    </xf>
    <xf numFmtId="0" fontId="71" fillId="2" borderId="0" xfId="4" applyFont="1" applyFill="1"/>
    <xf numFmtId="0" fontId="65" fillId="0" borderId="0" xfId="4" applyFont="1"/>
    <xf numFmtId="184" fontId="68" fillId="0" borderId="0" xfId="4" applyNumberFormat="1" applyFont="1" applyAlignment="1">
      <alignment horizontal="right"/>
    </xf>
    <xf numFmtId="0" fontId="68" fillId="0" borderId="0" xfId="4" applyFont="1" applyAlignment="1">
      <alignment horizontal="right"/>
    </xf>
    <xf numFmtId="0" fontId="72" fillId="0" borderId="0" xfId="4" applyFont="1"/>
    <xf numFmtId="0" fontId="69" fillId="16" borderId="0" xfId="4" applyFont="1" applyFill="1" applyAlignment="1">
      <alignment horizontal="center" wrapText="1"/>
    </xf>
    <xf numFmtId="0" fontId="73" fillId="0" borderId="0" xfId="28" applyAlignment="1"/>
    <xf numFmtId="0" fontId="74" fillId="18" borderId="0" xfId="4" applyFont="1" applyFill="1" applyAlignment="1">
      <alignment horizontal="left"/>
    </xf>
    <xf numFmtId="49" fontId="74" fillId="18" borderId="0" xfId="4" applyNumberFormat="1" applyFont="1" applyFill="1" applyAlignment="1">
      <alignment horizontal="left"/>
    </xf>
    <xf numFmtId="0" fontId="71" fillId="0" borderId="0" xfId="4" applyFont="1"/>
    <xf numFmtId="49" fontId="68" fillId="0" borderId="0" xfId="4" applyNumberFormat="1" applyFont="1" applyAlignment="1">
      <alignment vertical="top"/>
    </xf>
    <xf numFmtId="0" fontId="69" fillId="16" borderId="0" xfId="4" applyFont="1" applyFill="1"/>
    <xf numFmtId="164" fontId="65" fillId="2" borderId="0" xfId="4" applyNumberFormat="1" applyFont="1" applyFill="1"/>
    <xf numFmtId="0" fontId="75" fillId="2" borderId="0" xfId="27" applyFont="1" applyFill="1" applyAlignment="1">
      <alignment horizontal="center" vertical="top" wrapText="1"/>
    </xf>
    <xf numFmtId="0" fontId="75" fillId="2" borderId="0" xfId="27" applyFont="1" applyFill="1" applyAlignment="1">
      <alignment horizontal="left" vertical="top" wrapText="1"/>
    </xf>
    <xf numFmtId="0" fontId="76" fillId="2" borderId="0" xfId="4" applyFont="1" applyFill="1"/>
    <xf numFmtId="37" fontId="65" fillId="2" borderId="0" xfId="4" applyNumberFormat="1" applyFont="1" applyFill="1" applyAlignment="1">
      <alignment horizontal="center" vertical="center"/>
    </xf>
    <xf numFmtId="37" fontId="65" fillId="2" borderId="0" xfId="4" applyNumberFormat="1" applyFont="1" applyFill="1" applyAlignment="1">
      <alignment horizontal="left" vertical="center"/>
    </xf>
    <xf numFmtId="37" fontId="64" fillId="2" borderId="0" xfId="4" applyNumberFormat="1" applyFont="1" applyFill="1" applyAlignment="1">
      <alignment horizontal="left" vertical="center"/>
    </xf>
    <xf numFmtId="166" fontId="65" fillId="2" borderId="0" xfId="6" applyNumberFormat="1" applyFont="1" applyFill="1" applyAlignment="1">
      <alignment horizontal="center" vertical="center"/>
    </xf>
    <xf numFmtId="185" fontId="65" fillId="2" borderId="0" xfId="4" applyNumberFormat="1" applyFont="1" applyFill="1" applyAlignment="1">
      <alignment horizontal="center" vertical="center"/>
    </xf>
    <xf numFmtId="37" fontId="76" fillId="2" borderId="0" xfId="4" applyNumberFormat="1" applyFont="1" applyFill="1" applyAlignment="1">
      <alignment horizontal="center" vertical="center"/>
    </xf>
    <xf numFmtId="37" fontId="76" fillId="2" borderId="0" xfId="4" applyNumberFormat="1" applyFont="1" applyFill="1" applyAlignment="1">
      <alignment horizontal="left" vertical="center"/>
    </xf>
    <xf numFmtId="0" fontId="68" fillId="2" borderId="0" xfId="26" applyFill="1" applyAlignment="1">
      <alignment horizontal="left" vertical="center" wrapText="1"/>
    </xf>
    <xf numFmtId="37" fontId="77" fillId="2" borderId="0" xfId="4" applyNumberFormat="1" applyFont="1" applyFill="1" applyAlignment="1">
      <alignment horizontal="left" vertical="center"/>
    </xf>
    <xf numFmtId="0" fontId="76" fillId="2" borderId="0" xfId="4" applyFont="1" applyFill="1" applyAlignment="1">
      <alignment horizontal="center" vertical="center"/>
    </xf>
    <xf numFmtId="0" fontId="61" fillId="17" borderId="0" xfId="4" applyFont="1" applyFill="1" applyAlignment="1">
      <alignment horizontal="center" vertical="center"/>
    </xf>
    <xf numFmtId="0" fontId="61" fillId="17" borderId="51" xfId="4" applyFont="1" applyFill="1" applyBorder="1" applyAlignment="1">
      <alignment horizontal="center" vertical="center"/>
    </xf>
    <xf numFmtId="0" fontId="76" fillId="2" borderId="0" xfId="4" applyFont="1" applyFill="1" applyAlignment="1">
      <alignment horizontal="left" vertical="center"/>
    </xf>
    <xf numFmtId="0" fontId="78" fillId="2" borderId="0" xfId="4" applyFont="1" applyFill="1" applyAlignment="1">
      <alignment horizontal="center" vertical="center" wrapText="1"/>
    </xf>
    <xf numFmtId="37" fontId="61" fillId="17" borderId="0" xfId="4" applyNumberFormat="1" applyFont="1" applyFill="1" applyAlignment="1">
      <alignment horizontal="center" vertical="center"/>
    </xf>
    <xf numFmtId="37" fontId="64" fillId="2" borderId="0" xfId="4" applyNumberFormat="1" applyFont="1" applyFill="1" applyAlignment="1">
      <alignment horizontal="center" vertical="center"/>
    </xf>
    <xf numFmtId="0" fontId="65" fillId="0" borderId="0" xfId="4" applyFont="1" applyAlignment="1">
      <alignment vertical="top" wrapText="1"/>
    </xf>
    <xf numFmtId="1" fontId="65" fillId="0" borderId="0" xfId="4" applyNumberFormat="1" applyFont="1" applyAlignment="1">
      <alignment horizontal="right" vertical="top" wrapText="1"/>
    </xf>
    <xf numFmtId="180" fontId="65" fillId="0" borderId="0" xfId="4" applyNumberFormat="1" applyFont="1" applyAlignment="1">
      <alignment horizontal="right" vertical="top" wrapText="1"/>
    </xf>
    <xf numFmtId="49" fontId="65" fillId="0" borderId="0" xfId="4" applyNumberFormat="1" applyFont="1" applyAlignment="1">
      <alignment horizontal="left" vertical="top" wrapText="1"/>
    </xf>
    <xf numFmtId="49" fontId="65" fillId="0" borderId="0" xfId="4" applyNumberFormat="1" applyFont="1" applyAlignment="1">
      <alignment horizontal="left" vertical="top"/>
    </xf>
    <xf numFmtId="0" fontId="80" fillId="2" borderId="0" xfId="0" applyFont="1" applyFill="1"/>
    <xf numFmtId="14" fontId="81" fillId="0" borderId="0" xfId="0" quotePrefix="1" applyNumberFormat="1" applyFont="1"/>
    <xf numFmtId="0" fontId="81" fillId="2" borderId="0" xfId="0" applyFont="1" applyFill="1"/>
    <xf numFmtId="0" fontId="82" fillId="13" borderId="0" xfId="0" applyFont="1" applyFill="1" applyAlignment="1">
      <alignment horizontal="left" vertical="center"/>
    </xf>
    <xf numFmtId="0" fontId="62" fillId="15" borderId="0" xfId="10" applyFont="1" applyFill="1" applyAlignment="1">
      <alignment horizontal="left" vertical="center"/>
    </xf>
    <xf numFmtId="0" fontId="62" fillId="15" borderId="0" xfId="10" applyFont="1" applyFill="1" applyAlignment="1">
      <alignment horizontal="center" vertical="center" wrapText="1"/>
    </xf>
    <xf numFmtId="37" fontId="65" fillId="15" borderId="0" xfId="10" applyNumberFormat="1" applyFont="1" applyFill="1" applyAlignment="1">
      <alignment horizontal="left" vertical="center"/>
    </xf>
    <xf numFmtId="177" fontId="65" fillId="15" borderId="0" xfId="10" applyNumberFormat="1" applyFont="1" applyFill="1" applyAlignment="1">
      <alignment horizontal="center" vertical="center"/>
    </xf>
    <xf numFmtId="9" fontId="65" fillId="15" borderId="0" xfId="2" applyFont="1" applyFill="1" applyBorder="1" applyAlignment="1">
      <alignment horizontal="center" vertical="center"/>
    </xf>
    <xf numFmtId="166" fontId="65" fillId="15" borderId="0" xfId="2" applyNumberFormat="1" applyFont="1" applyFill="1" applyBorder="1" applyAlignment="1">
      <alignment horizontal="center" vertical="center"/>
    </xf>
    <xf numFmtId="0" fontId="62" fillId="15" borderId="19" xfId="10" applyFont="1" applyFill="1" applyBorder="1" applyAlignment="1">
      <alignment horizontal="left" vertical="center"/>
    </xf>
    <xf numFmtId="177" fontId="62" fillId="15" borderId="19" xfId="0" applyNumberFormat="1" applyFont="1" applyFill="1" applyBorder="1" applyAlignment="1">
      <alignment horizontal="center" vertical="center"/>
    </xf>
    <xf numFmtId="9" fontId="62" fillId="15" borderId="19" xfId="2" applyFont="1" applyFill="1" applyBorder="1" applyAlignment="1">
      <alignment horizontal="center" vertical="center"/>
    </xf>
    <xf numFmtId="0" fontId="61" fillId="13" borderId="0" xfId="0" applyFont="1" applyFill="1" applyAlignment="1">
      <alignment horizontal="left" vertical="center"/>
    </xf>
    <xf numFmtId="0" fontId="62" fillId="15" borderId="0" xfId="0" applyFont="1" applyFill="1" applyAlignment="1">
      <alignment horizontal="left"/>
    </xf>
    <xf numFmtId="0" fontId="62" fillId="15" borderId="0" xfId="0" applyFont="1" applyFill="1" applyAlignment="1">
      <alignment horizontal="center"/>
    </xf>
    <xf numFmtId="0" fontId="83" fillId="15" borderId="0" xfId="0" applyFont="1" applyFill="1" applyAlignment="1">
      <alignment horizontal="left"/>
    </xf>
    <xf numFmtId="164" fontId="83" fillId="2" borderId="0" xfId="1" applyFont="1" applyFill="1" applyBorder="1" applyAlignment="1">
      <alignment horizontal="right" vertical="center"/>
    </xf>
    <xf numFmtId="0" fontId="84" fillId="15" borderId="0" xfId="0" applyFont="1" applyFill="1" applyAlignment="1">
      <alignment horizontal="left" vertical="center"/>
    </xf>
    <xf numFmtId="166" fontId="84" fillId="2" borderId="0" xfId="2" applyNumberFormat="1" applyFont="1" applyFill="1" applyBorder="1" applyAlignment="1">
      <alignment horizontal="right" vertical="center"/>
    </xf>
    <xf numFmtId="0" fontId="65" fillId="15" borderId="0" xfId="10" applyFont="1" applyFill="1" applyAlignment="1">
      <alignment horizontal="left" vertical="center" wrapText="1"/>
    </xf>
    <xf numFmtId="166" fontId="65" fillId="15" borderId="0" xfId="0" applyNumberFormat="1" applyFont="1" applyFill="1" applyAlignment="1">
      <alignment horizontal="right" vertical="center"/>
    </xf>
    <xf numFmtId="0" fontId="85" fillId="15" borderId="0" xfId="10" applyFont="1" applyFill="1" applyAlignment="1">
      <alignment horizontal="left" vertical="center" wrapText="1"/>
    </xf>
    <xf numFmtId="0" fontId="62" fillId="15" borderId="0" xfId="0" applyFont="1" applyFill="1" applyAlignment="1">
      <alignment horizontal="left" vertical="center"/>
    </xf>
    <xf numFmtId="0" fontId="62" fillId="15" borderId="0" xfId="0" applyFont="1" applyFill="1" applyAlignment="1">
      <alignment horizontal="center" vertical="center"/>
    </xf>
    <xf numFmtId="0" fontId="62" fillId="15" borderId="0" xfId="0" applyFont="1" applyFill="1" applyAlignment="1">
      <alignment horizontal="right" vertical="center"/>
    </xf>
    <xf numFmtId="166" fontId="64" fillId="15" borderId="0" xfId="2" applyNumberFormat="1" applyFont="1" applyFill="1" applyBorder="1" applyAlignment="1">
      <alignment horizontal="left" vertical="center"/>
    </xf>
    <xf numFmtId="166" fontId="64" fillId="15" borderId="0" xfId="2" applyNumberFormat="1" applyFont="1" applyFill="1" applyBorder="1" applyAlignment="1">
      <alignment horizontal="center" vertical="center"/>
    </xf>
    <xf numFmtId="166" fontId="64" fillId="15" borderId="0" xfId="2" applyNumberFormat="1" applyFont="1" applyFill="1" applyBorder="1" applyAlignment="1">
      <alignment vertical="center"/>
    </xf>
    <xf numFmtId="167" fontId="6" fillId="2" borderId="0" xfId="1" applyNumberFormat="1" applyFont="1" applyFill="1" applyBorder="1" applyAlignment="1">
      <alignment horizontal="left"/>
    </xf>
    <xf numFmtId="9" fontId="38" fillId="2" borderId="0" xfId="2" applyFont="1" applyFill="1" applyBorder="1"/>
    <xf numFmtId="164" fontId="38" fillId="2" borderId="0" xfId="1" applyFont="1" applyFill="1" applyBorder="1"/>
    <xf numFmtId="9" fontId="50" fillId="2" borderId="0" xfId="2" applyFont="1" applyFill="1" applyBorder="1"/>
    <xf numFmtId="167" fontId="50" fillId="2" borderId="0" xfId="1" applyNumberFormat="1" applyFont="1" applyFill="1" applyBorder="1"/>
    <xf numFmtId="170" fontId="10" fillId="2" borderId="0" xfId="1" applyNumberFormat="1" applyFont="1" applyFill="1" applyBorder="1"/>
    <xf numFmtId="170" fontId="86" fillId="2" borderId="0" xfId="1" applyNumberFormat="1" applyFont="1" applyFill="1" applyBorder="1" applyAlignment="1">
      <alignment horizontal="center"/>
    </xf>
    <xf numFmtId="170" fontId="35" fillId="2" borderId="0" xfId="1" applyNumberFormat="1" applyFont="1" applyFill="1" applyBorder="1"/>
    <xf numFmtId="0" fontId="2" fillId="0" borderId="0" xfId="4" applyFont="1"/>
    <xf numFmtId="0" fontId="88" fillId="0" borderId="0" xfId="33" applyFont="1"/>
    <xf numFmtId="0" fontId="2" fillId="0" borderId="0" xfId="4" applyFont="1" applyAlignment="1">
      <alignment horizontal="center" vertical="center"/>
    </xf>
    <xf numFmtId="0" fontId="2" fillId="2" borderId="0" xfId="4" applyFont="1" applyFill="1"/>
    <xf numFmtId="0" fontId="2" fillId="19" borderId="0" xfId="4" applyFont="1" applyFill="1"/>
    <xf numFmtId="0" fontId="7" fillId="0" borderId="0" xfId="4" applyFont="1"/>
    <xf numFmtId="186" fontId="2" fillId="0" borderId="0" xfId="4" applyNumberFormat="1" applyFont="1"/>
    <xf numFmtId="0" fontId="10" fillId="0" borderId="0" xfId="4" applyFont="1"/>
    <xf numFmtId="187" fontId="2" fillId="0" borderId="0" xfId="4" applyNumberFormat="1" applyFont="1"/>
    <xf numFmtId="179" fontId="2" fillId="0" borderId="0" xfId="4" applyNumberFormat="1" applyFont="1"/>
    <xf numFmtId="0" fontId="90" fillId="0" borderId="0" xfId="0" applyFont="1" applyAlignment="1">
      <alignment horizontal="center" vertical="center" readingOrder="1"/>
    </xf>
    <xf numFmtId="0" fontId="10" fillId="2" borderId="0" xfId="4" applyFont="1" applyFill="1" applyAlignment="1">
      <alignment horizontal="left"/>
    </xf>
    <xf numFmtId="179" fontId="2" fillId="2" borderId="0" xfId="4" applyNumberFormat="1" applyFont="1" applyFill="1"/>
    <xf numFmtId="167" fontId="2" fillId="2" borderId="0" xfId="4" applyNumberFormat="1" applyFont="1" applyFill="1"/>
    <xf numFmtId="164" fontId="2" fillId="2" borderId="0" xfId="4" applyNumberFormat="1" applyFont="1" applyFill="1"/>
    <xf numFmtId="0" fontId="10" fillId="2" borderId="0" xfId="4" applyFont="1" applyFill="1" applyAlignment="1">
      <alignment horizontal="center"/>
    </xf>
    <xf numFmtId="0" fontId="89" fillId="15" borderId="0" xfId="4" applyFont="1" applyFill="1" applyAlignment="1">
      <alignment horizontal="left" vertical="center"/>
    </xf>
    <xf numFmtId="166" fontId="7" fillId="2" borderId="0" xfId="2" applyNumberFormat="1" applyFont="1" applyFill="1" applyBorder="1" applyAlignment="1">
      <alignment horizontal="right" vertical="center"/>
    </xf>
    <xf numFmtId="167" fontId="7" fillId="2" borderId="0" xfId="1" applyNumberFormat="1" applyFont="1" applyFill="1" applyBorder="1" applyAlignment="1">
      <alignment horizontal="left" vertical="center"/>
    </xf>
    <xf numFmtId="0" fontId="50" fillId="20" borderId="0" xfId="4" applyFont="1" applyFill="1"/>
    <xf numFmtId="0" fontId="38" fillId="20" borderId="0" xfId="4" applyFont="1" applyFill="1"/>
    <xf numFmtId="0" fontId="2" fillId="0" borderId="0" xfId="4" quotePrefix="1" applyFont="1"/>
    <xf numFmtId="167" fontId="7" fillId="15" borderId="0" xfId="1" applyNumberFormat="1" applyFont="1" applyFill="1" applyBorder="1" applyAlignment="1">
      <alignment horizontal="left" vertical="center"/>
    </xf>
    <xf numFmtId="0" fontId="2" fillId="2" borderId="0" xfId="4" applyFont="1" applyFill="1" applyAlignment="1">
      <alignment horizontal="center"/>
    </xf>
    <xf numFmtId="167" fontId="2" fillId="0" borderId="0" xfId="1" applyNumberFormat="1" applyFont="1"/>
    <xf numFmtId="0" fontId="2" fillId="2" borderId="0" xfId="4" quotePrefix="1" applyFont="1" applyFill="1"/>
    <xf numFmtId="0" fontId="2" fillId="2" borderId="0" xfId="4" applyFont="1" applyFill="1" applyAlignment="1">
      <alignment horizontal="center" vertical="center"/>
    </xf>
    <xf numFmtId="186" fontId="7" fillId="2" borderId="0" xfId="34" applyNumberFormat="1" applyFont="1" applyFill="1" applyAlignment="1">
      <alignment horizontal="center" vertical="center"/>
    </xf>
    <xf numFmtId="167" fontId="2" fillId="0" borderId="0" xfId="1" applyNumberFormat="1" applyFont="1" applyBorder="1"/>
    <xf numFmtId="167" fontId="7" fillId="2" borderId="0" xfId="1" applyNumberFormat="1" applyFont="1" applyFill="1" applyBorder="1"/>
    <xf numFmtId="167" fontId="7" fillId="0" borderId="0" xfId="1" applyNumberFormat="1" applyFont="1" applyBorder="1"/>
    <xf numFmtId="0" fontId="6" fillId="2" borderId="0" xfId="4" applyFont="1" applyFill="1"/>
    <xf numFmtId="0" fontId="10" fillId="2" borderId="0" xfId="4" applyFont="1" applyFill="1"/>
    <xf numFmtId="167" fontId="7" fillId="2" borderId="0" xfId="8" applyNumberFormat="1" applyFont="1" applyFill="1"/>
    <xf numFmtId="0" fontId="89" fillId="2" borderId="0" xfId="4" applyFont="1" applyFill="1" applyAlignment="1">
      <alignment horizontal="left" vertical="center"/>
    </xf>
    <xf numFmtId="10" fontId="2" fillId="2" borderId="0" xfId="4" applyNumberFormat="1" applyFont="1" applyFill="1"/>
    <xf numFmtId="0" fontId="7" fillId="2" borderId="0" xfId="8" applyFont="1" applyFill="1"/>
    <xf numFmtId="164" fontId="2" fillId="2" borderId="0" xfId="1" quotePrefix="1" applyFont="1" applyFill="1" applyBorder="1"/>
    <xf numFmtId="0" fontId="91" fillId="2" borderId="0" xfId="0" applyFont="1" applyFill="1" applyAlignment="1">
      <alignment horizontal="right" vertical="center" wrapText="1" readingOrder="1"/>
    </xf>
    <xf numFmtId="0" fontId="92" fillId="2" borderId="0" xfId="0" applyFont="1" applyFill="1" applyAlignment="1">
      <alignment horizontal="left" wrapText="1" readingOrder="1"/>
    </xf>
    <xf numFmtId="0" fontId="92" fillId="2" borderId="0" xfId="0" applyFont="1" applyFill="1" applyAlignment="1">
      <alignment horizontal="right" wrapText="1" readingOrder="1"/>
    </xf>
    <xf numFmtId="15" fontId="92" fillId="2" borderId="0" xfId="0" applyNumberFormat="1" applyFont="1" applyFill="1" applyAlignment="1">
      <alignment horizontal="right" wrapText="1" readingOrder="1"/>
    </xf>
    <xf numFmtId="10" fontId="93" fillId="2" borderId="0" xfId="0" applyNumberFormat="1" applyFont="1" applyFill="1" applyAlignment="1">
      <alignment horizontal="right" wrapText="1" readingOrder="1"/>
    </xf>
    <xf numFmtId="10" fontId="94" fillId="2" borderId="0" xfId="0" applyNumberFormat="1" applyFont="1" applyFill="1" applyAlignment="1">
      <alignment horizontal="right" wrapText="1" readingOrder="1"/>
    </xf>
    <xf numFmtId="0" fontId="2" fillId="19" borderId="0" xfId="4" applyFont="1" applyFill="1" applyAlignment="1">
      <alignment horizontal="center" vertical="center"/>
    </xf>
    <xf numFmtId="0" fontId="89" fillId="15" borderId="0" xfId="4" applyFont="1" applyFill="1" applyBorder="1" applyAlignment="1">
      <alignment horizontal="left" vertical="center"/>
    </xf>
    <xf numFmtId="0" fontId="7" fillId="15" borderId="53" xfId="34" applyFont="1" applyFill="1" applyBorder="1" applyAlignment="1">
      <alignment horizontal="left" vertical="center"/>
    </xf>
    <xf numFmtId="0" fontId="7" fillId="15" borderId="55" xfId="34" applyFont="1" applyFill="1" applyBorder="1" applyAlignment="1">
      <alignment horizontal="left" vertical="center"/>
    </xf>
    <xf numFmtId="167" fontId="7" fillId="15" borderId="56" xfId="1" applyNumberFormat="1" applyFont="1" applyFill="1" applyBorder="1" applyAlignment="1">
      <alignment horizontal="left" vertical="center"/>
    </xf>
    <xf numFmtId="0" fontId="7" fillId="15" borderId="57" xfId="34" applyFont="1" applyFill="1" applyBorder="1" applyAlignment="1">
      <alignment horizontal="left" vertical="center"/>
    </xf>
    <xf numFmtId="0" fontId="10" fillId="5" borderId="59" xfId="4" quotePrefix="1" applyFont="1" applyFill="1" applyBorder="1"/>
    <xf numFmtId="9" fontId="10" fillId="5" borderId="60" xfId="4" applyNumberFormat="1" applyFont="1" applyFill="1" applyBorder="1" applyAlignment="1">
      <alignment horizontal="right" vertical="center"/>
    </xf>
    <xf numFmtId="0" fontId="10" fillId="5" borderId="61" xfId="4" applyFont="1" applyFill="1" applyBorder="1"/>
    <xf numFmtId="0" fontId="2" fillId="5" borderId="62" xfId="4" applyFont="1" applyFill="1" applyBorder="1" applyAlignment="1">
      <alignment horizontal="center" vertical="center"/>
    </xf>
    <xf numFmtId="0" fontId="2" fillId="5" borderId="62" xfId="4" applyFont="1" applyFill="1" applyBorder="1"/>
    <xf numFmtId="0" fontId="2" fillId="5" borderId="63" xfId="4" applyFont="1" applyFill="1" applyBorder="1"/>
    <xf numFmtId="0" fontId="2" fillId="5" borderId="64" xfId="4" applyFont="1" applyFill="1" applyBorder="1" applyAlignment="1">
      <alignment horizontal="center" vertical="center"/>
    </xf>
    <xf numFmtId="0" fontId="2" fillId="5" borderId="64" xfId="4" applyFont="1" applyFill="1" applyBorder="1"/>
    <xf numFmtId="0" fontId="10" fillId="5" borderId="64" xfId="4" applyFont="1" applyFill="1" applyBorder="1" applyAlignment="1">
      <alignment horizontal="center"/>
    </xf>
    <xf numFmtId="0" fontId="10" fillId="5" borderId="64" xfId="4" applyFont="1" applyFill="1" applyBorder="1" applyAlignment="1">
      <alignment horizontal="center" wrapText="1"/>
    </xf>
    <xf numFmtId="0" fontId="2" fillId="0" borderId="61" xfId="4" quotePrefix="1" applyFont="1" applyBorder="1"/>
    <xf numFmtId="0" fontId="2" fillId="0" borderId="62" xfId="4" applyFont="1" applyBorder="1" applyAlignment="1">
      <alignment horizontal="center" vertical="center"/>
    </xf>
    <xf numFmtId="0" fontId="2" fillId="0" borderId="62" xfId="4" applyFont="1" applyBorder="1"/>
    <xf numFmtId="167" fontId="7" fillId="15" borderId="65" xfId="1" applyNumberFormat="1" applyFont="1" applyFill="1" applyBorder="1" applyAlignment="1">
      <alignment horizontal="left" vertical="center"/>
    </xf>
    <xf numFmtId="0" fontId="2" fillId="0" borderId="63" xfId="4" quotePrefix="1" applyFont="1" applyBorder="1"/>
    <xf numFmtId="0" fontId="2" fillId="0" borderId="64" xfId="4" applyFont="1" applyBorder="1" applyAlignment="1">
      <alignment horizontal="center" vertical="center"/>
    </xf>
    <xf numFmtId="0" fontId="2" fillId="0" borderId="64" xfId="4" applyFont="1" applyBorder="1"/>
    <xf numFmtId="0" fontId="2" fillId="0" borderId="66" xfId="4" applyFont="1" applyBorder="1"/>
    <xf numFmtId="0" fontId="2" fillId="0" borderId="65" xfId="4" applyFont="1" applyBorder="1"/>
    <xf numFmtId="0" fontId="2" fillId="0" borderId="0" xfId="4" applyFont="1" applyBorder="1" applyAlignment="1">
      <alignment horizontal="center" vertical="center"/>
    </xf>
    <xf numFmtId="0" fontId="2" fillId="0" borderId="0" xfId="4" applyFont="1" applyBorder="1"/>
    <xf numFmtId="0" fontId="2" fillId="0" borderId="0" xfId="4" quotePrefix="1" applyFont="1" applyBorder="1"/>
    <xf numFmtId="186" fontId="7" fillId="5" borderId="67" xfId="34" applyNumberFormat="1" applyFont="1" applyFill="1" applyBorder="1" applyAlignment="1">
      <alignment horizontal="center" vertical="center"/>
    </xf>
    <xf numFmtId="186" fontId="7" fillId="5" borderId="68" xfId="34" applyNumberFormat="1" applyFont="1" applyFill="1" applyBorder="1" applyAlignment="1">
      <alignment horizontal="center" vertical="center"/>
    </xf>
    <xf numFmtId="186" fontId="7" fillId="15" borderId="61" xfId="34" applyNumberFormat="1" applyFont="1" applyFill="1" applyBorder="1" applyAlignment="1">
      <alignment horizontal="center" vertical="center"/>
    </xf>
    <xf numFmtId="186" fontId="7" fillId="15" borderId="65" xfId="34" applyNumberFormat="1" applyFont="1" applyFill="1" applyBorder="1" applyAlignment="1">
      <alignment horizontal="center" vertical="center"/>
    </xf>
    <xf numFmtId="186" fontId="7" fillId="15" borderId="63" xfId="34" applyNumberFormat="1" applyFont="1" applyFill="1" applyBorder="1" applyAlignment="1">
      <alignment horizontal="center" vertical="center"/>
    </xf>
    <xf numFmtId="186" fontId="7" fillId="15" borderId="66" xfId="34" applyNumberFormat="1" applyFont="1" applyFill="1" applyBorder="1" applyAlignment="1">
      <alignment horizontal="center" vertical="center"/>
    </xf>
    <xf numFmtId="167" fontId="7" fillId="15" borderId="62" xfId="1" applyNumberFormat="1" applyFont="1" applyFill="1" applyBorder="1" applyAlignment="1">
      <alignment horizontal="left" vertical="center"/>
    </xf>
    <xf numFmtId="167" fontId="7" fillId="15" borderId="64" xfId="1" applyNumberFormat="1" applyFont="1" applyFill="1" applyBorder="1" applyAlignment="1">
      <alignment horizontal="left" vertical="center"/>
    </xf>
    <xf numFmtId="167" fontId="7" fillId="5" borderId="69" xfId="1" applyNumberFormat="1" applyFont="1" applyFill="1" applyBorder="1" applyAlignment="1">
      <alignment horizontal="left" vertical="center"/>
    </xf>
    <xf numFmtId="167" fontId="7" fillId="5" borderId="70" xfId="1" applyNumberFormat="1" applyFont="1" applyFill="1" applyBorder="1" applyAlignment="1">
      <alignment horizontal="left" vertical="center"/>
    </xf>
    <xf numFmtId="0" fontId="91" fillId="2" borderId="0" xfId="0" applyFont="1" applyFill="1" applyAlignment="1">
      <alignment horizontal="center" vertical="center" wrapText="1" readingOrder="1"/>
    </xf>
    <xf numFmtId="170" fontId="7" fillId="15" borderId="54" xfId="1" applyNumberFormat="1" applyFont="1" applyFill="1" applyBorder="1" applyAlignment="1">
      <alignment horizontal="left" vertical="center"/>
    </xf>
    <xf numFmtId="170" fontId="7" fillId="15" borderId="56" xfId="1" applyNumberFormat="1" applyFont="1" applyFill="1" applyBorder="1" applyAlignment="1">
      <alignment horizontal="left" vertical="center"/>
    </xf>
    <xf numFmtId="0" fontId="6" fillId="0" borderId="0" xfId="4" applyFont="1"/>
    <xf numFmtId="167" fontId="2" fillId="2" borderId="71" xfId="4" applyNumberFormat="1" applyFont="1" applyFill="1" applyBorder="1"/>
    <xf numFmtId="167" fontId="2" fillId="2" borderId="72" xfId="4" applyNumberFormat="1" applyFont="1" applyFill="1" applyBorder="1"/>
    <xf numFmtId="167" fontId="2" fillId="2" borderId="73" xfId="4" applyNumberFormat="1" applyFont="1" applyFill="1" applyBorder="1" applyAlignment="1">
      <alignment horizontal="center"/>
    </xf>
    <xf numFmtId="167" fontId="2" fillId="2" borderId="0" xfId="4" applyNumberFormat="1" applyFont="1" applyFill="1" applyBorder="1" applyAlignment="1">
      <alignment horizontal="center"/>
    </xf>
    <xf numFmtId="167" fontId="2" fillId="2" borderId="73" xfId="4" applyNumberFormat="1" applyFont="1" applyFill="1" applyBorder="1"/>
    <xf numFmtId="167" fontId="2" fillId="2" borderId="0" xfId="4" applyNumberFormat="1" applyFont="1" applyFill="1" applyBorder="1"/>
    <xf numFmtId="186" fontId="2" fillId="2" borderId="71" xfId="4" applyNumberFormat="1" applyFont="1" applyFill="1" applyBorder="1" applyAlignment="1">
      <alignment horizontal="center"/>
    </xf>
    <xf numFmtId="186" fontId="2" fillId="2" borderId="72" xfId="4" applyNumberFormat="1" applyFont="1" applyFill="1" applyBorder="1" applyAlignment="1">
      <alignment horizontal="center"/>
    </xf>
    <xf numFmtId="186" fontId="2" fillId="2" borderId="73" xfId="4" applyNumberFormat="1" applyFont="1" applyFill="1" applyBorder="1" applyAlignment="1">
      <alignment horizontal="center"/>
    </xf>
    <xf numFmtId="186" fontId="2" fillId="2" borderId="0" xfId="4" applyNumberFormat="1" applyFont="1" applyFill="1" applyBorder="1" applyAlignment="1">
      <alignment horizontal="center"/>
    </xf>
    <xf numFmtId="170" fontId="7" fillId="15" borderId="58" xfId="1" applyNumberFormat="1" applyFont="1" applyFill="1" applyBorder="1" applyAlignment="1">
      <alignment horizontal="left" vertical="center"/>
    </xf>
    <xf numFmtId="0" fontId="2" fillId="0" borderId="74" xfId="4" quotePrefix="1" applyFont="1" applyBorder="1"/>
    <xf numFmtId="167" fontId="7" fillId="15" borderId="75" xfId="1" applyNumberFormat="1" applyFont="1" applyFill="1" applyBorder="1" applyAlignment="1">
      <alignment horizontal="left" vertical="center"/>
    </xf>
    <xf numFmtId="186" fontId="7" fillId="5" borderId="76" xfId="34" applyNumberFormat="1" applyFont="1" applyFill="1" applyBorder="1" applyAlignment="1">
      <alignment horizontal="center" vertical="center"/>
    </xf>
    <xf numFmtId="186" fontId="7" fillId="15" borderId="74" xfId="34" applyNumberFormat="1" applyFont="1" applyFill="1" applyBorder="1" applyAlignment="1">
      <alignment horizontal="center" vertical="center"/>
    </xf>
    <xf numFmtId="186" fontId="7" fillId="15" borderId="75" xfId="34" applyNumberFormat="1" applyFont="1" applyFill="1" applyBorder="1" applyAlignment="1">
      <alignment horizontal="center" vertical="center"/>
    </xf>
    <xf numFmtId="167" fontId="7" fillId="5" borderId="77" xfId="1" applyNumberFormat="1" applyFont="1" applyFill="1" applyBorder="1" applyAlignment="1">
      <alignment horizontal="left" vertical="center"/>
    </xf>
    <xf numFmtId="186" fontId="2" fillId="2" borderId="0" xfId="4" applyNumberFormat="1" applyFont="1" applyFill="1"/>
    <xf numFmtId="179" fontId="2" fillId="2" borderId="0" xfId="4" applyNumberFormat="1" applyFont="1" applyFill="1" applyBorder="1"/>
    <xf numFmtId="0" fontId="2" fillId="2" borderId="0" xfId="4" applyFont="1" applyFill="1" applyBorder="1"/>
    <xf numFmtId="0" fontId="10" fillId="2" borderId="0" xfId="4" applyFont="1" applyFill="1" applyBorder="1" applyAlignment="1">
      <alignment horizontal="center" wrapText="1"/>
    </xf>
    <xf numFmtId="186" fontId="7" fillId="15" borderId="62" xfId="34" applyNumberFormat="1" applyFont="1" applyFill="1" applyBorder="1" applyAlignment="1">
      <alignment horizontal="center" vertical="center"/>
    </xf>
    <xf numFmtId="186" fontId="7" fillId="15" borderId="0" xfId="34" applyNumberFormat="1" applyFont="1" applyFill="1" applyBorder="1" applyAlignment="1">
      <alignment horizontal="center" vertical="center"/>
    </xf>
    <xf numFmtId="186" fontId="7" fillId="15" borderId="64" xfId="34" applyNumberFormat="1" applyFont="1" applyFill="1" applyBorder="1" applyAlignment="1">
      <alignment horizontal="center" vertical="center"/>
    </xf>
    <xf numFmtId="166" fontId="2" fillId="12" borderId="13" xfId="2" applyNumberFormat="1" applyFont="1" applyFill="1" applyBorder="1"/>
    <xf numFmtId="0" fontId="60" fillId="2" borderId="0" xfId="0" applyFont="1" applyFill="1"/>
    <xf numFmtId="0" fontId="59" fillId="12" borderId="0" xfId="0" applyFont="1" applyFill="1"/>
    <xf numFmtId="0" fontId="60" fillId="5" borderId="0" xfId="0" applyFont="1" applyFill="1"/>
    <xf numFmtId="0" fontId="60" fillId="2" borderId="49" xfId="0" applyFont="1" applyFill="1" applyBorder="1"/>
    <xf numFmtId="0" fontId="59" fillId="2" borderId="49" xfId="0" applyFont="1" applyFill="1" applyBorder="1"/>
    <xf numFmtId="0" fontId="59" fillId="2" borderId="78" xfId="0" applyFont="1" applyFill="1" applyBorder="1"/>
    <xf numFmtId="0" fontId="59" fillId="5" borderId="49" xfId="0" applyFont="1" applyFill="1" applyBorder="1"/>
    <xf numFmtId="0" fontId="59" fillId="5" borderId="0" xfId="0" applyFont="1" applyFill="1" applyAlignment="1">
      <alignment horizontal="right"/>
    </xf>
    <xf numFmtId="0" fontId="59" fillId="5" borderId="0" xfId="0" applyFont="1" applyFill="1" applyAlignment="1">
      <alignment horizontal="center"/>
    </xf>
    <xf numFmtId="167" fontId="60" fillId="2" borderId="49" xfId="1" applyNumberFormat="1" applyFont="1" applyFill="1" applyBorder="1" applyAlignment="1">
      <alignment horizontal="center"/>
    </xf>
    <xf numFmtId="167" fontId="59" fillId="2" borderId="49" xfId="1" applyNumberFormat="1" applyFont="1" applyFill="1" applyBorder="1" applyAlignment="1">
      <alignment horizontal="center"/>
    </xf>
    <xf numFmtId="167" fontId="59" fillId="5" borderId="49" xfId="1" applyNumberFormat="1" applyFont="1" applyFill="1" applyBorder="1" applyAlignment="1">
      <alignment horizontal="center"/>
    </xf>
    <xf numFmtId="164" fontId="60" fillId="2" borderId="49" xfId="1" applyFont="1" applyFill="1" applyBorder="1" applyAlignment="1">
      <alignment horizontal="center"/>
    </xf>
    <xf numFmtId="167" fontId="59" fillId="2" borderId="78" xfId="1" applyNumberFormat="1" applyFont="1" applyFill="1" applyBorder="1" applyAlignment="1">
      <alignment horizontal="center"/>
    </xf>
    <xf numFmtId="10" fontId="60" fillId="2" borderId="49" xfId="2" applyNumberFormat="1" applyFont="1" applyFill="1" applyBorder="1" applyAlignment="1">
      <alignment horizontal="center"/>
    </xf>
    <xf numFmtId="0" fontId="60" fillId="2" borderId="0" xfId="0" applyFont="1" applyFill="1" applyBorder="1"/>
    <xf numFmtId="0" fontId="59" fillId="2" borderId="48" xfId="0" applyFont="1" applyFill="1" applyBorder="1"/>
    <xf numFmtId="167" fontId="59" fillId="2" borderId="48" xfId="1" applyNumberFormat="1" applyFont="1" applyFill="1" applyBorder="1" applyAlignment="1">
      <alignment horizontal="center"/>
    </xf>
    <xf numFmtId="10" fontId="60" fillId="2" borderId="49" xfId="2" applyNumberFormat="1" applyFont="1" applyFill="1" applyBorder="1" applyAlignment="1">
      <alignment horizontal="right"/>
    </xf>
    <xf numFmtId="167" fontId="59" fillId="2" borderId="49" xfId="1" applyNumberFormat="1" applyFont="1" applyFill="1" applyBorder="1" applyAlignment="1">
      <alignment horizontal="right"/>
    </xf>
    <xf numFmtId="167" fontId="60" fillId="2" borderId="49" xfId="1" applyNumberFormat="1" applyFont="1" applyFill="1" applyBorder="1" applyAlignment="1">
      <alignment horizontal="right"/>
    </xf>
    <xf numFmtId="167" fontId="59" fillId="2" borderId="48" xfId="1" applyNumberFormat="1" applyFont="1" applyFill="1" applyBorder="1" applyAlignment="1">
      <alignment horizontal="right"/>
    </xf>
    <xf numFmtId="0" fontId="61" fillId="17" borderId="52" xfId="4" applyFont="1" applyFill="1" applyBorder="1" applyAlignment="1">
      <alignment horizontal="center" vertical="center" wrapText="1" readingOrder="1"/>
    </xf>
    <xf numFmtId="166" fontId="60" fillId="2" borderId="49" xfId="2" applyNumberFormat="1" applyFont="1" applyFill="1" applyBorder="1" applyAlignment="1">
      <alignment horizontal="right"/>
    </xf>
    <xf numFmtId="0" fontId="60" fillId="2" borderId="48" xfId="0" applyFont="1" applyFill="1" applyBorder="1"/>
    <xf numFmtId="164" fontId="60" fillId="2" borderId="48" xfId="1" applyFont="1" applyFill="1" applyBorder="1" applyAlignment="1">
      <alignment horizontal="right"/>
    </xf>
    <xf numFmtId="186" fontId="7" fillId="15" borderId="79" xfId="34" applyNumberFormat="1" applyFont="1" applyFill="1" applyBorder="1" applyAlignment="1">
      <alignment horizontal="center" vertical="center"/>
    </xf>
    <xf numFmtId="0" fontId="65" fillId="15" borderId="0" xfId="10" applyFont="1" applyFill="1" applyBorder="1" applyAlignment="1">
      <alignment horizontal="left" vertical="center" wrapText="1"/>
    </xf>
    <xf numFmtId="166" fontId="64" fillId="15" borderId="0" xfId="0" applyNumberFormat="1" applyFont="1" applyFill="1" applyBorder="1" applyAlignment="1">
      <alignment horizontal="right" vertical="center"/>
    </xf>
    <xf numFmtId="0" fontId="85" fillId="15" borderId="80" xfId="0" applyFont="1" applyFill="1" applyBorder="1" applyAlignment="1">
      <alignment horizontal="left" vertical="center"/>
    </xf>
    <xf numFmtId="10" fontId="85" fillId="15" borderId="80" xfId="2" applyNumberFormat="1" applyFont="1" applyFill="1" applyBorder="1" applyAlignment="1">
      <alignment horizontal="right" vertical="center"/>
    </xf>
    <xf numFmtId="0" fontId="64" fillId="15" borderId="80" xfId="16" applyFont="1" applyFill="1" applyBorder="1" applyAlignment="1">
      <alignment horizontal="left" vertical="center"/>
    </xf>
    <xf numFmtId="177" fontId="65" fillId="15" borderId="80" xfId="16" applyNumberFormat="1" applyFont="1" applyFill="1" applyBorder="1" applyAlignment="1">
      <alignment horizontal="center" vertical="center"/>
    </xf>
    <xf numFmtId="9" fontId="65" fillId="15" borderId="80" xfId="16" applyNumberFormat="1" applyFont="1" applyFill="1" applyBorder="1" applyAlignment="1">
      <alignment horizontal="center" vertical="center"/>
    </xf>
    <xf numFmtId="0" fontId="81" fillId="2" borderId="80" xfId="0" applyFont="1" applyFill="1" applyBorder="1"/>
    <xf numFmtId="166" fontId="65" fillId="2" borderId="80" xfId="16" applyNumberFormat="1" applyFont="1" applyFill="1" applyBorder="1" applyAlignment="1">
      <alignment horizontal="center" vertical="center"/>
    </xf>
    <xf numFmtId="2" fontId="64" fillId="15" borderId="80" xfId="17" applyNumberFormat="1" applyFont="1" applyFill="1" applyBorder="1" applyAlignment="1">
      <alignment horizontal="center" vertical="center"/>
    </xf>
    <xf numFmtId="166" fontId="84" fillId="15" borderId="80" xfId="2" applyNumberFormat="1" applyFont="1" applyFill="1" applyBorder="1" applyAlignment="1">
      <alignment horizontal="left" vertical="center"/>
    </xf>
    <xf numFmtId="166" fontId="84" fillId="15" borderId="80" xfId="2" applyNumberFormat="1" applyFont="1" applyFill="1" applyBorder="1" applyAlignment="1">
      <alignment horizontal="center" vertical="center"/>
    </xf>
    <xf numFmtId="10" fontId="85" fillId="15" borderId="80" xfId="2" applyNumberFormat="1" applyFont="1" applyFill="1" applyBorder="1" applyAlignment="1">
      <alignment vertical="center"/>
    </xf>
    <xf numFmtId="166" fontId="2" fillId="5" borderId="81" xfId="2" applyNumberFormat="1" applyFont="1" applyFill="1" applyBorder="1"/>
    <xf numFmtId="166" fontId="2" fillId="2" borderId="82" xfId="2" applyNumberFormat="1" applyFont="1" applyFill="1" applyBorder="1"/>
    <xf numFmtId="167" fontId="27" fillId="2" borderId="0" xfId="1" applyNumberFormat="1" applyFont="1" applyFill="1" applyBorder="1"/>
    <xf numFmtId="0" fontId="3" fillId="2" borderId="19" xfId="0" applyFont="1" applyFill="1" applyBorder="1" applyAlignment="1">
      <alignment horizontal="center"/>
    </xf>
    <xf numFmtId="185" fontId="19" fillId="5" borderId="81" xfId="4" applyNumberFormat="1" applyFont="1" applyFill="1" applyBorder="1" applyAlignment="1">
      <alignment horizontal="right" vertical="center"/>
    </xf>
    <xf numFmtId="0" fontId="91" fillId="2" borderId="0" xfId="0" applyFont="1" applyFill="1" applyAlignment="1">
      <alignment horizontal="right" vertical="center" wrapText="1" readingOrder="1"/>
    </xf>
    <xf numFmtId="164" fontId="2" fillId="0" borderId="0" xfId="4" applyNumberFormat="1" applyFont="1"/>
    <xf numFmtId="167" fontId="7" fillId="0" borderId="62" xfId="1" applyNumberFormat="1" applyFont="1" applyBorder="1"/>
    <xf numFmtId="167" fontId="7" fillId="0" borderId="65" xfId="1" applyNumberFormat="1" applyFont="1" applyBorder="1"/>
    <xf numFmtId="167" fontId="7" fillId="5" borderId="69" xfId="1" applyNumberFormat="1" applyFont="1" applyFill="1" applyBorder="1"/>
    <xf numFmtId="167" fontId="7" fillId="0" borderId="64" xfId="1" applyNumberFormat="1" applyFont="1" applyBorder="1"/>
    <xf numFmtId="167" fontId="7" fillId="0" borderId="66" xfId="1" applyNumberFormat="1" applyFont="1" applyBorder="1"/>
    <xf numFmtId="167" fontId="7" fillId="5" borderId="70" xfId="1" applyNumberFormat="1" applyFont="1" applyFill="1" applyBorder="1"/>
    <xf numFmtId="0" fontId="6" fillId="2" borderId="1" xfId="0" applyFont="1" applyFill="1" applyBorder="1" applyAlignment="1">
      <alignment horizontal="center"/>
    </xf>
    <xf numFmtId="0" fontId="95" fillId="5" borderId="0" xfId="0" applyFont="1" applyFill="1" applyBorder="1" applyAlignment="1">
      <alignment horizontal="left" vertical="center" indent="1"/>
    </xf>
    <xf numFmtId="164" fontId="6" fillId="2" borderId="0" xfId="1" applyFont="1" applyFill="1" applyBorder="1"/>
    <xf numFmtId="0" fontId="6" fillId="2" borderId="17" xfId="0" applyFont="1" applyFill="1" applyBorder="1"/>
    <xf numFmtId="0" fontId="23" fillId="2" borderId="17" xfId="0" applyFont="1" applyFill="1" applyBorder="1" applyAlignment="1">
      <alignment horizontal="center"/>
    </xf>
    <xf numFmtId="0" fontId="2" fillId="2" borderId="8" xfId="0" applyFont="1" applyFill="1" applyBorder="1" applyAlignment="1">
      <alignment horizontal="left"/>
    </xf>
    <xf numFmtId="0" fontId="6" fillId="2" borderId="8" xfId="0" applyFont="1" applyFill="1" applyBorder="1"/>
    <xf numFmtId="164" fontId="6" fillId="2" borderId="8" xfId="1" applyFont="1" applyFill="1" applyBorder="1"/>
    <xf numFmtId="0" fontId="96" fillId="5" borderId="0" xfId="0" applyFont="1" applyFill="1" applyBorder="1"/>
    <xf numFmtId="0" fontId="96" fillId="5" borderId="0" xfId="0" applyFont="1" applyFill="1" applyBorder="1" applyAlignment="1">
      <alignment horizontal="left" indent="1"/>
    </xf>
    <xf numFmtId="0" fontId="2" fillId="2" borderId="83" xfId="0" applyFont="1" applyFill="1" applyBorder="1"/>
    <xf numFmtId="0" fontId="3" fillId="2" borderId="83" xfId="0" applyFont="1" applyFill="1" applyBorder="1" applyAlignment="1">
      <alignment horizontal="center"/>
    </xf>
    <xf numFmtId="0" fontId="4" fillId="2" borderId="83" xfId="0" applyFont="1" applyFill="1" applyBorder="1"/>
    <xf numFmtId="167" fontId="2" fillId="2" borderId="83" xfId="1" applyNumberFormat="1" applyFont="1" applyFill="1" applyBorder="1"/>
    <xf numFmtId="0" fontId="10" fillId="2" borderId="83" xfId="0" applyFont="1" applyFill="1" applyBorder="1"/>
    <xf numFmtId="167" fontId="23" fillId="2" borderId="0" xfId="1" applyNumberFormat="1" applyFont="1" applyFill="1" applyBorder="1"/>
    <xf numFmtId="167" fontId="10" fillId="4" borderId="0" xfId="1" applyNumberFormat="1" applyFont="1" applyFill="1" applyBorder="1"/>
    <xf numFmtId="166" fontId="2" fillId="4" borderId="0" xfId="2" applyNumberFormat="1" applyFont="1" applyFill="1" applyAlignment="1">
      <alignment horizontal="center"/>
    </xf>
    <xf numFmtId="166" fontId="10" fillId="2" borderId="0" xfId="1" applyNumberFormat="1" applyFont="1" applyFill="1" applyBorder="1" applyAlignment="1">
      <alignment horizontal="center"/>
    </xf>
    <xf numFmtId="166" fontId="2" fillId="2" borderId="0" xfId="0" applyNumberFormat="1" applyFont="1" applyFill="1" applyAlignment="1">
      <alignment horizontal="center"/>
    </xf>
    <xf numFmtId="166" fontId="2" fillId="2" borderId="27" xfId="0" applyNumberFormat="1" applyFont="1" applyFill="1" applyBorder="1" applyAlignment="1">
      <alignment horizontal="center"/>
    </xf>
    <xf numFmtId="167" fontId="10" fillId="2" borderId="83" xfId="1" applyNumberFormat="1" applyFont="1" applyFill="1" applyBorder="1"/>
    <xf numFmtId="166" fontId="2" fillId="2" borderId="0" xfId="1" applyNumberFormat="1" applyFont="1" applyFill="1"/>
    <xf numFmtId="167" fontId="2" fillId="4" borderId="0" xfId="1" applyNumberFormat="1" applyFont="1" applyFill="1" applyAlignment="1">
      <alignment vertical="center"/>
    </xf>
    <xf numFmtId="0" fontId="10" fillId="2" borderId="85" xfId="0" applyFont="1" applyFill="1" applyBorder="1"/>
    <xf numFmtId="0" fontId="2" fillId="2" borderId="85" xfId="0" applyFont="1" applyFill="1" applyBorder="1"/>
    <xf numFmtId="167" fontId="2" fillId="2" borderId="85" xfId="1" applyNumberFormat="1" applyFont="1" applyFill="1" applyBorder="1"/>
    <xf numFmtId="0" fontId="3" fillId="2" borderId="85" xfId="0" applyFont="1" applyFill="1" applyBorder="1" applyAlignment="1">
      <alignment horizontal="center"/>
    </xf>
    <xf numFmtId="0" fontId="11" fillId="2" borderId="85" xfId="0" applyFont="1" applyFill="1" applyBorder="1"/>
    <xf numFmtId="167" fontId="10" fillId="2" borderId="85" xfId="1" applyNumberFormat="1" applyFont="1" applyFill="1" applyBorder="1"/>
    <xf numFmtId="166" fontId="2" fillId="2" borderId="85" xfId="2" applyNumberFormat="1" applyFont="1" applyFill="1" applyBorder="1"/>
    <xf numFmtId="167" fontId="97" fillId="2" borderId="0" xfId="1" applyNumberFormat="1" applyFont="1" applyFill="1" applyBorder="1"/>
    <xf numFmtId="9" fontId="10" fillId="5" borderId="0" xfId="2" applyFont="1" applyFill="1" applyBorder="1"/>
    <xf numFmtId="164" fontId="2" fillId="5" borderId="0" xfId="1" applyFont="1" applyFill="1" applyBorder="1"/>
    <xf numFmtId="167" fontId="7" fillId="3" borderId="84" xfId="1" applyNumberFormat="1" applyFont="1" applyFill="1" applyBorder="1" applyAlignment="1">
      <alignment horizontal="center"/>
    </xf>
    <xf numFmtId="166" fontId="7" fillId="3" borderId="84" xfId="1" applyNumberFormat="1" applyFont="1" applyFill="1" applyBorder="1" applyAlignment="1">
      <alignment horizontal="center"/>
    </xf>
    <xf numFmtId="167" fontId="2" fillId="4" borderId="0" xfId="2" applyNumberFormat="1" applyFont="1" applyFill="1" applyBorder="1"/>
    <xf numFmtId="37" fontId="79" fillId="7" borderId="0" xfId="10" applyNumberFormat="1" applyFont="1" applyFill="1" applyAlignment="1">
      <alignment horizontal="left" vertical="center"/>
    </xf>
    <xf numFmtId="177" fontId="79" fillId="7" borderId="0" xfId="10" applyNumberFormat="1" applyFont="1" applyFill="1" applyAlignment="1">
      <alignment horizontal="center" vertical="center"/>
    </xf>
    <xf numFmtId="9" fontId="79" fillId="7" borderId="0" xfId="2" applyFont="1" applyFill="1" applyBorder="1" applyAlignment="1">
      <alignment horizontal="center" vertical="center"/>
    </xf>
    <xf numFmtId="166" fontId="79" fillId="7" borderId="0" xfId="2" applyNumberFormat="1" applyFont="1" applyFill="1" applyBorder="1" applyAlignment="1">
      <alignment horizontal="center" vertical="center"/>
    </xf>
    <xf numFmtId="10" fontId="83" fillId="4" borderId="0" xfId="2" applyNumberFormat="1" applyFont="1" applyFill="1" applyBorder="1" applyAlignment="1">
      <alignment horizontal="right" vertical="center"/>
    </xf>
    <xf numFmtId="166" fontId="64" fillId="4" borderId="0" xfId="0" applyNumberFormat="1" applyFont="1" applyFill="1" applyAlignment="1">
      <alignment horizontal="right" vertical="center"/>
    </xf>
    <xf numFmtId="0" fontId="68" fillId="2" borderId="50" xfId="26" applyFill="1" applyBorder="1" applyAlignment="1">
      <alignment horizontal="left" vertical="center" wrapText="1"/>
    </xf>
    <xf numFmtId="0" fontId="68" fillId="2" borderId="49" xfId="26" applyFill="1" applyBorder="1" applyAlignment="1">
      <alignment horizontal="left" vertical="center" wrapText="1"/>
    </xf>
    <xf numFmtId="0" fontId="98" fillId="2" borderId="0" xfId="26" applyFont="1" applyFill="1" applyAlignment="1">
      <alignment horizontal="left" vertical="center" wrapText="1"/>
    </xf>
    <xf numFmtId="37" fontId="98" fillId="2" borderId="0" xfId="4" applyNumberFormat="1" applyFont="1" applyFill="1" applyAlignment="1">
      <alignment horizontal="left" vertical="center"/>
    </xf>
    <xf numFmtId="37" fontId="98" fillId="2" borderId="0" xfId="4" applyNumberFormat="1" applyFont="1" applyFill="1" applyAlignment="1">
      <alignment horizontal="center" vertical="center"/>
    </xf>
    <xf numFmtId="185" fontId="98" fillId="2" borderId="0" xfId="4" applyNumberFormat="1" applyFont="1" applyFill="1" applyAlignment="1">
      <alignment horizontal="center" vertical="center"/>
    </xf>
    <xf numFmtId="166" fontId="98" fillId="2" borderId="0" xfId="6" applyNumberFormat="1" applyFont="1" applyFill="1" applyAlignment="1">
      <alignment horizontal="center" vertical="center"/>
    </xf>
    <xf numFmtId="37" fontId="76" fillId="5" borderId="0" xfId="4" applyNumberFormat="1" applyFont="1" applyFill="1" applyAlignment="1">
      <alignment horizontal="right" vertical="center"/>
    </xf>
    <xf numFmtId="37" fontId="76" fillId="5" borderId="0" xfId="4" applyNumberFormat="1" applyFont="1" applyFill="1" applyAlignment="1">
      <alignment horizontal="center" vertical="center"/>
    </xf>
    <xf numFmtId="185" fontId="76" fillId="5" borderId="0" xfId="4" applyNumberFormat="1" applyFont="1" applyFill="1" applyAlignment="1">
      <alignment horizontal="center" vertical="center"/>
    </xf>
    <xf numFmtId="166" fontId="76" fillId="5" borderId="0" xfId="2" applyNumberFormat="1" applyFont="1" applyFill="1" applyAlignment="1">
      <alignment horizontal="center" vertical="center"/>
    </xf>
    <xf numFmtId="166" fontId="76" fillId="5" borderId="0" xfId="6" applyNumberFormat="1" applyFont="1" applyFill="1" applyAlignment="1">
      <alignment horizontal="center" vertical="center"/>
    </xf>
    <xf numFmtId="0" fontId="68" fillId="5" borderId="0" xfId="26" applyFill="1" applyAlignment="1">
      <alignment horizontal="left" vertical="center" wrapText="1"/>
    </xf>
    <xf numFmtId="37" fontId="65" fillId="5" borderId="0" xfId="4" applyNumberFormat="1" applyFont="1" applyFill="1" applyAlignment="1">
      <alignment horizontal="left" vertical="center"/>
    </xf>
    <xf numFmtId="37" fontId="65" fillId="5" borderId="0" xfId="4" applyNumberFormat="1" applyFont="1" applyFill="1" applyAlignment="1">
      <alignment horizontal="center" vertical="center"/>
    </xf>
    <xf numFmtId="185" fontId="65" fillId="5" borderId="0" xfId="4" applyNumberFormat="1" applyFont="1" applyFill="1" applyAlignment="1">
      <alignment horizontal="center" vertical="center"/>
    </xf>
    <xf numFmtId="166" fontId="65" fillId="5" borderId="0" xfId="6" applyNumberFormat="1" applyFont="1" applyFill="1" applyAlignment="1">
      <alignment horizontal="center" vertical="center"/>
    </xf>
    <xf numFmtId="49" fontId="65" fillId="2" borderId="50" xfId="4" applyNumberFormat="1" applyFont="1" applyFill="1" applyBorder="1" applyAlignment="1">
      <alignment horizontal="left" vertical="center" wrapText="1"/>
    </xf>
    <xf numFmtId="49" fontId="65" fillId="2" borderId="50" xfId="4" applyNumberFormat="1" applyFont="1" applyFill="1" applyBorder="1" applyAlignment="1">
      <alignment horizontal="left" vertical="center"/>
    </xf>
    <xf numFmtId="182" fontId="65" fillId="2" borderId="50" xfId="4" applyNumberFormat="1" applyFont="1" applyFill="1" applyBorder="1" applyAlignment="1">
      <alignment horizontal="center" vertical="center" wrapText="1"/>
    </xf>
    <xf numFmtId="180" fontId="65" fillId="2" borderId="50" xfId="4" applyNumberFormat="1" applyFont="1" applyFill="1" applyBorder="1" applyAlignment="1">
      <alignment horizontal="center" vertical="center" wrapText="1"/>
    </xf>
    <xf numFmtId="181" fontId="65" fillId="2" borderId="50" xfId="4" applyNumberFormat="1" applyFont="1" applyFill="1" applyBorder="1" applyAlignment="1">
      <alignment horizontal="center" vertical="center" wrapText="1"/>
    </xf>
    <xf numFmtId="166" fontId="65" fillId="2" borderId="50" xfId="6" applyNumberFormat="1" applyFont="1" applyFill="1" applyBorder="1" applyAlignment="1">
      <alignment horizontal="right" vertical="center" wrapText="1"/>
    </xf>
    <xf numFmtId="49" fontId="65" fillId="2" borderId="49" xfId="4" applyNumberFormat="1" applyFont="1" applyFill="1" applyBorder="1" applyAlignment="1">
      <alignment horizontal="left" vertical="center" wrapText="1"/>
    </xf>
    <xf numFmtId="49" fontId="65" fillId="2" borderId="49" xfId="4" applyNumberFormat="1" applyFont="1" applyFill="1" applyBorder="1" applyAlignment="1">
      <alignment horizontal="left" vertical="center"/>
    </xf>
    <xf numFmtId="182" fontId="65" fillId="2" borderId="49" xfId="4" applyNumberFormat="1" applyFont="1" applyFill="1" applyBorder="1" applyAlignment="1">
      <alignment horizontal="center" vertical="center" wrapText="1"/>
    </xf>
    <xf numFmtId="180" fontId="65" fillId="2" borderId="49" xfId="4" applyNumberFormat="1" applyFont="1" applyFill="1" applyBorder="1" applyAlignment="1">
      <alignment horizontal="center" vertical="center" wrapText="1"/>
    </xf>
    <xf numFmtId="166" fontId="65" fillId="2" borderId="49" xfId="6" applyNumberFormat="1" applyFont="1" applyFill="1" applyBorder="1" applyAlignment="1">
      <alignment horizontal="right" vertical="center" wrapText="1"/>
    </xf>
    <xf numFmtId="181" fontId="65" fillId="2" borderId="49" xfId="4" applyNumberFormat="1" applyFont="1" applyFill="1" applyBorder="1" applyAlignment="1">
      <alignment horizontal="center" vertical="center" wrapText="1"/>
    </xf>
    <xf numFmtId="1" fontId="65" fillId="2" borderId="49" xfId="4" applyNumberFormat="1" applyFont="1" applyFill="1" applyBorder="1" applyAlignment="1">
      <alignment horizontal="center" vertical="center" wrapText="1"/>
    </xf>
    <xf numFmtId="183" fontId="65" fillId="2" borderId="49" xfId="4" applyNumberFormat="1" applyFont="1" applyFill="1" applyBorder="1" applyAlignment="1">
      <alignment horizontal="center" vertical="center" wrapText="1"/>
    </xf>
    <xf numFmtId="166" fontId="65" fillId="2" borderId="0" xfId="6" applyNumberFormat="1" applyFont="1" applyFill="1" applyAlignment="1">
      <alignment horizontal="right"/>
    </xf>
    <xf numFmtId="0" fontId="69" fillId="16" borderId="0" xfId="27" applyAlignment="1">
      <alignment horizontal="left" wrapText="1"/>
    </xf>
    <xf numFmtId="0" fontId="69" fillId="16" borderId="0" xfId="27" applyAlignment="1">
      <alignment horizontal="right" wrapText="1"/>
    </xf>
    <xf numFmtId="0" fontId="68" fillId="0" borderId="0" xfId="26" applyAlignment="1">
      <alignment horizontal="left" vertical="top" wrapText="1"/>
    </xf>
    <xf numFmtId="182" fontId="65" fillId="0" borderId="0" xfId="4" applyNumberFormat="1" applyFont="1" applyAlignment="1">
      <alignment horizontal="right" vertical="top" wrapText="1"/>
    </xf>
    <xf numFmtId="181" fontId="65" fillId="0" borderId="0" xfId="4" applyNumberFormat="1" applyFont="1" applyAlignment="1">
      <alignment horizontal="right" vertical="top" wrapText="1"/>
    </xf>
    <xf numFmtId="166" fontId="2" fillId="2" borderId="0" xfId="2" applyNumberFormat="1" applyFont="1" applyFill="1" applyBorder="1" applyAlignment="1">
      <alignment horizontal="right"/>
    </xf>
    <xf numFmtId="164" fontId="2" fillId="2" borderId="21" xfId="1" applyFont="1" applyFill="1" applyBorder="1"/>
    <xf numFmtId="0" fontId="4" fillId="2" borderId="21" xfId="0" applyFont="1" applyFill="1" applyBorder="1"/>
    <xf numFmtId="0" fontId="2" fillId="2" borderId="86" xfId="0" applyFont="1" applyFill="1" applyBorder="1"/>
    <xf numFmtId="164" fontId="2" fillId="2" borderId="86" xfId="1" applyFont="1" applyFill="1" applyBorder="1"/>
    <xf numFmtId="0" fontId="3" fillId="2" borderId="86" xfId="0" applyFont="1" applyFill="1" applyBorder="1" applyAlignment="1">
      <alignment horizontal="center"/>
    </xf>
    <xf numFmtId="0" fontId="4" fillId="2" borderId="86" xfId="0" applyFont="1" applyFill="1" applyBorder="1"/>
    <xf numFmtId="166" fontId="2" fillId="2" borderId="86" xfId="2" applyNumberFormat="1" applyFont="1" applyFill="1" applyBorder="1" applyAlignment="1">
      <alignment horizontal="right"/>
    </xf>
    <xf numFmtId="166" fontId="38" fillId="12" borderId="21" xfId="2" applyNumberFormat="1" applyFont="1" applyFill="1" applyBorder="1" applyAlignment="1">
      <alignment horizontal="right"/>
    </xf>
    <xf numFmtId="166" fontId="38" fillId="12" borderId="86" xfId="2" applyNumberFormat="1" applyFont="1" applyFill="1" applyBorder="1" applyAlignment="1">
      <alignment horizontal="right"/>
    </xf>
    <xf numFmtId="9" fontId="2" fillId="2" borderId="0" xfId="0" applyNumberFormat="1" applyFont="1" applyFill="1"/>
    <xf numFmtId="164" fontId="2" fillId="2" borderId="0" xfId="1" applyFont="1" applyFill="1" applyBorder="1" applyAlignment="1">
      <alignment horizontal="right"/>
    </xf>
    <xf numFmtId="166" fontId="38" fillId="12" borderId="21" xfId="2" applyNumberFormat="1" applyFont="1" applyFill="1" applyBorder="1" applyAlignment="1">
      <alignment horizontal="center"/>
    </xf>
    <xf numFmtId="167" fontId="10" fillId="2" borderId="0" xfId="1" applyNumberFormat="1" applyFont="1" applyFill="1" applyBorder="1" applyAlignment="1">
      <alignment horizontal="right"/>
    </xf>
    <xf numFmtId="167" fontId="60" fillId="2" borderId="0" xfId="1" applyNumberFormat="1" applyFont="1" applyFill="1" applyBorder="1" applyAlignment="1">
      <alignment horizontal="center"/>
    </xf>
    <xf numFmtId="167" fontId="59" fillId="2" borderId="0" xfId="1" applyNumberFormat="1" applyFont="1" applyFill="1" applyBorder="1" applyAlignment="1">
      <alignment horizontal="center"/>
    </xf>
    <xf numFmtId="0" fontId="59" fillId="2" borderId="0" xfId="0" applyFont="1" applyFill="1" applyBorder="1"/>
    <xf numFmtId="0" fontId="59" fillId="2" borderId="0" xfId="0" applyFont="1" applyFill="1" applyBorder="1" applyAlignment="1">
      <alignment horizontal="center"/>
    </xf>
    <xf numFmtId="0" fontId="60" fillId="5" borderId="49" xfId="0" applyFont="1" applyFill="1" applyBorder="1"/>
    <xf numFmtId="167" fontId="60" fillId="5" borderId="49" xfId="1" applyNumberFormat="1" applyFont="1" applyFill="1" applyBorder="1" applyAlignment="1">
      <alignment horizontal="center"/>
    </xf>
    <xf numFmtId="0" fontId="60" fillId="2" borderId="82" xfId="0" applyFont="1" applyFill="1" applyBorder="1"/>
    <xf numFmtId="167" fontId="60" fillId="2" borderId="82" xfId="1" applyNumberFormat="1" applyFont="1" applyFill="1" applyBorder="1" applyAlignment="1">
      <alignment horizontal="center"/>
    </xf>
    <xf numFmtId="167" fontId="60" fillId="2" borderId="49" xfId="1" applyNumberFormat="1" applyFont="1" applyFill="1" applyBorder="1"/>
    <xf numFmtId="0" fontId="60" fillId="5" borderId="48" xfId="0" applyFont="1" applyFill="1" applyBorder="1"/>
    <xf numFmtId="0" fontId="59" fillId="5" borderId="48" xfId="0" applyFont="1" applyFill="1" applyBorder="1"/>
    <xf numFmtId="167" fontId="59" fillId="5" borderId="48" xfId="1" applyNumberFormat="1" applyFont="1" applyFill="1" applyBorder="1"/>
    <xf numFmtId="0" fontId="60" fillId="2" borderId="49" xfId="0" applyFont="1" applyFill="1" applyBorder="1" applyAlignment="1">
      <alignment horizontal="left" indent="1"/>
    </xf>
    <xf numFmtId="167" fontId="60" fillId="2" borderId="0" xfId="1" applyNumberFormat="1" applyFont="1" applyFill="1"/>
    <xf numFmtId="0" fontId="6" fillId="2" borderId="1" xfId="0" applyFont="1" applyFill="1" applyBorder="1" applyAlignment="1">
      <alignment horizontal="center"/>
    </xf>
    <xf numFmtId="167" fontId="10" fillId="2" borderId="0" xfId="1" applyNumberFormat="1" applyFont="1" applyFill="1" applyBorder="1" applyAlignment="1">
      <alignment horizontal="center" vertical="center"/>
    </xf>
    <xf numFmtId="0" fontId="10" fillId="5" borderId="62" xfId="4" applyFont="1" applyFill="1" applyBorder="1" applyAlignment="1">
      <alignment horizontal="center"/>
    </xf>
    <xf numFmtId="188" fontId="91" fillId="2" borderId="0" xfId="0" applyNumberFormat="1" applyFont="1" applyFill="1" applyAlignment="1">
      <alignment horizontal="center" vertical="center" wrapText="1" readingOrder="1"/>
    </xf>
    <xf numFmtId="0" fontId="91" fillId="2" borderId="0" xfId="0" applyFont="1" applyFill="1" applyAlignment="1">
      <alignment horizontal="center" vertical="center" wrapText="1" readingOrder="1"/>
    </xf>
    <xf numFmtId="0" fontId="91" fillId="2" borderId="0" xfId="0" applyFont="1" applyFill="1" applyAlignment="1">
      <alignment horizontal="right" vertical="center" wrapText="1" readingOrder="1"/>
    </xf>
    <xf numFmtId="37" fontId="61" fillId="12" borderId="0" xfId="4" applyNumberFormat="1" applyFont="1" applyFill="1" applyAlignment="1">
      <alignment horizontal="center" vertical="center" wrapText="1"/>
    </xf>
    <xf numFmtId="37" fontId="61" fillId="17" borderId="0" xfId="4" applyNumberFormat="1" applyFont="1" applyFill="1" applyAlignment="1">
      <alignment horizontal="left" vertical="center"/>
    </xf>
    <xf numFmtId="37" fontId="61" fillId="17" borderId="0" xfId="4" applyNumberFormat="1" applyFont="1" applyFill="1" applyAlignment="1">
      <alignment horizontal="center" vertical="center"/>
    </xf>
    <xf numFmtId="0" fontId="61" fillId="17" borderId="52" xfId="4" applyFont="1" applyFill="1" applyBorder="1" applyAlignment="1">
      <alignment horizontal="center" vertical="center" wrapText="1" readingOrder="1"/>
    </xf>
  </cellXfs>
  <cellStyles count="37">
    <cellStyle name="blp_column_header" xfId="14" xr:uid="{00000000-0005-0000-0000-000000000000}"/>
    <cellStyle name="BM Heading 1" xfId="19" xr:uid="{87E47126-A77F-406F-908C-74EEBBD35815}"/>
    <cellStyle name="BM Heading 3" xfId="20" xr:uid="{BF15E82B-E0D6-4EBE-8337-6210EFBD723C}"/>
    <cellStyle name="BM Label" xfId="25" xr:uid="{A6D57833-3D60-4841-A796-06B52FCFD55C}"/>
    <cellStyle name="ColumnHeaderNormal" xfId="27" xr:uid="{6E3B8AEC-313E-4637-9354-6361A4245D2B}"/>
    <cellStyle name="ColumnHeaderNormal 2" xfId="32" xr:uid="{7AAA7AA9-054F-411D-B560-3DA3C0F3098E}"/>
    <cellStyle name="Comma" xfId="1" builtinId="3"/>
    <cellStyle name="Comma 2" xfId="29" xr:uid="{3B03CB52-6851-4CBB-BD27-03560C9E9B68}"/>
    <cellStyle name="Comma 2 2" xfId="11" xr:uid="{00000000-0005-0000-0000-000003000000}"/>
    <cellStyle name="Comma 3" xfId="9" xr:uid="{00000000-0005-0000-0000-000004000000}"/>
    <cellStyle name="Comma 4" xfId="36" xr:uid="{FA611F74-8B65-4834-907A-C2FFF7858984}"/>
    <cellStyle name="fa_column_header_bottom" xfId="15" xr:uid="{00000000-0005-0000-0000-000006000000}"/>
    <cellStyle name="Heading 1 [Bold]" xfId="3" xr:uid="{00000000-0005-0000-0000-000007000000}"/>
    <cellStyle name="Hyperlink" xfId="33" builtinId="8"/>
    <cellStyle name="Hyperlink 2" xfId="5" xr:uid="{00000000-0005-0000-0000-000009000000}"/>
    <cellStyle name="Invisible" xfId="28" xr:uid="{AA22D873-F278-4243-A469-D37FE2370D07}"/>
    <cellStyle name="Invisible 2" xfId="30" xr:uid="{DA0CBB1D-000F-470A-996D-BAE601907C9A}"/>
    <cellStyle name="Normal" xfId="0" builtinId="0"/>
    <cellStyle name="Normal 10 3" xfId="13" xr:uid="{00000000-0005-0000-0000-00000B000000}"/>
    <cellStyle name="Normal 2" xfId="21" xr:uid="{DC181316-596C-4D1A-A54C-27A9D2992288}"/>
    <cellStyle name="Normal 2 10" xfId="4" xr:uid="{00000000-0005-0000-0000-00000C000000}"/>
    <cellStyle name="Normal 3" xfId="8" xr:uid="{00000000-0005-0000-0000-00000D000000}"/>
    <cellStyle name="Normal 3 10" xfId="18" xr:uid="{00000000-0005-0000-0000-00000E000000}"/>
    <cellStyle name="Normal 3 2" xfId="10" xr:uid="{00000000-0005-0000-0000-00000F000000}"/>
    <cellStyle name="Normal 3 2 2" xfId="7" xr:uid="{00000000-0005-0000-0000-000010000000}"/>
    <cellStyle name="Normal 3 2 2 2" xfId="12" xr:uid="{00000000-0005-0000-0000-000011000000}"/>
    <cellStyle name="Normal 32" xfId="16" xr:uid="{00000000-0005-0000-0000-000012000000}"/>
    <cellStyle name="Normal 4" xfId="35" xr:uid="{1DD0E4EC-403D-4BC4-8FDA-0A44D3F49CFA}"/>
    <cellStyle name="Normal_OUTPUT" xfId="34" xr:uid="{7F933971-3FC5-429A-B974-3CF5188E7D72}"/>
    <cellStyle name="Percent" xfId="2" builtinId="5"/>
    <cellStyle name="Percent 2 2 2" xfId="6" xr:uid="{00000000-0005-0000-0000-000015000000}"/>
    <cellStyle name="Percent 9" xfId="17" xr:uid="{00000000-0005-0000-0000-000016000000}"/>
    <cellStyle name="Smart Subtotal" xfId="22" xr:uid="{19E21690-A6A0-43E1-814B-2B01727C914A}"/>
    <cellStyle name="Smart Total" xfId="24" xr:uid="{52688C2D-04E9-4F15-A1E6-21779452C30A}"/>
    <cellStyle name="Smart Total 4" xfId="23" xr:uid="{5CBBDF3A-45DA-4006-86E6-6E7E69ECB6E5}"/>
    <cellStyle name="TextNormal" xfId="26" xr:uid="{ADF51F28-10D5-45B5-9906-1259847BB266}"/>
    <cellStyle name="TextNormal 2" xfId="31" xr:uid="{EBD27460-BD30-436A-B84C-6CBB6B29F7E4}"/>
  </cellStyles>
  <dxfs count="447">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theme="9"/>
      </font>
    </dxf>
    <dxf>
      <font>
        <color rgb="FFFF0000"/>
      </font>
    </dxf>
    <dxf>
      <font>
        <color rgb="FF00206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TableStyle="TableStyleMedium2" defaultPivotStyle="PivotStyleLight16"/>
  <colors>
    <mruColors>
      <color rgb="FF262660"/>
      <color rgb="FF62C3AD"/>
      <color rgb="FF0000FF"/>
      <color rgb="FF262760"/>
      <color rgb="FFFF6600"/>
      <color rgb="FF5959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8.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externalLink" Target="externalLinks/externalLink11.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externalLink" Target="externalLinks/externalLink12.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Income</a:t>
            </a:r>
            <a:r>
              <a:rPr lang="en-US" sz="1200" b="1" baseline="0"/>
              <a:t> Statement Snapshot</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Highlights!$E$38</c:f>
              <c:strCache>
                <c:ptCount val="1"/>
                <c:pt idx="0">
                  <c:v>Revenues</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Highlights!$Q$38:$W$38</c:f>
              <c:numCache>
                <c:formatCode>_(* #,##0_);_(* \(#,##0\);_(* "-"??_);_(@_)</c:formatCode>
                <c:ptCount val="7"/>
                <c:pt idx="0">
                  <c:v>446.43700000000001</c:v>
                </c:pt>
                <c:pt idx="1">
                  <c:v>500.92399999999998</c:v>
                </c:pt>
                <c:pt idx="2">
                  <c:v>583.51559155405357</c:v>
                </c:pt>
                <c:pt idx="3">
                  <c:v>685.34487208057294</c:v>
                </c:pt>
                <c:pt idx="4">
                  <c:v>812.19048205993295</c:v>
                </c:pt>
                <c:pt idx="5">
                  <c:v>971.82479453884355</c:v>
                </c:pt>
                <c:pt idx="6">
                  <c:v>1174.7426343971476</c:v>
                </c:pt>
              </c:numCache>
            </c:numRef>
          </c:val>
          <c:extLst>
            <c:ext xmlns:c16="http://schemas.microsoft.com/office/drawing/2014/chart" uri="{C3380CC4-5D6E-409C-BE32-E72D297353CC}">
              <c16:uniqueId val="{00000000-D777-4C5F-A821-E09F8E6F1D6C}"/>
            </c:ext>
          </c:extLst>
        </c:ser>
        <c:ser>
          <c:idx val="1"/>
          <c:order val="1"/>
          <c:tx>
            <c:strRef>
              <c:f>Highlights!$E$39</c:f>
              <c:strCache>
                <c:ptCount val="1"/>
                <c:pt idx="0">
                  <c:v>EBITDA</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Highlights!$Q$39:$W$39</c:f>
              <c:numCache>
                <c:formatCode>_(* #,##0_);_(* \(#,##0\);_(* "-"??_);_(@_)</c:formatCode>
                <c:ptCount val="7"/>
                <c:pt idx="0">
                  <c:v>123.318</c:v>
                </c:pt>
                <c:pt idx="1">
                  <c:v>107.825</c:v>
                </c:pt>
                <c:pt idx="2">
                  <c:v>80.488744347983229</c:v>
                </c:pt>
                <c:pt idx="3">
                  <c:v>94.534831626661997</c:v>
                </c:pt>
                <c:pt idx="4">
                  <c:v>112.03161152606755</c:v>
                </c:pt>
                <c:pt idx="5">
                  <c:v>111.95531961184702</c:v>
                </c:pt>
                <c:pt idx="6">
                  <c:v>158.82653781746771</c:v>
                </c:pt>
              </c:numCache>
            </c:numRef>
          </c:val>
          <c:extLst>
            <c:ext xmlns:c16="http://schemas.microsoft.com/office/drawing/2014/chart" uri="{C3380CC4-5D6E-409C-BE32-E72D297353CC}">
              <c16:uniqueId val="{00000001-D777-4C5F-A821-E09F8E6F1D6C}"/>
            </c:ext>
          </c:extLst>
        </c:ser>
        <c:ser>
          <c:idx val="2"/>
          <c:order val="2"/>
          <c:tx>
            <c:strRef>
              <c:f>Highlights!$D$40</c:f>
              <c:strCache>
                <c:ptCount val="1"/>
                <c:pt idx="0">
                  <c:v>Net Income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Highlights!$Q$40:$W$40</c:f>
              <c:numCache>
                <c:formatCode>_(* #,##0_);_(* \(#,##0\);_(* "-"??_);_(@_)</c:formatCode>
                <c:ptCount val="7"/>
                <c:pt idx="0">
                  <c:v>37.228000000000002</c:v>
                </c:pt>
                <c:pt idx="1">
                  <c:v>6.2519999999999998</c:v>
                </c:pt>
                <c:pt idx="2">
                  <c:v>0</c:v>
                </c:pt>
                <c:pt idx="3">
                  <c:v>0</c:v>
                </c:pt>
                <c:pt idx="4">
                  <c:v>0</c:v>
                </c:pt>
                <c:pt idx="5">
                  <c:v>0</c:v>
                </c:pt>
                <c:pt idx="6">
                  <c:v>0</c:v>
                </c:pt>
              </c:numCache>
            </c:numRef>
          </c:val>
          <c:extLst>
            <c:ext xmlns:c16="http://schemas.microsoft.com/office/drawing/2014/chart" uri="{C3380CC4-5D6E-409C-BE32-E72D297353CC}">
              <c16:uniqueId val="{00000002-D777-4C5F-A821-E09F8E6F1D6C}"/>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PPE</a:t>
            </a:r>
            <a:r>
              <a:rPr lang="en-US" sz="1200" b="1" baseline="0"/>
              <a:t> and Debt</a:t>
            </a:r>
            <a:endParaRPr lang="en-US" sz="12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Highlights!$D$45</c:f>
              <c:strCache>
                <c:ptCount val="1"/>
                <c:pt idx="0">
                  <c:v>PPE</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Highlights!$Q$45:$W$45</c:f>
              <c:numCache>
                <c:formatCode>_(* #,##0_);_(* \(#,##0\);_(* "-"??_);_(@_)</c:formatCode>
                <c:ptCount val="7"/>
                <c:pt idx="0">
                  <c:v>239.22900000000001</c:v>
                </c:pt>
                <c:pt idx="1">
                  <c:v>337.29700000000003</c:v>
                </c:pt>
                <c:pt idx="2">
                  <c:v>342.98970037083996</c:v>
                </c:pt>
                <c:pt idx="3">
                  <c:v>344.31180148335989</c:v>
                </c:pt>
                <c:pt idx="4">
                  <c:v>341.26330333755982</c:v>
                </c:pt>
                <c:pt idx="5">
                  <c:v>333.84420593343964</c:v>
                </c:pt>
                <c:pt idx="6">
                  <c:v>322.05450927099952</c:v>
                </c:pt>
              </c:numCache>
            </c:numRef>
          </c:val>
          <c:extLst>
            <c:ext xmlns:c16="http://schemas.microsoft.com/office/drawing/2014/chart" uri="{C3380CC4-5D6E-409C-BE32-E72D297353CC}">
              <c16:uniqueId val="{00000000-7A5A-42EF-BF74-8AC143286B2D}"/>
            </c:ext>
          </c:extLst>
        </c:ser>
        <c:ser>
          <c:idx val="1"/>
          <c:order val="1"/>
          <c:tx>
            <c:strRef>
              <c:f>Highlights!$D$46</c:f>
              <c:strCache>
                <c:ptCount val="1"/>
                <c:pt idx="0">
                  <c:v>Debt</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Highlights!$Q$46:$W$46</c:f>
              <c:numCache>
                <c:formatCode>_(* #,##0_);_(* \(#,##0\);_(* "-"??_);_(@_)</c:formatCode>
                <c:ptCount val="7"/>
                <c:pt idx="0">
                  <c:v>331.22899999999998</c:v>
                </c:pt>
                <c:pt idx="1">
                  <c:v>346.411</c:v>
                </c:pt>
                <c:pt idx="2">
                  <c:v>328.68099999999998</c:v>
                </c:pt>
                <c:pt idx="3">
                  <c:v>296.43187499999999</c:v>
                </c:pt>
                <c:pt idx="4">
                  <c:v>264.18275</c:v>
                </c:pt>
                <c:pt idx="5">
                  <c:v>213.18362500000001</c:v>
                </c:pt>
                <c:pt idx="6">
                  <c:v>162.18450000000001</c:v>
                </c:pt>
              </c:numCache>
            </c:numRef>
          </c:val>
          <c:extLst>
            <c:ext xmlns:c16="http://schemas.microsoft.com/office/drawing/2014/chart" uri="{C3380CC4-5D6E-409C-BE32-E72D297353CC}">
              <c16:uniqueId val="{00000001-7A5A-42EF-BF74-8AC143286B2D}"/>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100" b="1"/>
              <a:t>Debt Payment</a:t>
            </a:r>
            <a:r>
              <a:rPr lang="en-US" sz="1100" b="1" baseline="0"/>
              <a:t> Capacity</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Highlights!$D$51</c:f>
              <c:strCache>
                <c:ptCount val="1"/>
                <c:pt idx="0">
                  <c:v>Debt Service</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62C3AD"/>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Highlights!$S$5:$AB$5</c15:sqref>
                  </c15:fullRef>
                </c:ext>
              </c:extLst>
              <c:f>Highlights!$T$5:$AB$5</c:f>
              <c:numCache>
                <c:formatCode>yyyy</c:formatCode>
                <c:ptCount val="9"/>
                <c:pt idx="0">
                  <c:v>44773</c:v>
                </c:pt>
                <c:pt idx="1">
                  <c:v>45138</c:v>
                </c:pt>
                <c:pt idx="2">
                  <c:v>45504</c:v>
                </c:pt>
                <c:pt idx="3">
                  <c:v>45869</c:v>
                </c:pt>
                <c:pt idx="4">
                  <c:v>46234</c:v>
                </c:pt>
                <c:pt idx="5">
                  <c:v>46599</c:v>
                </c:pt>
                <c:pt idx="6">
                  <c:v>46965</c:v>
                </c:pt>
                <c:pt idx="7">
                  <c:v>47330</c:v>
                </c:pt>
                <c:pt idx="8">
                  <c:v>47695</c:v>
                </c:pt>
              </c:numCache>
            </c:numRef>
          </c:cat>
          <c:val>
            <c:numRef>
              <c:extLst>
                <c:ext xmlns:c15="http://schemas.microsoft.com/office/drawing/2012/chart" uri="{02D57815-91ED-43cb-92C2-25804820EDAC}">
                  <c15:fullRef>
                    <c15:sqref>Highlights!$S$51:$AB$51</c15:sqref>
                  </c15:fullRef>
                </c:ext>
              </c:extLst>
              <c:f>Highlights!$T$51:$AB$51</c:f>
              <c:numCache>
                <c:formatCode>_(* #,##0_);_(* \(#,##0\);_(* "-"??_);_(@_)</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EA79-4F9B-9CFF-771549807BC2}"/>
            </c:ext>
          </c:extLst>
        </c:ser>
        <c:ser>
          <c:idx val="1"/>
          <c:order val="1"/>
          <c:tx>
            <c:strRef>
              <c:f>Highlights!$D$52</c:f>
              <c:strCache>
                <c:ptCount val="1"/>
                <c:pt idx="0">
                  <c:v>EBITDA</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rgbClr val="26266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Highlights!$S$5:$AB$5</c15:sqref>
                  </c15:fullRef>
                </c:ext>
              </c:extLst>
              <c:f>Highlights!$T$5:$AB$5</c:f>
              <c:numCache>
                <c:formatCode>yyyy</c:formatCode>
                <c:ptCount val="9"/>
                <c:pt idx="0">
                  <c:v>44773</c:v>
                </c:pt>
                <c:pt idx="1">
                  <c:v>45138</c:v>
                </c:pt>
                <c:pt idx="2">
                  <c:v>45504</c:v>
                </c:pt>
                <c:pt idx="3">
                  <c:v>45869</c:v>
                </c:pt>
                <c:pt idx="4">
                  <c:v>46234</c:v>
                </c:pt>
                <c:pt idx="5">
                  <c:v>46599</c:v>
                </c:pt>
                <c:pt idx="6">
                  <c:v>46965</c:v>
                </c:pt>
                <c:pt idx="7">
                  <c:v>47330</c:v>
                </c:pt>
                <c:pt idx="8">
                  <c:v>47695</c:v>
                </c:pt>
              </c:numCache>
            </c:numRef>
          </c:cat>
          <c:val>
            <c:numRef>
              <c:extLst>
                <c:ext xmlns:c15="http://schemas.microsoft.com/office/drawing/2012/chart" uri="{02D57815-91ED-43cb-92C2-25804820EDAC}">
                  <c15:fullRef>
                    <c15:sqref>Highlights!$S$52:$AB$52</c15:sqref>
                  </c15:fullRef>
                </c:ext>
              </c:extLst>
              <c:f>Highlights!$T$52:$AB$52</c:f>
              <c:numCache>
                <c:formatCode>_(* #,##0_);_(* \(#,##0\);_(* "-"??_);_(@_)</c:formatCode>
                <c:ptCount val="9"/>
                <c:pt idx="0">
                  <c:v>94.534831626661997</c:v>
                </c:pt>
                <c:pt idx="1">
                  <c:v>112.03161152606755</c:v>
                </c:pt>
                <c:pt idx="2">
                  <c:v>111.95531961184702</c:v>
                </c:pt>
                <c:pt idx="3">
                  <c:v>158.82653781746771</c:v>
                </c:pt>
                <c:pt idx="4">
                  <c:v>194.0355319915231</c:v>
                </c:pt>
                <c:pt idx="5">
                  <c:v>239.63036660504619</c:v>
                </c:pt>
                <c:pt idx="6">
                  <c:v>321.29501337613613</c:v>
                </c:pt>
                <c:pt idx="7">
                  <c:v>405.42064487796438</c:v>
                </c:pt>
                <c:pt idx="8">
                  <c:v>516.85397286825184</c:v>
                </c:pt>
              </c:numCache>
            </c:numRef>
          </c:val>
          <c:extLst>
            <c:ext xmlns:c16="http://schemas.microsoft.com/office/drawing/2014/chart" uri="{C3380CC4-5D6E-409C-BE32-E72D297353CC}">
              <c16:uniqueId val="{00000001-EA79-4F9B-9CFF-771549807BC2}"/>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Income</a:t>
            </a:r>
            <a:r>
              <a:rPr lang="en-US" sz="1200" b="1" baseline="0"/>
              <a:t> Statement Snapshot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Highlights!$E$38</c:f>
              <c:strCache>
                <c:ptCount val="1"/>
                <c:pt idx="0">
                  <c:v>Revenues</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Highlights!$Q$38:$W$38</c:f>
              <c:numCache>
                <c:formatCode>_(* #,##0_);_(* \(#,##0\);_(* "-"??_);_(@_)</c:formatCode>
                <c:ptCount val="7"/>
                <c:pt idx="0">
                  <c:v>446.43700000000001</c:v>
                </c:pt>
                <c:pt idx="1">
                  <c:v>500.92399999999998</c:v>
                </c:pt>
                <c:pt idx="2">
                  <c:v>583.51559155405357</c:v>
                </c:pt>
                <c:pt idx="3">
                  <c:v>685.34487208057294</c:v>
                </c:pt>
                <c:pt idx="4">
                  <c:v>812.19048205993295</c:v>
                </c:pt>
                <c:pt idx="5">
                  <c:v>971.82479453884355</c:v>
                </c:pt>
                <c:pt idx="6">
                  <c:v>1174.7426343971476</c:v>
                </c:pt>
              </c:numCache>
            </c:numRef>
          </c:val>
          <c:extLst>
            <c:ext xmlns:c16="http://schemas.microsoft.com/office/drawing/2014/chart" uri="{C3380CC4-5D6E-409C-BE32-E72D297353CC}">
              <c16:uniqueId val="{00000000-BFF4-44D8-846D-673B732E6D05}"/>
            </c:ext>
          </c:extLst>
        </c:ser>
        <c:ser>
          <c:idx val="1"/>
          <c:order val="1"/>
          <c:tx>
            <c:strRef>
              <c:f>Highlights!$E$39</c:f>
              <c:strCache>
                <c:ptCount val="1"/>
                <c:pt idx="0">
                  <c:v>EBITDA</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Highlights!$Q$39:$W$39</c:f>
              <c:numCache>
                <c:formatCode>_(* #,##0_);_(* \(#,##0\);_(* "-"??_);_(@_)</c:formatCode>
                <c:ptCount val="7"/>
                <c:pt idx="0">
                  <c:v>123.318</c:v>
                </c:pt>
                <c:pt idx="1">
                  <c:v>107.825</c:v>
                </c:pt>
                <c:pt idx="2">
                  <c:v>80.488744347983229</c:v>
                </c:pt>
                <c:pt idx="3">
                  <c:v>94.534831626661997</c:v>
                </c:pt>
                <c:pt idx="4">
                  <c:v>112.03161152606755</c:v>
                </c:pt>
                <c:pt idx="5">
                  <c:v>111.95531961184702</c:v>
                </c:pt>
                <c:pt idx="6">
                  <c:v>158.82653781746771</c:v>
                </c:pt>
              </c:numCache>
            </c:numRef>
          </c:val>
          <c:extLst>
            <c:ext xmlns:c16="http://schemas.microsoft.com/office/drawing/2014/chart" uri="{C3380CC4-5D6E-409C-BE32-E72D297353CC}">
              <c16:uniqueId val="{00000001-BFF4-44D8-846D-673B732E6D05}"/>
            </c:ext>
          </c:extLst>
        </c:ser>
        <c:ser>
          <c:idx val="2"/>
          <c:order val="2"/>
          <c:tx>
            <c:strRef>
              <c:f>Highlights!$D$40</c:f>
              <c:strCache>
                <c:ptCount val="1"/>
                <c:pt idx="0">
                  <c:v>Net Income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Highlights!$Q$40:$W$40</c:f>
              <c:numCache>
                <c:formatCode>_(* #,##0_);_(* \(#,##0\);_(* "-"??_);_(@_)</c:formatCode>
                <c:ptCount val="7"/>
                <c:pt idx="0">
                  <c:v>37.228000000000002</c:v>
                </c:pt>
                <c:pt idx="1">
                  <c:v>6.2519999999999998</c:v>
                </c:pt>
                <c:pt idx="2">
                  <c:v>0</c:v>
                </c:pt>
                <c:pt idx="3">
                  <c:v>0</c:v>
                </c:pt>
                <c:pt idx="4">
                  <c:v>0</c:v>
                </c:pt>
                <c:pt idx="5">
                  <c:v>0</c:v>
                </c:pt>
                <c:pt idx="6">
                  <c:v>0</c:v>
                </c:pt>
              </c:numCache>
            </c:numRef>
          </c:val>
          <c:extLst>
            <c:ext xmlns:c16="http://schemas.microsoft.com/office/drawing/2014/chart" uri="{C3380CC4-5D6E-409C-BE32-E72D297353CC}">
              <c16:uniqueId val="{00000002-BFF4-44D8-846D-673B732E6D05}"/>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PPE</a:t>
            </a:r>
            <a:r>
              <a:rPr lang="en-US" sz="1200" b="1" baseline="0"/>
              <a:t> and Debt</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Highlights!$D$45</c:f>
              <c:strCache>
                <c:ptCount val="1"/>
                <c:pt idx="0">
                  <c:v>PPE</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Highlights!$Q$45:$W$45</c:f>
              <c:numCache>
                <c:formatCode>_(* #,##0_);_(* \(#,##0\);_(* "-"??_);_(@_)</c:formatCode>
                <c:ptCount val="7"/>
                <c:pt idx="0">
                  <c:v>239.22900000000001</c:v>
                </c:pt>
                <c:pt idx="1">
                  <c:v>337.29700000000003</c:v>
                </c:pt>
                <c:pt idx="2">
                  <c:v>342.98970037083996</c:v>
                </c:pt>
                <c:pt idx="3">
                  <c:v>344.31180148335989</c:v>
                </c:pt>
                <c:pt idx="4">
                  <c:v>341.26330333755982</c:v>
                </c:pt>
                <c:pt idx="5">
                  <c:v>333.84420593343964</c:v>
                </c:pt>
                <c:pt idx="6">
                  <c:v>322.05450927099952</c:v>
                </c:pt>
              </c:numCache>
            </c:numRef>
          </c:val>
          <c:extLst>
            <c:ext xmlns:c16="http://schemas.microsoft.com/office/drawing/2014/chart" uri="{C3380CC4-5D6E-409C-BE32-E72D297353CC}">
              <c16:uniqueId val="{00000000-B5C6-4973-B9BE-155945B87FCF}"/>
            </c:ext>
          </c:extLst>
        </c:ser>
        <c:ser>
          <c:idx val="1"/>
          <c:order val="1"/>
          <c:tx>
            <c:strRef>
              <c:f>Highlights!$D$46</c:f>
              <c:strCache>
                <c:ptCount val="1"/>
                <c:pt idx="0">
                  <c:v>Debt</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Highlights!$Q$5:$W$5</c:f>
              <c:numCache>
                <c:formatCode>yyyy</c:formatCode>
                <c:ptCount val="7"/>
                <c:pt idx="0">
                  <c:v>43677</c:v>
                </c:pt>
                <c:pt idx="1">
                  <c:v>44043</c:v>
                </c:pt>
                <c:pt idx="2">
                  <c:v>44408</c:v>
                </c:pt>
                <c:pt idx="3">
                  <c:v>44773</c:v>
                </c:pt>
                <c:pt idx="4">
                  <c:v>45138</c:v>
                </c:pt>
                <c:pt idx="5">
                  <c:v>45504</c:v>
                </c:pt>
                <c:pt idx="6">
                  <c:v>45869</c:v>
                </c:pt>
              </c:numCache>
            </c:numRef>
          </c:cat>
          <c:val>
            <c:numRef>
              <c:f>Highlights!$Q$46:$W$46</c:f>
              <c:numCache>
                <c:formatCode>_(* #,##0_);_(* \(#,##0\);_(* "-"??_);_(@_)</c:formatCode>
                <c:ptCount val="7"/>
                <c:pt idx="0">
                  <c:v>331.22899999999998</c:v>
                </c:pt>
                <c:pt idx="1">
                  <c:v>346.411</c:v>
                </c:pt>
                <c:pt idx="2">
                  <c:v>328.68099999999998</c:v>
                </c:pt>
                <c:pt idx="3">
                  <c:v>296.43187499999999</c:v>
                </c:pt>
                <c:pt idx="4">
                  <c:v>264.18275</c:v>
                </c:pt>
                <c:pt idx="5">
                  <c:v>213.18362500000001</c:v>
                </c:pt>
                <c:pt idx="6">
                  <c:v>162.18450000000001</c:v>
                </c:pt>
              </c:numCache>
            </c:numRef>
          </c:val>
          <c:extLst>
            <c:ext xmlns:c16="http://schemas.microsoft.com/office/drawing/2014/chart" uri="{C3380CC4-5D6E-409C-BE32-E72D297353CC}">
              <c16:uniqueId val="{00000001-B5C6-4973-B9BE-155945B87FCF}"/>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b="1"/>
              <a:t>Debt Payment</a:t>
            </a:r>
            <a:r>
              <a:rPr lang="en-US" sz="1200" b="1" baseline="0"/>
              <a:t> Capacity</a:t>
            </a:r>
            <a:endParaRPr lang="en-US" sz="1200" b="1"/>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tx>
            <c:strRef>
              <c:f>Highlights!$D$51</c:f>
              <c:strCache>
                <c:ptCount val="1"/>
                <c:pt idx="0">
                  <c:v>Debt Service</c:v>
                </c:pt>
              </c:strCache>
            </c:strRef>
          </c:tx>
          <c:spPr>
            <a:solidFill>
              <a:srgbClr val="62C3A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Highlights!$S$5:$W$5</c:f>
              <c:numCache>
                <c:formatCode>yyyy</c:formatCode>
                <c:ptCount val="5"/>
                <c:pt idx="0">
                  <c:v>44408</c:v>
                </c:pt>
                <c:pt idx="1">
                  <c:v>44773</c:v>
                </c:pt>
                <c:pt idx="2">
                  <c:v>45138</c:v>
                </c:pt>
                <c:pt idx="3">
                  <c:v>45504</c:v>
                </c:pt>
                <c:pt idx="4">
                  <c:v>45869</c:v>
                </c:pt>
              </c:numCache>
            </c:numRef>
          </c:cat>
          <c:val>
            <c:numRef>
              <c:f>Highlights!$S$51:$W$51</c:f>
              <c:numCache>
                <c:formatCode>_(* #,##0_);_(* \(#,##0\);_(* "-"??_);_(@_)</c:formatCode>
                <c:ptCount val="5"/>
                <c:pt idx="0">
                  <c:v>0</c:v>
                </c:pt>
                <c:pt idx="1">
                  <c:v>0</c:v>
                </c:pt>
                <c:pt idx="2">
                  <c:v>0</c:v>
                </c:pt>
                <c:pt idx="3">
                  <c:v>0</c:v>
                </c:pt>
                <c:pt idx="4">
                  <c:v>0</c:v>
                </c:pt>
              </c:numCache>
            </c:numRef>
          </c:val>
          <c:extLst>
            <c:ext xmlns:c16="http://schemas.microsoft.com/office/drawing/2014/chart" uri="{C3380CC4-5D6E-409C-BE32-E72D297353CC}">
              <c16:uniqueId val="{00000000-F5B4-4714-9DBD-5B7B2852C8A0}"/>
            </c:ext>
          </c:extLst>
        </c:ser>
        <c:ser>
          <c:idx val="1"/>
          <c:order val="1"/>
          <c:tx>
            <c:strRef>
              <c:f>Highlights!$D$52</c:f>
              <c:strCache>
                <c:ptCount val="1"/>
                <c:pt idx="0">
                  <c:v>EBITDA</c:v>
                </c:pt>
              </c:strCache>
            </c:strRef>
          </c:tx>
          <c:spPr>
            <a:solidFill>
              <a:srgbClr val="2627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Highlights!$S$5:$W$5</c:f>
              <c:numCache>
                <c:formatCode>yyyy</c:formatCode>
                <c:ptCount val="5"/>
                <c:pt idx="0">
                  <c:v>44408</c:v>
                </c:pt>
                <c:pt idx="1">
                  <c:v>44773</c:v>
                </c:pt>
                <c:pt idx="2">
                  <c:v>45138</c:v>
                </c:pt>
                <c:pt idx="3">
                  <c:v>45504</c:v>
                </c:pt>
                <c:pt idx="4">
                  <c:v>45869</c:v>
                </c:pt>
              </c:numCache>
            </c:numRef>
          </c:cat>
          <c:val>
            <c:numRef>
              <c:f>Highlights!$S$52:$W$52</c:f>
              <c:numCache>
                <c:formatCode>_(* #,##0_);_(* \(#,##0\);_(* "-"??_);_(@_)</c:formatCode>
                <c:ptCount val="5"/>
                <c:pt idx="0">
                  <c:v>80.488744347983229</c:v>
                </c:pt>
                <c:pt idx="1">
                  <c:v>94.534831626661997</c:v>
                </c:pt>
                <c:pt idx="2">
                  <c:v>112.03161152606755</c:v>
                </c:pt>
                <c:pt idx="3">
                  <c:v>111.95531961184702</c:v>
                </c:pt>
                <c:pt idx="4">
                  <c:v>158.82653781746771</c:v>
                </c:pt>
              </c:numCache>
            </c:numRef>
          </c:val>
          <c:extLst>
            <c:ext xmlns:c16="http://schemas.microsoft.com/office/drawing/2014/chart" uri="{C3380CC4-5D6E-409C-BE32-E72D297353CC}">
              <c16:uniqueId val="{00000001-F5B4-4714-9DBD-5B7B2852C8A0}"/>
            </c:ext>
          </c:extLst>
        </c:ser>
        <c:dLbls>
          <c:dLblPos val="outEnd"/>
          <c:showLegendKey val="0"/>
          <c:showVal val="1"/>
          <c:showCatName val="0"/>
          <c:showSerName val="0"/>
          <c:showPercent val="0"/>
          <c:showBubbleSize val="0"/>
        </c:dLbls>
        <c:gapWidth val="150"/>
        <c:axId val="2015024575"/>
        <c:axId val="2015036223"/>
      </c:barChart>
      <c:dateAx>
        <c:axId val="2015024575"/>
        <c:scaling>
          <c:orientation val="minMax"/>
        </c:scaling>
        <c:delete val="0"/>
        <c:axPos val="b"/>
        <c:numFmt formatCode="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15036223"/>
        <c:crosses val="autoZero"/>
        <c:auto val="1"/>
        <c:lblOffset val="100"/>
        <c:baseTimeUnit val="years"/>
      </c:dateAx>
      <c:valAx>
        <c:axId val="2015036223"/>
        <c:scaling>
          <c:orientation val="minMax"/>
        </c:scaling>
        <c:delete val="1"/>
        <c:axPos val="l"/>
        <c:numFmt formatCode="_(* #,##0_);_(* \(#,##0\);_(* &quot;-&quot;??_);_(@_)" sourceLinked="1"/>
        <c:majorTickMark val="none"/>
        <c:minorTickMark val="none"/>
        <c:tickLblPos val="nextTo"/>
        <c:crossAx val="201502457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5265175522708803"/>
          <c:y val="0"/>
          <c:w val="0.61471845549265636"/>
          <c:h val="0.95739968947368259"/>
        </c:manualLayout>
      </c:layout>
      <c:barChart>
        <c:barDir val="bar"/>
        <c:grouping val="clustered"/>
        <c:varyColors val="0"/>
        <c:ser>
          <c:idx val="0"/>
          <c:order val="0"/>
          <c:tx>
            <c:strRef>
              <c:f>'Valuation Summary'!$W$35</c:f>
              <c:strCache>
                <c:ptCount val="1"/>
                <c:pt idx="0">
                  <c:v>Low</c:v>
                </c:pt>
              </c:strCache>
            </c:strRef>
          </c:tx>
          <c:spPr>
            <a:solidFill>
              <a:schemeClr val="accent1"/>
            </a:solidFill>
            <a:ln>
              <a:noFill/>
            </a:ln>
            <a:effectLst/>
          </c:spPr>
          <c:invertIfNegative val="0"/>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Summary'!$W$23:$W$31</c15:sqref>
                  </c15:fullRef>
                </c:ext>
              </c:extLst>
              <c:f>('Valuation Summary'!$W$24,'Valuation Summary'!$W$28:$W$29,'Valuation Summary'!$W$31)</c:f>
              <c:numCache>
                <c:formatCode>_(* #,##0_);_(* \(#,##0\);_(* "-"??_);_(@_)</c:formatCode>
                <c:ptCount val="4"/>
                <c:pt idx="0">
                  <c:v>2879.1325797619047</c:v>
                </c:pt>
                <c:pt idx="1">
                  <c:v>4702.5</c:v>
                </c:pt>
                <c:pt idx="2">
                  <c:v>0</c:v>
                </c:pt>
                <c:pt idx="3">
                  <c:v>2069.5999472268782</c:v>
                </c:pt>
              </c:numCache>
            </c:numRef>
          </c:val>
          <c:extLst xmlns:c15="http://schemas.microsoft.com/office/drawing/2012/chart">
            <c:ext xmlns:c16="http://schemas.microsoft.com/office/drawing/2014/chart" uri="{C3380CC4-5D6E-409C-BE32-E72D297353CC}">
              <c16:uniqueId val="{00000010-714C-4CED-A64C-CE3A9F617E54}"/>
            </c:ext>
          </c:extLst>
        </c:ser>
        <c:ser>
          <c:idx val="1"/>
          <c:order val="1"/>
          <c:tx>
            <c:strRef>
              <c:f>'Valuation Summary'!$Y$22</c:f>
              <c:strCache>
                <c:ptCount val="1"/>
                <c:pt idx="0">
                  <c:v>High</c:v>
                </c:pt>
              </c:strCache>
            </c:strRef>
          </c:tx>
          <c:spPr>
            <a:solidFill>
              <a:schemeClr val="accent4"/>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C-BA7E-43D1-B807-2627D6B81C10}"/>
              </c:ext>
            </c:extLst>
          </c:dPt>
          <c:dPt>
            <c:idx val="1"/>
            <c:invertIfNegative val="0"/>
            <c:bubble3D val="0"/>
            <c:spPr>
              <a:solidFill>
                <a:srgbClr val="62C3AD"/>
              </a:solidFill>
              <a:ln>
                <a:noFill/>
              </a:ln>
              <a:effectLst/>
            </c:spPr>
            <c:extLst>
              <c:ext xmlns:c16="http://schemas.microsoft.com/office/drawing/2014/chart" uri="{C3380CC4-5D6E-409C-BE32-E72D297353CC}">
                <c16:uniqueId val="{0000000B-714C-4CED-A64C-CE3A9F617E54}"/>
              </c:ext>
            </c:extLst>
          </c:dPt>
          <c:dPt>
            <c:idx val="2"/>
            <c:invertIfNegative val="0"/>
            <c:bubble3D val="0"/>
            <c:spPr>
              <a:solidFill>
                <a:srgbClr val="262660"/>
              </a:solidFill>
              <a:ln>
                <a:noFill/>
              </a:ln>
              <a:effectLst/>
            </c:spPr>
            <c:extLst>
              <c:ext xmlns:c16="http://schemas.microsoft.com/office/drawing/2014/chart" uri="{C3380CC4-5D6E-409C-BE32-E72D297353CC}">
                <c16:uniqueId val="{00000012-714C-4CED-A64C-CE3A9F617E54}"/>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9-5A72-4B78-8263-ACAFB5B04D3C}"/>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Summary'!$Y$23:$Y$31</c15:sqref>
                  </c15:fullRef>
                </c:ext>
              </c:extLst>
              <c:f>('Valuation Summary'!$Y$24,'Valuation Summary'!$Y$28:$Y$29,'Valuation Summary'!$Y$31)</c:f>
              <c:numCache>
                <c:formatCode>_(* #,##0_);_(* \(#,##0\);_(* "-"??_);_(@_)</c:formatCode>
                <c:ptCount val="4"/>
                <c:pt idx="0">
                  <c:v>3175.9183250000006</c:v>
                </c:pt>
                <c:pt idx="1">
                  <c:v>5197.5</c:v>
                </c:pt>
                <c:pt idx="2">
                  <c:v>0</c:v>
                </c:pt>
                <c:pt idx="3">
                  <c:v>2281.1717311454972</c:v>
                </c:pt>
              </c:numCache>
            </c:numRef>
          </c:val>
          <c:extLst>
            <c:ext xmlns:c15="http://schemas.microsoft.com/office/drawing/2012/chart" uri="{02D57815-91ED-43cb-92C2-25804820EDAC}">
              <c15:categoryFilterExceptions>
                <c15:categoryFilterException>
                  <c15:sqref>'Valuation Summary'!$Y$23</c15:sqref>
                  <c15:spPr xmlns:c15="http://schemas.microsoft.com/office/drawing/2012/chart">
                    <a:solidFill>
                      <a:srgbClr val="262660"/>
                    </a:solidFill>
                    <a:ln>
                      <a:noFill/>
                    </a:ln>
                    <a:effectLst/>
                  </c15:spPr>
                </c15:categoryFilterException>
                <c15:categoryFilterException>
                  <c15:sqref>'Valuation Summary'!$Y$25</c15:sqref>
                  <c15:spPr xmlns:c15="http://schemas.microsoft.com/office/drawing/2012/chart">
                    <a:solidFill>
                      <a:srgbClr val="262660"/>
                    </a:solidFill>
                    <a:ln>
                      <a:noFill/>
                    </a:ln>
                    <a:effectLst/>
                  </c15:spPr>
                </c15:categoryFilterException>
                <c15:categoryFilterException>
                  <c15:sqref>'Valuation Summary'!$Y$26</c15:sqref>
                  <c15:spPr xmlns:c15="http://schemas.microsoft.com/office/drawing/2012/chart">
                    <a:solidFill>
                      <a:schemeClr val="bg1">
                        <a:lumMod val="85000"/>
                      </a:schemeClr>
                    </a:solidFill>
                    <a:ln>
                      <a:noFill/>
                    </a:ln>
                    <a:effectLst/>
                  </c15:spPr>
                </c15:categoryFilterException>
                <c15:categoryFilterException>
                  <c15:sqref>'Valuation Summary'!$Y$27</c15:sqref>
                  <c15:spPr xmlns:c15="http://schemas.microsoft.com/office/drawing/2012/chart">
                    <a:solidFill>
                      <a:srgbClr val="62C3AD"/>
                    </a:solidFill>
                    <a:ln>
                      <a:noFill/>
                    </a:ln>
                    <a:effectLst/>
                  </c15:spPr>
                  <c15:invertIfNegative val="0"/>
                  <c15:bubble3D val="0"/>
                </c15:categoryFilterException>
                <c15:categoryFilterException>
                  <c15:sqref>'Valuation Summary'!$Y$30</c15:sqref>
                  <c15:spPr xmlns:c15="http://schemas.microsoft.com/office/drawing/2012/chart">
                    <a:solidFill>
                      <a:srgbClr val="262660"/>
                    </a:solidFill>
                    <a:ln>
                      <a:noFill/>
                    </a:ln>
                    <a:effectLst/>
                  </c15:spPr>
                  <c15:invertIfNegative val="0"/>
                  <c15:bubble3D val="0"/>
                </c15:categoryFilterException>
              </c15:categoryFilterExceptions>
            </c:ext>
            <c:ext xmlns:c16="http://schemas.microsoft.com/office/drawing/2014/chart" uri="{C3380CC4-5D6E-409C-BE32-E72D297353CC}">
              <c16:uniqueId val="{0000000C-714C-4CED-A64C-CE3A9F617E54}"/>
            </c:ext>
          </c:extLst>
        </c:ser>
        <c:ser>
          <c:idx val="2"/>
          <c:order val="2"/>
          <c:tx>
            <c:strRef>
              <c:f>'Valuation Summary'!$W$22</c:f>
              <c:strCache>
                <c:ptCount val="1"/>
                <c:pt idx="0">
                  <c:v>Low</c:v>
                </c:pt>
              </c:strCache>
            </c:strRef>
          </c:tx>
          <c:spPr>
            <a:solidFill>
              <a:schemeClr val="bg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Summary'!$V$23:$V$31</c15:sqref>
                  </c15:fullRef>
                </c:ext>
              </c:extLst>
              <c:f>('Valuation Summary'!$V$24,'Valuation Summary'!$V$28:$V$29,'Valuation Summary'!$V$31)</c:f>
              <c:strCache>
                <c:ptCount val="4"/>
                <c:pt idx="0">
                  <c:v>EV/EBITDA [LTM]</c:v>
                </c:pt>
                <c:pt idx="1">
                  <c:v>Market Cap - Dec 30, 2021</c:v>
                </c:pt>
                <c:pt idx="2">
                  <c:v>DCF - FCFF </c:v>
                </c:pt>
                <c:pt idx="3">
                  <c:v>EV/EBITDA [Forward]</c:v>
                </c:pt>
              </c:strCache>
            </c:strRef>
          </c:cat>
          <c:val>
            <c:numRef>
              <c:extLst>
                <c:ext xmlns:c15="http://schemas.microsoft.com/office/drawing/2012/chart" uri="{02D57815-91ED-43cb-92C2-25804820EDAC}">
                  <c15:fullRef>
                    <c15:sqref>'Valuation Summary'!$W$23:$W$31</c15:sqref>
                  </c15:fullRef>
                </c:ext>
              </c:extLst>
              <c:f>('Valuation Summary'!$W$24,'Valuation Summary'!$W$28:$W$29,'Valuation Summary'!$W$31)</c:f>
              <c:numCache>
                <c:formatCode>_(* #,##0_);_(* \(#,##0\);_(* "-"??_);_(@_)</c:formatCode>
                <c:ptCount val="4"/>
                <c:pt idx="0">
                  <c:v>2879.1325797619047</c:v>
                </c:pt>
                <c:pt idx="1">
                  <c:v>4702.5</c:v>
                </c:pt>
                <c:pt idx="2">
                  <c:v>0</c:v>
                </c:pt>
                <c:pt idx="3">
                  <c:v>2069.5999472268782</c:v>
                </c:pt>
              </c:numCache>
            </c:numRef>
          </c:val>
          <c:extLst>
            <c:ext xmlns:c16="http://schemas.microsoft.com/office/drawing/2014/chart" uri="{C3380CC4-5D6E-409C-BE32-E72D297353CC}">
              <c16:uniqueId val="{0000000F-714C-4CED-A64C-CE3A9F617E54}"/>
            </c:ext>
          </c:extLst>
        </c:ser>
        <c:dLbls>
          <c:showLegendKey val="0"/>
          <c:showVal val="0"/>
          <c:showCatName val="0"/>
          <c:showSerName val="0"/>
          <c:showPercent val="0"/>
          <c:showBubbleSize val="0"/>
        </c:dLbls>
        <c:gapWidth val="30"/>
        <c:overlap val="100"/>
        <c:axId val="207698800"/>
        <c:axId val="207699360"/>
        <c:extLst/>
      </c:barChart>
      <c:catAx>
        <c:axId val="207698800"/>
        <c:scaling>
          <c:orientation val="minMax"/>
        </c:scaling>
        <c:delete val="0"/>
        <c:axPos val="l"/>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207699360"/>
        <c:crosses val="autoZero"/>
        <c:auto val="1"/>
        <c:lblAlgn val="ctr"/>
        <c:lblOffset val="100"/>
        <c:noMultiLvlLbl val="0"/>
      </c:catAx>
      <c:valAx>
        <c:axId val="207699360"/>
        <c:scaling>
          <c:orientation val="minMax"/>
          <c:max val="6000"/>
          <c:min val="1500"/>
        </c:scaling>
        <c:delete val="1"/>
        <c:axPos val="b"/>
        <c:numFmt formatCode="_(* #,##0_);_(* \(#,##0\);_(* &quot;-&quot;??_);_(@_)" sourceLinked="1"/>
        <c:majorTickMark val="out"/>
        <c:minorTickMark val="none"/>
        <c:tickLblPos val="nextTo"/>
        <c:crossAx val="207698800"/>
        <c:crosses val="autoZero"/>
        <c:crossBetween val="between"/>
        <c:majorUnit val="300"/>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637410821175165"/>
          <c:y val="0.14668667917448408"/>
          <c:w val="0.61968576934681685"/>
          <c:h val="0.76164665415884925"/>
        </c:manualLayout>
      </c:layout>
      <c:barChart>
        <c:barDir val="bar"/>
        <c:grouping val="clustered"/>
        <c:varyColors val="0"/>
        <c:ser>
          <c:idx val="0"/>
          <c:order val="0"/>
          <c:tx>
            <c:strRef>
              <c:f>'Valuation Summary'!$W$35</c:f>
              <c:strCache>
                <c:ptCount val="1"/>
                <c:pt idx="0">
                  <c:v>Low</c:v>
                </c:pt>
              </c:strCache>
            </c:strRef>
          </c:tx>
          <c:spPr>
            <a:solidFill>
              <a:schemeClr val="accent1"/>
            </a:solidFill>
            <a:ln>
              <a:noFill/>
            </a:ln>
            <a:effectLst/>
          </c:spPr>
          <c:invertIfNegative val="0"/>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Summary'!$W$36:$W$42</c15:sqref>
                  </c15:fullRef>
                </c:ext>
              </c:extLst>
              <c:f>'Valuation Summary'!$W$39:$W$42</c:f>
              <c:numCache>
                <c:formatCode>#,##0.0\x_);\(#,##0.0\x\);\-_);@</c:formatCode>
                <c:ptCount val="4"/>
                <c:pt idx="0">
                  <c:v>0</c:v>
                </c:pt>
                <c:pt idx="1">
                  <c:v>26.148523809523812</c:v>
                </c:pt>
                <c:pt idx="2">
                  <c:v>0</c:v>
                </c:pt>
                <c:pt idx="3">
                  <c:v>43.43486363636363</c:v>
                </c:pt>
              </c:numCache>
            </c:numRef>
          </c:val>
          <c:extLst>
            <c:ext xmlns:c16="http://schemas.microsoft.com/office/drawing/2014/chart" uri="{C3380CC4-5D6E-409C-BE32-E72D297353CC}">
              <c16:uniqueId val="{00000000-A0CA-4792-9012-D42C817DA327}"/>
            </c:ext>
          </c:extLst>
        </c:ser>
        <c:ser>
          <c:idx val="1"/>
          <c:order val="1"/>
          <c:tx>
            <c:strRef>
              <c:f>'Valuation Summary'!$Y$35</c:f>
              <c:strCache>
                <c:ptCount val="1"/>
                <c:pt idx="0">
                  <c:v>High</c:v>
                </c:pt>
              </c:strCache>
            </c:strRef>
          </c:tx>
          <c:spPr>
            <a:solidFill>
              <a:srgbClr val="262660"/>
            </a:solidFill>
            <a:ln>
              <a:noFill/>
            </a:ln>
            <a:effectLst/>
          </c:spPr>
          <c:invertIfNegative val="0"/>
          <c:dPt>
            <c:idx val="0"/>
            <c:invertIfNegative val="0"/>
            <c:bubble3D val="0"/>
            <c:spPr>
              <a:solidFill>
                <a:srgbClr val="62C3AD"/>
              </a:solidFill>
              <a:ln>
                <a:noFill/>
              </a:ln>
              <a:effectLst/>
            </c:spPr>
            <c:extLst>
              <c:ext xmlns:c16="http://schemas.microsoft.com/office/drawing/2014/chart" uri="{C3380CC4-5D6E-409C-BE32-E72D297353CC}">
                <c16:uniqueId val="{00000002-A0CA-4792-9012-D42C817DA327}"/>
              </c:ext>
            </c:extLst>
          </c:dPt>
          <c:dPt>
            <c:idx val="1"/>
            <c:invertIfNegative val="0"/>
            <c:bubble3D val="0"/>
            <c:spPr>
              <a:solidFill>
                <a:schemeClr val="bg1">
                  <a:lumMod val="75000"/>
                </a:schemeClr>
              </a:solidFill>
              <a:ln>
                <a:noFill/>
              </a:ln>
              <a:effectLst/>
            </c:spPr>
            <c:extLst>
              <c:ext xmlns:c16="http://schemas.microsoft.com/office/drawing/2014/chart" uri="{C3380CC4-5D6E-409C-BE32-E72D297353CC}">
                <c16:uniqueId val="{00000004-A0CA-4792-9012-D42C817DA327}"/>
              </c:ext>
            </c:extLst>
          </c:dPt>
          <c:dPt>
            <c:idx val="2"/>
            <c:invertIfNegative val="0"/>
            <c:bubble3D val="0"/>
            <c:extLst>
              <c:ext xmlns:c16="http://schemas.microsoft.com/office/drawing/2014/chart" uri="{C3380CC4-5D6E-409C-BE32-E72D297353CC}">
                <c16:uniqueId val="{00000006-A0CA-4792-9012-D42C817DA327}"/>
              </c:ext>
            </c:extLst>
          </c:dPt>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8-A0CA-4792-9012-D42C817DA327}"/>
              </c:ext>
            </c:extLst>
          </c:dPt>
          <c:dPt>
            <c:idx val="4"/>
            <c:invertIfNegative val="0"/>
            <c:bubble3D val="0"/>
            <c:spPr>
              <a:solidFill>
                <a:srgbClr val="62C3AD"/>
              </a:solidFill>
              <a:ln>
                <a:noFill/>
              </a:ln>
              <a:effectLst/>
            </c:spPr>
            <c:extLst>
              <c:ext xmlns:c16="http://schemas.microsoft.com/office/drawing/2014/chart" uri="{C3380CC4-5D6E-409C-BE32-E72D297353CC}">
                <c16:uniqueId val="{0000000C-A0CA-4792-9012-D42C817DA327}"/>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Summary'!$Y$36:$Y$43</c15:sqref>
                  </c15:fullRef>
                </c:ext>
              </c:extLst>
              <c:f>'Valuation Summary'!$Y$39:$Y$43</c:f>
              <c:numCache>
                <c:formatCode>#,##0.0\x_);\(#,##0.0\x\);\-_);@</c:formatCode>
                <c:ptCount val="5"/>
                <c:pt idx="0">
                  <c:v>0</c:v>
                </c:pt>
                <c:pt idx="1">
                  <c:v>28.901000000000007</c:v>
                </c:pt>
                <c:pt idx="2">
                  <c:v>0</c:v>
                </c:pt>
                <c:pt idx="3">
                  <c:v>48.006954545454548</c:v>
                </c:pt>
                <c:pt idx="4">
                  <c:v>0</c:v>
                </c:pt>
              </c:numCache>
            </c:numRef>
          </c:val>
          <c:extLst>
            <c:ext xmlns:c16="http://schemas.microsoft.com/office/drawing/2014/chart" uri="{C3380CC4-5D6E-409C-BE32-E72D297353CC}">
              <c16:uniqueId val="{00000009-A0CA-4792-9012-D42C817DA327}"/>
            </c:ext>
          </c:extLst>
        </c:ser>
        <c:ser>
          <c:idx val="2"/>
          <c:order val="2"/>
          <c:tx>
            <c:strRef>
              <c:f>'Valuation Summary'!$W$35</c:f>
              <c:strCache>
                <c:ptCount val="1"/>
                <c:pt idx="0">
                  <c:v>Low</c:v>
                </c:pt>
              </c:strCache>
            </c:strRef>
          </c:tx>
          <c:spPr>
            <a:solidFill>
              <a:schemeClr val="bg1"/>
            </a:solidFill>
            <a:ln>
              <a:solidFill>
                <a:schemeClr val="bg1"/>
              </a:solid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'Valuation Summary'!$V$36:$V$43</c15:sqref>
                  </c15:fullRef>
                </c:ext>
              </c:extLst>
              <c:f>'Valuation Summary'!$V$39:$V$43</c:f>
              <c:strCache>
                <c:ptCount val="5"/>
                <c:pt idx="0">
                  <c:v>EV/EBITDA - Local Peers</c:v>
                </c:pt>
                <c:pt idx="1">
                  <c:v>EV/EBITDA - Global Peers</c:v>
                </c:pt>
                <c:pt idx="2">
                  <c:v>P/E - Local Peers</c:v>
                </c:pt>
                <c:pt idx="3">
                  <c:v>P/E - Global Peers</c:v>
                </c:pt>
                <c:pt idx="4">
                  <c:v>P/E - Saudi Market</c:v>
                </c:pt>
              </c:strCache>
            </c:strRef>
          </c:cat>
          <c:val>
            <c:numRef>
              <c:extLst>
                <c:ext xmlns:c15="http://schemas.microsoft.com/office/drawing/2012/chart" uri="{02D57815-91ED-43cb-92C2-25804820EDAC}">
                  <c15:fullRef>
                    <c15:sqref>'Valuation Summary'!$W$36:$W$43</c15:sqref>
                  </c15:fullRef>
                </c:ext>
              </c:extLst>
              <c:f>'Valuation Summary'!$W$39:$W$43</c:f>
              <c:numCache>
                <c:formatCode>#,##0.0\x_);\(#,##0.0\x\);\-_);@</c:formatCode>
                <c:ptCount val="5"/>
                <c:pt idx="0">
                  <c:v>0</c:v>
                </c:pt>
                <c:pt idx="1">
                  <c:v>26.148523809523812</c:v>
                </c:pt>
                <c:pt idx="2">
                  <c:v>0</c:v>
                </c:pt>
                <c:pt idx="3">
                  <c:v>43.43486363636363</c:v>
                </c:pt>
                <c:pt idx="4">
                  <c:v>0</c:v>
                </c:pt>
              </c:numCache>
            </c:numRef>
          </c:val>
          <c:extLst>
            <c:ext xmlns:c16="http://schemas.microsoft.com/office/drawing/2014/chart" uri="{C3380CC4-5D6E-409C-BE32-E72D297353CC}">
              <c16:uniqueId val="{0000000A-A0CA-4792-9012-D42C817DA327}"/>
            </c:ext>
          </c:extLst>
        </c:ser>
        <c:dLbls>
          <c:showLegendKey val="0"/>
          <c:showVal val="0"/>
          <c:showCatName val="0"/>
          <c:showSerName val="0"/>
          <c:showPercent val="0"/>
          <c:showBubbleSize val="0"/>
        </c:dLbls>
        <c:gapWidth val="30"/>
        <c:overlap val="100"/>
        <c:axId val="98530912"/>
        <c:axId val="98530352"/>
        <c:extLst/>
      </c:barChart>
      <c:catAx>
        <c:axId val="98530912"/>
        <c:scaling>
          <c:orientation val="maxMin"/>
        </c:scaling>
        <c:delete val="0"/>
        <c:axPos val="l"/>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98530352"/>
        <c:crosses val="autoZero"/>
        <c:auto val="1"/>
        <c:lblAlgn val="ctr"/>
        <c:lblOffset val="100"/>
        <c:noMultiLvlLbl val="0"/>
      </c:catAx>
      <c:valAx>
        <c:axId val="98530352"/>
        <c:scaling>
          <c:orientation val="minMax"/>
        </c:scaling>
        <c:delete val="1"/>
        <c:axPos val="t"/>
        <c:numFmt formatCode="#,##0.0\x_);\(#,##0.0\x\);\-_);@" sourceLinked="1"/>
        <c:majorTickMark val="out"/>
        <c:minorTickMark val="none"/>
        <c:tickLblPos val="nextTo"/>
        <c:crossAx val="98530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3" dropStyle="combo" dx="16" fmlaLink="$O$15" fmlaRange="Support!$F$14:$F$16" noThreeD="1" sel="2" val="0"/>
</file>

<file path=xl/ctrlProps/ctrlProp2.xml><?xml version="1.0" encoding="utf-8"?>
<formControlPr xmlns="http://schemas.microsoft.com/office/spreadsheetml/2009/9/main" objectType="Drop" dropLines="4" dropStyle="combo" dx="16" fmlaLink="$O$16" fmlaRange="Support!$F$20:$F$23" noThreeD="1" sel="1" val="0"/>
</file>

<file path=xl/ctrlProps/ctrlProp3.xml><?xml version="1.0" encoding="utf-8"?>
<formControlPr xmlns="http://schemas.microsoft.com/office/spreadsheetml/2009/9/main" objectType="Drop" dropLines="4" dropStyle="combo" dx="16" fmlaLink="$O$18" fmlaRange="Support!$F$26:$F$29" noThreeD="1" sel="3" val="0"/>
</file>

<file path=xl/ctrlProps/ctrlProp4.xml><?xml version="1.0" encoding="utf-8"?>
<formControlPr xmlns="http://schemas.microsoft.com/office/spreadsheetml/2009/9/main" objectType="Drop" dropLines="2" dropStyle="combo" dx="16" fmlaLink="$O$29" fmlaRange="Support!$F$32:$F$33" noThreeD="1" sel="2"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180971</xdr:colOff>
      <xdr:row>8</xdr:row>
      <xdr:rowOff>2365</xdr:rowOff>
    </xdr:from>
    <xdr:to>
      <xdr:col>22</xdr:col>
      <xdr:colOff>235397</xdr:colOff>
      <xdr:row>23</xdr:row>
      <xdr:rowOff>13861</xdr:rowOff>
    </xdr:to>
    <xdr:graphicFrame macro="">
      <xdr:nvGraphicFramePr>
        <xdr:cNvPr id="134" name="Chart 133">
          <a:extLst>
            <a:ext uri="{FF2B5EF4-FFF2-40B4-BE49-F238E27FC236}">
              <a16:creationId xmlns:a16="http://schemas.microsoft.com/office/drawing/2014/main" id="{00000000-0008-0000-0200-00008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277456</xdr:colOff>
      <xdr:row>12</xdr:row>
      <xdr:rowOff>4688</xdr:rowOff>
    </xdr:from>
    <xdr:to>
      <xdr:col>29</xdr:col>
      <xdr:colOff>462643</xdr:colOff>
      <xdr:row>23</xdr:row>
      <xdr:rowOff>8004</xdr:rowOff>
    </xdr:to>
    <xdr:graphicFrame macro="">
      <xdr:nvGraphicFramePr>
        <xdr:cNvPr id="135" name="Chart 134">
          <a:extLst>
            <a:ext uri="{FF2B5EF4-FFF2-40B4-BE49-F238E27FC236}">
              <a16:creationId xmlns:a16="http://schemas.microsoft.com/office/drawing/2014/main" id="{00000000-0008-0000-0200-00008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618360</xdr:colOff>
      <xdr:row>23</xdr:row>
      <xdr:rowOff>16555</xdr:rowOff>
    </xdr:from>
    <xdr:to>
      <xdr:col>21</xdr:col>
      <xdr:colOff>840442</xdr:colOff>
      <xdr:row>37</xdr:row>
      <xdr:rowOff>122649</xdr:rowOff>
    </xdr:to>
    <xdr:graphicFrame macro="">
      <xdr:nvGraphicFramePr>
        <xdr:cNvPr id="136" name="Chart 135">
          <a:extLst>
            <a:ext uri="{FF2B5EF4-FFF2-40B4-BE49-F238E27FC236}">
              <a16:creationId xmlns:a16="http://schemas.microsoft.com/office/drawing/2014/main" id="{00000000-0008-0000-0200-00008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xdr:from>
          <xdr:col>14</xdr:col>
          <xdr:colOff>7620</xdr:colOff>
          <xdr:row>14</xdr:row>
          <xdr:rowOff>7620</xdr:rowOff>
        </xdr:from>
        <xdr:to>
          <xdr:col>15</xdr:col>
          <xdr:colOff>0</xdr:colOff>
          <xdr:row>15</xdr:row>
          <xdr:rowOff>30480</xdr:rowOff>
        </xdr:to>
        <xdr:sp macro="" textlink="">
          <xdr:nvSpPr>
            <xdr:cNvPr id="39416" name="Drop Down 504" hidden="1">
              <a:extLst>
                <a:ext uri="{63B3BB69-23CF-44E3-9099-C40C66FF867C}">
                  <a14:compatExt spid="_x0000_s39416"/>
                </a:ext>
                <a:ext uri="{FF2B5EF4-FFF2-40B4-BE49-F238E27FC236}">
                  <a16:creationId xmlns:a16="http://schemas.microsoft.com/office/drawing/2014/main" id="{00000000-0008-0000-0200-0000F8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xdr:colOff>
          <xdr:row>15</xdr:row>
          <xdr:rowOff>7620</xdr:rowOff>
        </xdr:from>
        <xdr:to>
          <xdr:col>15</xdr:col>
          <xdr:colOff>0</xdr:colOff>
          <xdr:row>16</xdr:row>
          <xdr:rowOff>30480</xdr:rowOff>
        </xdr:to>
        <xdr:sp macro="" textlink="">
          <xdr:nvSpPr>
            <xdr:cNvPr id="39417" name="Drop Down 505" hidden="1">
              <a:extLst>
                <a:ext uri="{63B3BB69-23CF-44E3-9099-C40C66FF867C}">
                  <a14:compatExt spid="_x0000_s39417"/>
                </a:ext>
                <a:ext uri="{FF2B5EF4-FFF2-40B4-BE49-F238E27FC236}">
                  <a16:creationId xmlns:a16="http://schemas.microsoft.com/office/drawing/2014/main" id="{00000000-0008-0000-0200-0000F9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0</xdr:colOff>
          <xdr:row>17</xdr:row>
          <xdr:rowOff>0</xdr:rowOff>
        </xdr:from>
        <xdr:to>
          <xdr:col>14</xdr:col>
          <xdr:colOff>1059180</xdr:colOff>
          <xdr:row>18</xdr:row>
          <xdr:rowOff>7620</xdr:rowOff>
        </xdr:to>
        <xdr:sp macro="" textlink="">
          <xdr:nvSpPr>
            <xdr:cNvPr id="39418" name="Drop Down 506" hidden="1">
              <a:extLst>
                <a:ext uri="{63B3BB69-23CF-44E3-9099-C40C66FF867C}">
                  <a14:compatExt spid="_x0000_s39418"/>
                </a:ext>
                <a:ext uri="{FF2B5EF4-FFF2-40B4-BE49-F238E27FC236}">
                  <a16:creationId xmlns:a16="http://schemas.microsoft.com/office/drawing/2014/main" id="{00000000-0008-0000-0200-0000FA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7620</xdr:colOff>
          <xdr:row>28</xdr:row>
          <xdr:rowOff>7620</xdr:rowOff>
        </xdr:from>
        <xdr:to>
          <xdr:col>15</xdr:col>
          <xdr:colOff>0</xdr:colOff>
          <xdr:row>29</xdr:row>
          <xdr:rowOff>30480</xdr:rowOff>
        </xdr:to>
        <xdr:sp macro="" textlink="">
          <xdr:nvSpPr>
            <xdr:cNvPr id="39420" name="Drop Down 508" hidden="1">
              <a:extLst>
                <a:ext uri="{63B3BB69-23CF-44E3-9099-C40C66FF867C}">
                  <a14:compatExt spid="_x0000_s39420"/>
                </a:ext>
                <a:ext uri="{FF2B5EF4-FFF2-40B4-BE49-F238E27FC236}">
                  <a16:creationId xmlns:a16="http://schemas.microsoft.com/office/drawing/2014/main" id="{00000000-0008-0000-0200-0000FC99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690563</xdr:colOff>
      <xdr:row>73</xdr:row>
      <xdr:rowOff>69055</xdr:rowOff>
    </xdr:from>
    <xdr:to>
      <xdr:col>20</xdr:col>
      <xdr:colOff>309564</xdr:colOff>
      <xdr:row>93</xdr:row>
      <xdr:rowOff>11904</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773906</xdr:colOff>
      <xdr:row>55</xdr:row>
      <xdr:rowOff>107156</xdr:rowOff>
    </xdr:from>
    <xdr:to>
      <xdr:col>20</xdr:col>
      <xdr:colOff>309563</xdr:colOff>
      <xdr:row>75</xdr:row>
      <xdr:rowOff>50006</xdr:rowOff>
    </xdr:to>
    <xdr:graphicFrame macro="">
      <xdr:nvGraphicFramePr>
        <xdr:cNvPr id="3" name="Chart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869156</xdr:colOff>
      <xdr:row>55</xdr:row>
      <xdr:rowOff>71438</xdr:rowOff>
    </xdr:from>
    <xdr:to>
      <xdr:col>26</xdr:col>
      <xdr:colOff>577453</xdr:colOff>
      <xdr:row>75</xdr:row>
      <xdr:rowOff>14288</xdr:rowOff>
    </xdr:to>
    <xdr:graphicFrame macro="">
      <xdr:nvGraphicFramePr>
        <xdr:cNvPr id="4" name="Chart 3">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1327605</xdr:colOff>
      <xdr:row>39</xdr:row>
      <xdr:rowOff>80116</xdr:rowOff>
    </xdr:from>
    <xdr:to>
      <xdr:col>11</xdr:col>
      <xdr:colOff>433971</xdr:colOff>
      <xdr:row>52</xdr:row>
      <xdr:rowOff>67237</xdr:rowOff>
    </xdr:to>
    <xdr:graphicFrame macro="">
      <xdr:nvGraphicFramePr>
        <xdr:cNvPr id="2" name="Chart 1">
          <a:extLst>
            <a:ext uri="{FF2B5EF4-FFF2-40B4-BE49-F238E27FC236}">
              <a16:creationId xmlns:a16="http://schemas.microsoft.com/office/drawing/2014/main" id="{00000000-0008-0000-1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103910</xdr:colOff>
      <xdr:row>45</xdr:row>
      <xdr:rowOff>143587</xdr:rowOff>
    </xdr:from>
    <xdr:to>
      <xdr:col>21</xdr:col>
      <xdr:colOff>1321820</xdr:colOff>
      <xdr:row>53</xdr:row>
      <xdr:rowOff>99834</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179294</xdr:colOff>
      <xdr:row>39</xdr:row>
      <xdr:rowOff>112060</xdr:rowOff>
    </xdr:from>
    <xdr:to>
      <xdr:col>10</xdr:col>
      <xdr:colOff>190500</xdr:colOff>
      <xdr:row>52</xdr:row>
      <xdr:rowOff>22413</xdr:rowOff>
    </xdr:to>
    <xdr:cxnSp macro="">
      <xdr:nvCxnSpPr>
        <xdr:cNvPr id="4" name="Straight Connector 3">
          <a:extLst>
            <a:ext uri="{FF2B5EF4-FFF2-40B4-BE49-F238E27FC236}">
              <a16:creationId xmlns:a16="http://schemas.microsoft.com/office/drawing/2014/main" id="{00000000-0008-0000-1300-000004000000}"/>
            </a:ext>
          </a:extLst>
        </xdr:cNvPr>
        <xdr:cNvCxnSpPr/>
      </xdr:nvCxnSpPr>
      <xdr:spPr>
        <a:xfrm>
          <a:off x="7339853" y="6678707"/>
          <a:ext cx="11206" cy="2319618"/>
        </a:xfrm>
        <a:prstGeom prst="line">
          <a:avLst/>
        </a:prstGeom>
        <a:ln w="25400">
          <a:solidFill>
            <a:srgbClr val="FF66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324972</xdr:colOff>
      <xdr:row>39</xdr:row>
      <xdr:rowOff>42203</xdr:rowOff>
    </xdr:from>
    <xdr:to>
      <xdr:col>9</xdr:col>
      <xdr:colOff>326718</xdr:colOff>
      <xdr:row>51</xdr:row>
      <xdr:rowOff>112059</xdr:rowOff>
    </xdr:to>
    <xdr:cxnSp macro="">
      <xdr:nvCxnSpPr>
        <xdr:cNvPr id="5" name="Straight Connector 4">
          <a:extLst>
            <a:ext uri="{FF2B5EF4-FFF2-40B4-BE49-F238E27FC236}">
              <a16:creationId xmlns:a16="http://schemas.microsoft.com/office/drawing/2014/main" id="{00000000-0008-0000-1300-000005000000}"/>
            </a:ext>
          </a:extLst>
        </xdr:cNvPr>
        <xdr:cNvCxnSpPr/>
      </xdr:nvCxnSpPr>
      <xdr:spPr>
        <a:xfrm flipH="1">
          <a:off x="6801972" y="6608850"/>
          <a:ext cx="1746" cy="2322238"/>
        </a:xfrm>
        <a:prstGeom prst="line">
          <a:avLst/>
        </a:prstGeom>
        <a:ln w="25400">
          <a:solidFill>
            <a:srgbClr val="FF66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914400</xdr:colOff>
      <xdr:row>2</xdr:row>
      <xdr:rowOff>104775</xdr:rowOff>
    </xdr:to>
    <xdr:pic>
      <xdr:nvPicPr>
        <xdr:cNvPr id="2" name="Picture 2">
          <a:extLst>
            <a:ext uri="{FF2B5EF4-FFF2-40B4-BE49-F238E27FC236}">
              <a16:creationId xmlns:a16="http://schemas.microsoft.com/office/drawing/2014/main" id="{00000000-0008-0000-1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09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 name="Picture 2">
          <a:extLst>
            <a:ext uri="{FF2B5EF4-FFF2-40B4-BE49-F238E27FC236}">
              <a16:creationId xmlns:a16="http://schemas.microsoft.com/office/drawing/2014/main" id="{00000000-0008-0000-1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UPDEM\Crude\128\Crsup12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D\SUPDEM\Crude\128\Crsup12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cuments%20and%20Settings/zu67627/Desktop/Documents%20and%20Settings/zu67627/Temporary%20Internet%20Files/OLK69/Model%20Stuff/PSO%20spreads%20(version%2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abic.com\sabicfs\06700300\300\Monthly%20Reports\0201%20Jan-02\PPR1Jan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Goldblum\LSI\LSI-7.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Y:\FA1\Fa-0008.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Venky\8000-8250-ma\1996%20INFORMATION\96est\TES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Dkcph06\data_1\Documents%20and%20Settings\pvejlgaard\Local%20Settings\Temporary%20Internet%20Files\OLK6D\peergroup1010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sipc-ntp\FINANCE%20&amp;%20ACCOUNTING\Documents%20and%20Settings\ssulaiman\My%20Documents\SIPCHEM%202005%20BUDGET&amp;PRESENTATION\SIPCHEM%20BUDGET%202005-REV-19-12-04\SIPCHEM%20BUDGET%202005\2004-YE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ciqhyd\fileserver\Users\kkothakota\AppData\Roaming\Microsoft\Excel\Transaction%20One%20Page%20Tearsheets%20(version%20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FA1\Fa-0008.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halalmakkah-my.sharepoint.com/personal/ahmed_yahya_ajlanbros-holding_com/Documents/Desktop/Equinox/Equinox%20-%20Trading%20Comps%20-%20202107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S AND INSTRUCTIONS"/>
      <sheetName val="FIGURE III -"/>
      <sheetName val="CANCRSUP"/>
      <sheetName val="SCO (ERCB ST-39)"/>
      <sheetName val="Diluent Usage"/>
      <sheetName val="Upgraders &amp; Refineries"/>
      <sheetName val="C5+ Supply"/>
      <sheetName val="Graph Data"/>
      <sheetName val="C5+ Graph"/>
      <sheetName val="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ENTS AND INSTRUCTIONS"/>
      <sheetName val="FIGURE III -"/>
      <sheetName val="CANCRSUP"/>
      <sheetName val="SCO (ERCB ST-39)"/>
      <sheetName val="Diluent Usage"/>
      <sheetName val="Upgraders &amp; Refineries"/>
      <sheetName val="C5+ Supply"/>
      <sheetName val="Graph Data"/>
      <sheetName val="C5+ Graph"/>
      <sheetName val="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e Information"/>
      <sheetName val="1-Total World and U.S."/>
      <sheetName val="2-OPEC (Organization of Petrole"/>
      <sheetName val="3-Non-OPEC"/>
      <sheetName val="EMGRANS"/>
      <sheetName val="DRM"/>
      <sheetName val="Table"/>
      <sheetName val="Balance Sheet"/>
      <sheetName val="Income Statement"/>
      <sheetName val="Cash Flows"/>
      <sheetName val="Financial Summary"/>
      <sheetName val="Assumptions"/>
      <sheetName val="Inventory Gains-Losses"/>
      <sheetName val="Sales Schedule"/>
      <sheetName val="COGS"/>
      <sheetName val="Fixed Assets"/>
      <sheetName val="FA sch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CHART"/>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otDelete"/>
      <sheetName val="Tech. Issues"/>
      <sheetName val="D&amp;T val Issues"/>
      <sheetName val="Contents"/>
      <sheetName val="FMV-BS"/>
      <sheetName val="BEV Summary"/>
      <sheetName val="LSI-stat-BS"/>
      <sheetName val="LSI-stat-IS"/>
      <sheetName val="LSI-stat-Ratio"/>
      <sheetName val="Forecast IS"/>
      <sheetName val="DCF"/>
      <sheetName val="WACC"/>
      <sheetName val="GLC-Mult"/>
      <sheetName val="GLC-BS"/>
      <sheetName val="GLC-BSCS"/>
      <sheetName val="GLC-IS"/>
      <sheetName val="GLC-ISCS"/>
      <sheetName val="GLC-Ratios 1"/>
      <sheetName val="GLC-Ratios 2"/>
      <sheetName val="GLC-descrip."/>
      <sheetName val="Trans"/>
      <sheetName val="Control"/>
      <sheetName val="Debt"/>
      <sheetName val="SP Analysis"/>
      <sheetName val="Mkt Ylds"/>
      <sheetName val="SoV"/>
      <sheetName val="Assets"/>
      <sheetName val="END"/>
      <sheetName val="WC Analysis"/>
      <sheetName val="Finished Goods"/>
      <sheetName val="questions"/>
      <sheetName val="LSI-Local-BS "/>
      <sheetName val="LSI-Local-IS "/>
      <sheetName val="Depr"/>
      <sheetName val="Trend"/>
      <sheetName val="DoNotDelete_Dialog"/>
      <sheetName val="Int_Mod"/>
      <sheetName val="Data_Mod"/>
      <sheetName val="Error_Mod"/>
      <sheetName val="Prior_Mod"/>
      <sheetName val="AdjNI_Mod"/>
      <sheetName val="RatOptions"/>
      <sheetName val="Copy_Mod"/>
      <sheetName val="Layout_Mod"/>
      <sheetName val="NwsLtr_Mod"/>
      <sheetName val="NwsLtr_Layou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row r="10">
          <cell r="O10" t="str">
            <v>Accum</v>
          </cell>
        </row>
        <row r="11">
          <cell r="O11" t="str">
            <v>Deprn</v>
          </cell>
        </row>
        <row r="14">
          <cell r="O14">
            <v>-123651.14000000001</v>
          </cell>
        </row>
        <row r="15">
          <cell r="O15">
            <v>-15220.800000000001</v>
          </cell>
        </row>
        <row r="16">
          <cell r="O16">
            <v>-1250.4000000000001</v>
          </cell>
        </row>
        <row r="17">
          <cell r="O17">
            <v>-2904.15</v>
          </cell>
        </row>
        <row r="18">
          <cell r="O18">
            <v>-814.72</v>
          </cell>
        </row>
        <row r="19">
          <cell r="O19">
            <v>-2361.6</v>
          </cell>
        </row>
        <row r="20">
          <cell r="O20">
            <v>-11460.6</v>
          </cell>
        </row>
        <row r="21">
          <cell r="O21">
            <v>-400</v>
          </cell>
        </row>
        <row r="22">
          <cell r="O22">
            <v>-585.82999999999993</v>
          </cell>
        </row>
        <row r="23">
          <cell r="O23">
            <v>-558.24900000000014</v>
          </cell>
        </row>
        <row r="24">
          <cell r="O24">
            <v>-336.08000000000004</v>
          </cell>
        </row>
        <row r="25">
          <cell r="O25">
            <v>-326.83000000000004</v>
          </cell>
        </row>
        <row r="26">
          <cell r="O26">
            <v>-199.88</v>
          </cell>
        </row>
        <row r="27">
          <cell r="O27">
            <v>-246.67</v>
          </cell>
        </row>
        <row r="28">
          <cell r="O28">
            <v>-246.05</v>
          </cell>
        </row>
        <row r="29">
          <cell r="O29">
            <v>-552.23699999999985</v>
          </cell>
        </row>
        <row r="30">
          <cell r="O30">
            <v>-3185</v>
          </cell>
        </row>
        <row r="31">
          <cell r="O31">
            <v>-192.09</v>
          </cell>
        </row>
        <row r="32">
          <cell r="O32">
            <v>-84.433333333333337</v>
          </cell>
        </row>
        <row r="33">
          <cell r="O33">
            <v>-113.84750000000001</v>
          </cell>
        </row>
        <row r="34">
          <cell r="O34">
            <v>-283.5</v>
          </cell>
        </row>
        <row r="35">
          <cell r="O35">
            <v>-162</v>
          </cell>
        </row>
        <row r="36">
          <cell r="O36">
            <v>-152.63</v>
          </cell>
        </row>
        <row r="37">
          <cell r="O37">
            <v>-147.06120000000001</v>
          </cell>
        </row>
        <row r="38">
          <cell r="O38">
            <v>-55.801833333333335</v>
          </cell>
        </row>
        <row r="39">
          <cell r="O39">
            <v>-80.170000000000073</v>
          </cell>
        </row>
        <row r="40">
          <cell r="O40">
            <v>-43.359983333333332</v>
          </cell>
        </row>
        <row r="41">
          <cell r="O41">
            <v>-281.07</v>
          </cell>
        </row>
        <row r="42">
          <cell r="O42">
            <v>-61.3</v>
          </cell>
        </row>
        <row r="43">
          <cell r="O43">
            <v>-73.7</v>
          </cell>
        </row>
        <row r="44">
          <cell r="O44">
            <v>-26</v>
          </cell>
        </row>
        <row r="45">
          <cell r="O45">
            <v>-32.99</v>
          </cell>
        </row>
        <row r="46">
          <cell r="O46">
            <v>-28.979999999999997</v>
          </cell>
        </row>
        <row r="47">
          <cell r="O47">
            <v>-52</v>
          </cell>
        </row>
        <row r="48">
          <cell r="O48">
            <v>-15.44</v>
          </cell>
        </row>
        <row r="49">
          <cell r="O49">
            <v>-14.208333333333334</v>
          </cell>
        </row>
        <row r="52">
          <cell r="O52">
            <v>-14228.073333333334</v>
          </cell>
        </row>
        <row r="53">
          <cell r="O53">
            <v>-20717.421999999995</v>
          </cell>
        </row>
        <row r="54">
          <cell r="O54">
            <v>-6627.1333333333332</v>
          </cell>
        </row>
        <row r="55">
          <cell r="O55">
            <v>-3667.4079999999999</v>
          </cell>
        </row>
        <row r="56">
          <cell r="O56">
            <v>-17842</v>
          </cell>
        </row>
        <row r="57">
          <cell r="O57">
            <v>-5761.35</v>
          </cell>
        </row>
        <row r="58">
          <cell r="O58">
            <v>-6252.63</v>
          </cell>
        </row>
        <row r="59">
          <cell r="O59">
            <v>-4313.8333333333339</v>
          </cell>
        </row>
        <row r="60">
          <cell r="O60">
            <v>-11892.191000000001</v>
          </cell>
        </row>
        <row r="61">
          <cell r="O61">
            <v>-8814.2839999999978</v>
          </cell>
        </row>
        <row r="62">
          <cell r="O62">
            <v>-8358.884</v>
          </cell>
        </row>
        <row r="63">
          <cell r="O63">
            <v>-2085.7333333333336</v>
          </cell>
        </row>
        <row r="64">
          <cell r="O64">
            <v>-1457.5</v>
          </cell>
        </row>
        <row r="65">
          <cell r="O65">
            <v>-1869.1839999999997</v>
          </cell>
        </row>
        <row r="66">
          <cell r="O66">
            <v>-2225.6000000000004</v>
          </cell>
        </row>
        <row r="67">
          <cell r="O67">
            <v>-6524</v>
          </cell>
        </row>
        <row r="68">
          <cell r="O68">
            <v>-6470.6</v>
          </cell>
        </row>
        <row r="69">
          <cell r="O69">
            <v>-1218.0013333333334</v>
          </cell>
        </row>
        <row r="70">
          <cell r="O70">
            <v>-1189.737333333333</v>
          </cell>
        </row>
        <row r="71">
          <cell r="O71">
            <v>-4189.893</v>
          </cell>
        </row>
        <row r="72">
          <cell r="O72">
            <v>-5243.5320000000002</v>
          </cell>
        </row>
        <row r="73">
          <cell r="O73">
            <v>-3848.7020000000007</v>
          </cell>
        </row>
        <row r="74">
          <cell r="O74">
            <v>-4047.2620000000006</v>
          </cell>
        </row>
        <row r="75">
          <cell r="O75">
            <v>-3819.4749999999999</v>
          </cell>
        </row>
        <row r="76">
          <cell r="O76">
            <v>-4608.76</v>
          </cell>
        </row>
        <row r="77">
          <cell r="O77">
            <v>-1894.2</v>
          </cell>
        </row>
        <row r="78">
          <cell r="O78">
            <v>-1375.5510000000002</v>
          </cell>
        </row>
        <row r="79">
          <cell r="O79">
            <v>-1572.5</v>
          </cell>
        </row>
        <row r="80">
          <cell r="O80">
            <v>-460</v>
          </cell>
        </row>
        <row r="81">
          <cell r="O81">
            <v>-960.26666666666677</v>
          </cell>
        </row>
        <row r="82">
          <cell r="O82">
            <v>-1983.5560000000005</v>
          </cell>
        </row>
        <row r="83">
          <cell r="O83">
            <v>-839.3125</v>
          </cell>
        </row>
        <row r="84">
          <cell r="O84">
            <v>-856.66050000000007</v>
          </cell>
        </row>
        <row r="85">
          <cell r="O85">
            <v>-1920</v>
          </cell>
        </row>
        <row r="86">
          <cell r="O86">
            <v>-414.24266666666665</v>
          </cell>
        </row>
        <row r="87">
          <cell r="O87">
            <v>-292.5</v>
          </cell>
        </row>
        <row r="88">
          <cell r="O88">
            <v>-1902.8</v>
          </cell>
        </row>
        <row r="89">
          <cell r="O89">
            <v>-357.82666666666665</v>
          </cell>
        </row>
        <row r="90">
          <cell r="O90">
            <v>-314.5333333333333</v>
          </cell>
        </row>
        <row r="91">
          <cell r="O91">
            <v>-935.21500000000003</v>
          </cell>
        </row>
        <row r="92">
          <cell r="O92">
            <v>-974.95</v>
          </cell>
        </row>
        <row r="93">
          <cell r="O93">
            <v>-414.49725000000001</v>
          </cell>
        </row>
        <row r="94">
          <cell r="O94">
            <v>-379.76175000000001</v>
          </cell>
        </row>
        <row r="95">
          <cell r="O95">
            <v>-1082.6720000000003</v>
          </cell>
        </row>
        <row r="96">
          <cell r="O96">
            <v>-461.68499999999995</v>
          </cell>
        </row>
        <row r="97">
          <cell r="O97">
            <v>-322.89833333333331</v>
          </cell>
        </row>
        <row r="98">
          <cell r="O98">
            <v>-333.54</v>
          </cell>
        </row>
        <row r="99">
          <cell r="O99">
            <v>-1431.85</v>
          </cell>
        </row>
        <row r="100">
          <cell r="O100">
            <v>-128</v>
          </cell>
        </row>
        <row r="101">
          <cell r="O101">
            <v>-384</v>
          </cell>
        </row>
        <row r="102">
          <cell r="O102">
            <v>-477.77700000000016</v>
          </cell>
        </row>
        <row r="103">
          <cell r="O103">
            <v>-225.08</v>
          </cell>
        </row>
        <row r="104">
          <cell r="O104">
            <v>-132.91666666666669</v>
          </cell>
        </row>
        <row r="105">
          <cell r="O105">
            <v>-700</v>
          </cell>
        </row>
        <row r="106">
          <cell r="O106">
            <v>-370.9</v>
          </cell>
        </row>
        <row r="107">
          <cell r="O107">
            <v>-93.4375</v>
          </cell>
        </row>
        <row r="108">
          <cell r="O108">
            <v>-289.61200000000002</v>
          </cell>
        </row>
        <row r="109">
          <cell r="O109">
            <v>-428</v>
          </cell>
        </row>
        <row r="110">
          <cell r="O110">
            <v>-361.85</v>
          </cell>
        </row>
        <row r="111">
          <cell r="O111">
            <v>-14.177333333333333</v>
          </cell>
        </row>
        <row r="114">
          <cell r="O114">
            <v>-6017.95</v>
          </cell>
        </row>
        <row r="115">
          <cell r="O115">
            <v>-288</v>
          </cell>
        </row>
        <row r="116">
          <cell r="O116">
            <v>-1995</v>
          </cell>
        </row>
        <row r="117">
          <cell r="O117">
            <v>-867.65</v>
          </cell>
        </row>
        <row r="118">
          <cell r="O118">
            <v>-2402</v>
          </cell>
        </row>
        <row r="119">
          <cell r="O119">
            <v>-1315.78</v>
          </cell>
        </row>
        <row r="120">
          <cell r="O120">
            <v>-258.39999999999998</v>
          </cell>
        </row>
        <row r="121">
          <cell r="O121">
            <v>-5090</v>
          </cell>
        </row>
        <row r="122">
          <cell r="O122">
            <v>-1661.07</v>
          </cell>
        </row>
        <row r="123">
          <cell r="O123">
            <v>-2550</v>
          </cell>
        </row>
        <row r="124">
          <cell r="O124">
            <v>-4077.67</v>
          </cell>
        </row>
        <row r="125">
          <cell r="O125">
            <v>-774.7</v>
          </cell>
        </row>
        <row r="126">
          <cell r="O126">
            <v>-1371.6</v>
          </cell>
        </row>
        <row r="127">
          <cell r="O127">
            <v>-8193.7099999999991</v>
          </cell>
        </row>
        <row r="128">
          <cell r="O128">
            <v>-688.42</v>
          </cell>
        </row>
        <row r="129">
          <cell r="O129">
            <v>-3654.86</v>
          </cell>
        </row>
        <row r="130">
          <cell r="O130">
            <v>-964.7</v>
          </cell>
        </row>
        <row r="131">
          <cell r="O131">
            <v>-1908.06</v>
          </cell>
        </row>
        <row r="132">
          <cell r="O132">
            <v>-1505</v>
          </cell>
        </row>
        <row r="133">
          <cell r="O133">
            <v>-1341.4</v>
          </cell>
        </row>
        <row r="134">
          <cell r="O134">
            <v>-171.2</v>
          </cell>
        </row>
        <row r="135">
          <cell r="O135">
            <v>-169.46</v>
          </cell>
        </row>
        <row r="136">
          <cell r="O136">
            <v>-329.99700000000001</v>
          </cell>
        </row>
        <row r="137">
          <cell r="O137">
            <v>-200.42</v>
          </cell>
        </row>
        <row r="138">
          <cell r="O138">
            <v>-372.52366666666666</v>
          </cell>
        </row>
        <row r="139">
          <cell r="O139">
            <v>-368.10158333333334</v>
          </cell>
        </row>
        <row r="140">
          <cell r="O140">
            <v>-755.58833333333337</v>
          </cell>
        </row>
        <row r="141">
          <cell r="O141">
            <v>-578.41666666666674</v>
          </cell>
        </row>
        <row r="142">
          <cell r="O142">
            <v>-243.29100000000003</v>
          </cell>
        </row>
        <row r="143">
          <cell r="O143">
            <v>-226.66666666666666</v>
          </cell>
        </row>
        <row r="144">
          <cell r="O144">
            <v>-59.866666666666674</v>
          </cell>
        </row>
        <row r="147">
          <cell r="O147">
            <v>-60888.85</v>
          </cell>
        </row>
        <row r="148">
          <cell r="O148">
            <v>-32324.28</v>
          </cell>
        </row>
        <row r="149">
          <cell r="O149">
            <v>-6470</v>
          </cell>
        </row>
        <row r="150">
          <cell r="O150">
            <v>-2230.30125</v>
          </cell>
        </row>
        <row r="151">
          <cell r="O151">
            <v>-2960.165</v>
          </cell>
        </row>
        <row r="152">
          <cell r="O152">
            <v>-3633</v>
          </cell>
        </row>
        <row r="153">
          <cell r="O153">
            <v>-2659.36</v>
          </cell>
        </row>
        <row r="154">
          <cell r="O154">
            <v>-3179.22</v>
          </cell>
        </row>
        <row r="155">
          <cell r="O155">
            <v>-3070</v>
          </cell>
        </row>
        <row r="156">
          <cell r="O156">
            <v>-2942.2525000000001</v>
          </cell>
        </row>
        <row r="157">
          <cell r="O157">
            <v>-1190.931875</v>
          </cell>
        </row>
        <row r="158">
          <cell r="O158">
            <v>-1564.5</v>
          </cell>
        </row>
        <row r="159">
          <cell r="O159">
            <v>-1249.5</v>
          </cell>
        </row>
        <row r="160">
          <cell r="O160">
            <v>-2405</v>
          </cell>
        </row>
        <row r="161">
          <cell r="O161">
            <v>-711.75</v>
          </cell>
        </row>
        <row r="162">
          <cell r="O162">
            <v>-598.33333333333326</v>
          </cell>
        </row>
        <row r="163">
          <cell r="O163">
            <v>-429.625</v>
          </cell>
        </row>
        <row r="164">
          <cell r="O164">
            <v>-1100.75</v>
          </cell>
        </row>
        <row r="165">
          <cell r="O165">
            <v>-792.5625</v>
          </cell>
        </row>
        <row r="166">
          <cell r="O166">
            <v>-1200</v>
          </cell>
        </row>
        <row r="167">
          <cell r="O167">
            <v>-340.08333333333331</v>
          </cell>
        </row>
        <row r="170">
          <cell r="O170">
            <v>-5625</v>
          </cell>
        </row>
        <row r="171">
          <cell r="O171">
            <v>-3268.75</v>
          </cell>
        </row>
        <row r="172">
          <cell r="O172">
            <v>-5329.8050000000003</v>
          </cell>
        </row>
        <row r="173">
          <cell r="O173">
            <v>-2728.4583333333335</v>
          </cell>
        </row>
        <row r="174">
          <cell r="O174">
            <v>-4456</v>
          </cell>
        </row>
        <row r="175">
          <cell r="O175">
            <v>-1802.2449999999999</v>
          </cell>
        </row>
        <row r="176">
          <cell r="O176">
            <v>-961.5625</v>
          </cell>
        </row>
        <row r="177">
          <cell r="O177">
            <v>-1428.1624999999999</v>
          </cell>
        </row>
        <row r="178">
          <cell r="O178">
            <v>-1656.2</v>
          </cell>
        </row>
        <row r="179">
          <cell r="O179">
            <v>-1234.0025000000001</v>
          </cell>
        </row>
        <row r="180">
          <cell r="O180">
            <v>-1406.17</v>
          </cell>
        </row>
        <row r="181">
          <cell r="O181">
            <v>-361.875</v>
          </cell>
        </row>
        <row r="182">
          <cell r="O182">
            <v>-558</v>
          </cell>
        </row>
        <row r="183">
          <cell r="O183">
            <v>-692.98</v>
          </cell>
        </row>
        <row r="184">
          <cell r="O184">
            <v>-827</v>
          </cell>
        </row>
        <row r="185">
          <cell r="O185">
            <v>-824.1</v>
          </cell>
        </row>
        <row r="186">
          <cell r="O186">
            <v>-718</v>
          </cell>
        </row>
        <row r="187">
          <cell r="O187">
            <v>-485.61250000000001</v>
          </cell>
        </row>
        <row r="188">
          <cell r="O188">
            <v>-606.95000000000005</v>
          </cell>
        </row>
        <row r="189">
          <cell r="O189">
            <v>-195.70125000000002</v>
          </cell>
        </row>
        <row r="190">
          <cell r="O190">
            <v>-329.94749999999999</v>
          </cell>
        </row>
        <row r="191">
          <cell r="O191">
            <v>-118.75</v>
          </cell>
        </row>
        <row r="192">
          <cell r="O192">
            <v>-77.4375</v>
          </cell>
        </row>
        <row r="203">
          <cell r="O203">
            <v>-6565.89</v>
          </cell>
        </row>
        <row r="204">
          <cell r="O204">
            <v>-4618</v>
          </cell>
        </row>
        <row r="205">
          <cell r="O205">
            <v>-18.399999999999999</v>
          </cell>
        </row>
        <row r="206">
          <cell r="O206">
            <v>-2600</v>
          </cell>
        </row>
        <row r="207">
          <cell r="O207">
            <v>-13140</v>
          </cell>
        </row>
        <row r="208">
          <cell r="O208">
            <v>-49496.100000000006</v>
          </cell>
        </row>
        <row r="209">
          <cell r="O209">
            <v>-8003.2349999999997</v>
          </cell>
        </row>
        <row r="210">
          <cell r="O210">
            <v>-3886.5309999999999</v>
          </cell>
        </row>
        <row r="211">
          <cell r="O211">
            <v>-1756.8659999999995</v>
          </cell>
        </row>
        <row r="212">
          <cell r="O212">
            <v>-1950.4789999999998</v>
          </cell>
        </row>
        <row r="213">
          <cell r="O213">
            <v>625</v>
          </cell>
        </row>
        <row r="214">
          <cell r="O214">
            <v>-23014.69</v>
          </cell>
        </row>
      </sheetData>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OTHFA-1"/>
      <sheetName val="OTHFA-2"/>
      <sheetName val="P&amp;M-1"/>
      <sheetName val="P&amp;M-2"/>
      <sheetName val="FA2"/>
      <sheetName val="JOURNAL"/>
      <sheetName val="Sheet2"/>
      <sheetName val="Sheet1"/>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Budge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r1"/>
      <sheetName val="Peer10"/>
      <sheetName val="Peer11"/>
      <sheetName val="Peer12"/>
      <sheetName val="Peer13"/>
      <sheetName val="Peer14"/>
      <sheetName val="Peer15"/>
      <sheetName val="Peer16"/>
      <sheetName val="Peer17"/>
      <sheetName val="Peer18"/>
      <sheetName val="Peer19"/>
      <sheetName val="Peer2"/>
      <sheetName val="Peer20"/>
      <sheetName val="Peer3"/>
      <sheetName val="Peer4"/>
      <sheetName val="Peer5"/>
      <sheetName val="Peer6"/>
      <sheetName val="Peer7"/>
      <sheetName val="Peer8"/>
      <sheetName val="Peer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P"/>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OTHFA-1"/>
      <sheetName val="OTHFA-2"/>
      <sheetName val="P&amp;M-1"/>
      <sheetName val="P&amp;M-2"/>
      <sheetName val="FA2"/>
      <sheetName val="JOURNAL"/>
      <sheetName val="Sheet2"/>
      <sheetName val="Sheet1"/>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Linked"/>
      <sheetName val="Pasted"/>
      <sheetName val="OutputAll"/>
      <sheetName val="OutputFinal"/>
      <sheetName val="Filtering"/>
      <sheetName val="Screening 3&gt;&gt;"/>
      <sheetName val="(533 companies)"/>
      <sheetName val="(77 companies)"/>
      <sheetName val="(18 companies)"/>
      <sheetName val="Screening 1&gt;&gt;"/>
      <sheetName val="Full List (396 comps)"/>
      <sheetName val="Revenue Segmentation - Pasted"/>
      <sheetName val="Revenue Segmentation"/>
    </sheetNames>
    <sheetDataSet>
      <sheetData sheetId="0"/>
      <sheetData sheetId="1"/>
      <sheetData sheetId="2"/>
      <sheetData sheetId="3">
        <row r="4">
          <cell r="H4" t="str">
            <v>LTM</v>
          </cell>
        </row>
      </sheetData>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14999847407452621"/>
  </sheetPr>
  <dimension ref="A1:T31"/>
  <sheetViews>
    <sheetView view="pageBreakPreview" zoomScale="60" zoomScaleNormal="85" workbookViewId="0">
      <selection activeCell="F16" sqref="F16"/>
    </sheetView>
  </sheetViews>
  <sheetFormatPr defaultColWidth="9.109375" defaultRowHeight="13.8" x14ac:dyDescent="0.25"/>
  <cols>
    <col min="1" max="1" width="11.33203125" style="225" bestFit="1" customWidth="1"/>
    <col min="2" max="5" width="9.109375" style="225"/>
    <col min="6" max="6" width="44" style="225" bestFit="1" customWidth="1"/>
    <col min="7" max="16384" width="9.109375" style="225"/>
  </cols>
  <sheetData>
    <row r="1" spans="1:20" ht="14.4" x14ac:dyDescent="0.3">
      <c r="A1" s="267"/>
      <c r="B1" s="268"/>
      <c r="C1" s="268"/>
      <c r="D1" s="268"/>
      <c r="E1" s="268"/>
      <c r="F1" s="268"/>
      <c r="G1" s="268"/>
      <c r="H1" s="268"/>
      <c r="I1" s="268"/>
      <c r="J1" s="268"/>
      <c r="K1" s="268"/>
      <c r="L1" s="268"/>
      <c r="M1" s="268"/>
      <c r="N1" s="268"/>
      <c r="O1" s="268"/>
      <c r="P1" s="268"/>
      <c r="Q1" s="268"/>
      <c r="R1" s="268"/>
      <c r="S1" s="268"/>
      <c r="T1" s="269"/>
    </row>
    <row r="2" spans="1:20" x14ac:dyDescent="0.25">
      <c r="A2" s="270"/>
      <c r="B2" s="266"/>
      <c r="C2" s="266"/>
      <c r="D2" s="266"/>
      <c r="E2" s="266"/>
      <c r="F2" s="266"/>
      <c r="G2" s="266"/>
      <c r="H2" s="266"/>
      <c r="I2" s="266"/>
      <c r="J2" s="266"/>
      <c r="K2" s="266"/>
      <c r="L2" s="266"/>
      <c r="M2" s="266"/>
      <c r="N2" s="266"/>
      <c r="O2" s="266"/>
      <c r="P2" s="266"/>
      <c r="Q2" s="266"/>
      <c r="R2" s="266"/>
      <c r="S2" s="266"/>
      <c r="T2" s="271"/>
    </row>
    <row r="3" spans="1:20" x14ac:dyDescent="0.25">
      <c r="A3" s="270"/>
      <c r="B3" s="266"/>
      <c r="C3" s="266"/>
      <c r="D3" s="266"/>
      <c r="E3" s="266"/>
      <c r="F3" s="266"/>
      <c r="G3" s="266"/>
      <c r="H3" s="266"/>
      <c r="I3" s="266"/>
      <c r="J3" s="266"/>
      <c r="K3" s="266"/>
      <c r="L3" s="266"/>
      <c r="M3" s="266"/>
      <c r="N3" s="266"/>
      <c r="O3" s="266"/>
      <c r="P3" s="266"/>
      <c r="Q3" s="266"/>
      <c r="R3" s="266"/>
      <c r="S3" s="266"/>
      <c r="T3" s="271"/>
    </row>
    <row r="4" spans="1:20" x14ac:dyDescent="0.25">
      <c r="A4" s="270"/>
      <c r="B4" s="266"/>
      <c r="C4" s="266"/>
      <c r="D4" s="266"/>
      <c r="E4" s="266"/>
      <c r="F4" s="266"/>
      <c r="G4" s="266"/>
      <c r="H4" s="266"/>
      <c r="I4" s="266"/>
      <c r="J4" s="266"/>
      <c r="K4" s="266"/>
      <c r="L4" s="266"/>
      <c r="M4" s="266"/>
      <c r="N4" s="266"/>
      <c r="O4" s="266"/>
      <c r="P4" s="266"/>
      <c r="Q4" s="266"/>
      <c r="R4" s="266"/>
      <c r="S4" s="266"/>
      <c r="T4" s="271"/>
    </row>
    <row r="5" spans="1:20" x14ac:dyDescent="0.25">
      <c r="A5" s="272"/>
      <c r="B5" s="266"/>
      <c r="C5" s="266"/>
      <c r="D5" s="266"/>
      <c r="E5" s="266"/>
      <c r="F5" s="266"/>
      <c r="G5" s="266"/>
      <c r="H5" s="266"/>
      <c r="I5" s="266"/>
      <c r="J5" s="266"/>
      <c r="K5" s="266"/>
      <c r="L5" s="266"/>
      <c r="M5" s="266"/>
      <c r="N5" s="266"/>
      <c r="O5" s="266"/>
      <c r="P5" s="266"/>
      <c r="Q5" s="266"/>
      <c r="R5" s="266"/>
      <c r="S5" s="266"/>
      <c r="T5" s="271"/>
    </row>
    <row r="6" spans="1:20" x14ac:dyDescent="0.25">
      <c r="A6" s="272"/>
      <c r="B6" s="266"/>
      <c r="C6" s="266"/>
      <c r="D6" s="266"/>
      <c r="E6" s="266"/>
      <c r="F6" s="266"/>
      <c r="G6" s="266"/>
      <c r="H6" s="266"/>
      <c r="I6" s="266"/>
      <c r="J6" s="266"/>
      <c r="K6" s="266"/>
      <c r="L6" s="266"/>
      <c r="M6" s="266"/>
      <c r="N6" s="266"/>
      <c r="O6" s="266"/>
      <c r="P6" s="266"/>
      <c r="Q6" s="266"/>
      <c r="R6" s="266"/>
      <c r="S6" s="266"/>
      <c r="T6" s="271"/>
    </row>
    <row r="7" spans="1:20" x14ac:dyDescent="0.25">
      <c r="A7" s="272"/>
      <c r="B7" s="266"/>
      <c r="C7" s="266"/>
      <c r="D7" s="266"/>
      <c r="E7" s="266"/>
      <c r="F7" s="266"/>
      <c r="G7" s="266"/>
      <c r="H7" s="266"/>
      <c r="I7" s="266"/>
      <c r="J7" s="266"/>
      <c r="K7" s="266"/>
      <c r="L7" s="266"/>
      <c r="M7" s="266"/>
      <c r="N7" s="266"/>
      <c r="O7" s="266"/>
      <c r="P7" s="266"/>
      <c r="Q7" s="266"/>
      <c r="R7" s="266"/>
      <c r="S7" s="266"/>
      <c r="T7" s="271"/>
    </row>
    <row r="8" spans="1:20" x14ac:dyDescent="0.25">
      <c r="A8" s="272"/>
      <c r="B8" s="266"/>
      <c r="C8" s="266"/>
      <c r="D8" s="266"/>
      <c r="E8" s="266"/>
      <c r="F8" s="266"/>
      <c r="G8" s="266"/>
      <c r="H8" s="266"/>
      <c r="I8" s="266"/>
      <c r="J8" s="266"/>
      <c r="K8" s="266"/>
      <c r="L8" s="266"/>
      <c r="M8" s="266"/>
      <c r="N8" s="266"/>
      <c r="O8" s="266"/>
      <c r="P8" s="266"/>
      <c r="Q8" s="266"/>
      <c r="R8" s="266"/>
      <c r="S8" s="266"/>
      <c r="T8" s="271"/>
    </row>
    <row r="9" spans="1:20" x14ac:dyDescent="0.25">
      <c r="A9" s="272"/>
      <c r="B9" s="266"/>
      <c r="C9" s="266"/>
      <c r="D9" s="266"/>
      <c r="E9" s="266"/>
      <c r="F9" s="266"/>
      <c r="G9" s="266"/>
      <c r="H9" s="266"/>
      <c r="I9" s="266"/>
      <c r="J9" s="266"/>
      <c r="K9" s="266"/>
      <c r="L9" s="266"/>
      <c r="M9" s="266"/>
      <c r="N9" s="266"/>
      <c r="O9" s="266"/>
      <c r="P9" s="266"/>
      <c r="Q9" s="266"/>
      <c r="R9" s="266"/>
      <c r="S9" s="266"/>
      <c r="T9" s="271"/>
    </row>
    <row r="10" spans="1:20" x14ac:dyDescent="0.25">
      <c r="A10" s="272"/>
      <c r="B10" s="266"/>
      <c r="C10" s="266"/>
      <c r="D10" s="266"/>
      <c r="E10" s="266"/>
      <c r="F10" s="266"/>
      <c r="G10" s="266"/>
      <c r="H10" s="266"/>
      <c r="I10" s="266"/>
      <c r="J10" s="266"/>
      <c r="K10" s="266"/>
      <c r="L10" s="266"/>
      <c r="M10" s="266"/>
      <c r="N10" s="266"/>
      <c r="O10" s="266"/>
      <c r="P10" s="266"/>
      <c r="Q10" s="266"/>
      <c r="R10" s="266"/>
      <c r="S10" s="266"/>
      <c r="T10" s="271"/>
    </row>
    <row r="11" spans="1:20" ht="40.200000000000003" x14ac:dyDescent="0.7">
      <c r="A11" s="272"/>
      <c r="B11" s="266"/>
      <c r="C11" s="266"/>
      <c r="D11" s="266"/>
      <c r="E11" s="266"/>
      <c r="F11" s="291" t="s">
        <v>1227</v>
      </c>
      <c r="G11" s="274"/>
      <c r="H11" s="266"/>
      <c r="I11" s="266"/>
      <c r="J11" s="266"/>
      <c r="K11" s="266"/>
      <c r="L11" s="266"/>
      <c r="M11" s="266"/>
      <c r="N11" s="266"/>
      <c r="O11" s="266"/>
      <c r="P11" s="266"/>
      <c r="Q11" s="266"/>
      <c r="R11" s="266"/>
      <c r="S11" s="266"/>
      <c r="T11" s="271"/>
    </row>
    <row r="12" spans="1:20" ht="40.200000000000003" x14ac:dyDescent="0.7">
      <c r="A12" s="272"/>
      <c r="B12" s="266"/>
      <c r="C12" s="266"/>
      <c r="D12" s="266"/>
      <c r="E12" s="273"/>
      <c r="F12" s="644" t="s">
        <v>1228</v>
      </c>
      <c r="G12" s="266"/>
      <c r="H12" s="266"/>
      <c r="I12" s="266"/>
      <c r="J12" s="266"/>
      <c r="K12" s="266"/>
      <c r="L12" s="266"/>
      <c r="M12" s="266"/>
      <c r="N12" s="266"/>
      <c r="O12" s="266"/>
      <c r="P12" s="266"/>
      <c r="Q12" s="266"/>
      <c r="R12" s="266"/>
      <c r="S12" s="266"/>
      <c r="T12" s="271"/>
    </row>
    <row r="13" spans="1:20" ht="17.399999999999999" x14ac:dyDescent="0.3">
      <c r="A13" s="272"/>
      <c r="B13" s="266"/>
      <c r="C13" s="266"/>
      <c r="D13" s="266"/>
      <c r="E13" s="266"/>
      <c r="F13" s="280" t="s">
        <v>399</v>
      </c>
      <c r="G13" s="266"/>
      <c r="H13" s="266"/>
      <c r="I13" s="266"/>
      <c r="J13" s="266"/>
      <c r="K13" s="266"/>
      <c r="L13" s="266"/>
      <c r="M13" s="266"/>
      <c r="N13" s="266"/>
      <c r="O13" s="266"/>
      <c r="P13" s="266"/>
      <c r="Q13" s="266"/>
      <c r="R13" s="266"/>
      <c r="S13" s="266"/>
      <c r="T13" s="271"/>
    </row>
    <row r="14" spans="1:20" x14ac:dyDescent="0.25">
      <c r="A14" s="272"/>
      <c r="B14" s="266"/>
      <c r="C14" s="266"/>
      <c r="D14" s="266"/>
      <c r="E14" s="266"/>
      <c r="F14" s="266"/>
      <c r="G14" s="266"/>
      <c r="H14" s="266"/>
      <c r="I14" s="266"/>
      <c r="J14" s="266"/>
      <c r="K14" s="266"/>
      <c r="L14" s="266"/>
      <c r="M14" s="266"/>
      <c r="N14" s="266"/>
      <c r="O14" s="266"/>
      <c r="P14" s="266"/>
      <c r="Q14" s="266"/>
      <c r="R14" s="266"/>
      <c r="S14" s="266"/>
      <c r="T14" s="271"/>
    </row>
    <row r="15" spans="1:20" ht="17.399999999999999" x14ac:dyDescent="0.3">
      <c r="A15" s="272"/>
      <c r="B15" s="266"/>
      <c r="C15" s="266"/>
      <c r="D15" s="266" t="s">
        <v>1204</v>
      </c>
      <c r="E15" s="266"/>
      <c r="F15" s="281">
        <v>44561</v>
      </c>
      <c r="G15" s="266"/>
      <c r="H15" s="266"/>
      <c r="I15" s="266"/>
      <c r="J15" s="266"/>
      <c r="K15" s="266"/>
      <c r="L15" s="266"/>
      <c r="M15" s="266"/>
      <c r="N15" s="266"/>
      <c r="O15" s="266"/>
      <c r="P15" s="266"/>
      <c r="Q15" s="266"/>
      <c r="R15" s="266"/>
      <c r="S15" s="266"/>
      <c r="T15" s="271"/>
    </row>
    <row r="16" spans="1:20" ht="17.399999999999999" x14ac:dyDescent="0.3">
      <c r="A16" s="272"/>
      <c r="B16" s="266"/>
      <c r="C16" s="266"/>
      <c r="D16" s="266"/>
      <c r="E16" s="266"/>
      <c r="F16" s="275"/>
      <c r="G16" s="266"/>
      <c r="H16" s="266"/>
      <c r="I16" s="266"/>
      <c r="J16" s="266"/>
      <c r="K16" s="266"/>
      <c r="L16" s="266"/>
      <c r="M16" s="266"/>
      <c r="N16" s="266"/>
      <c r="O16" s="266"/>
      <c r="P16" s="266"/>
      <c r="Q16" s="266"/>
      <c r="R16" s="266"/>
      <c r="S16" s="266"/>
      <c r="T16" s="271"/>
    </row>
    <row r="17" spans="1:20" x14ac:dyDescent="0.25">
      <c r="A17" s="270"/>
      <c r="B17" s="266"/>
      <c r="C17" s="266"/>
      <c r="D17" s="266"/>
      <c r="E17" s="266"/>
      <c r="F17" s="266"/>
      <c r="G17" s="266"/>
      <c r="H17" s="266"/>
      <c r="I17" s="266"/>
      <c r="J17" s="266"/>
      <c r="K17" s="266"/>
      <c r="L17" s="266"/>
      <c r="M17" s="266"/>
      <c r="N17" s="266"/>
      <c r="O17" s="266"/>
      <c r="P17" s="266"/>
      <c r="Q17" s="266"/>
      <c r="R17" s="266"/>
      <c r="S17" s="266"/>
      <c r="T17" s="271"/>
    </row>
    <row r="18" spans="1:20" x14ac:dyDescent="0.25">
      <c r="A18" s="270"/>
      <c r="B18" s="266"/>
      <c r="C18" s="266"/>
      <c r="D18" s="266"/>
      <c r="E18" s="266"/>
      <c r="F18" s="266"/>
      <c r="G18" s="266"/>
      <c r="H18" s="266"/>
      <c r="I18" s="266"/>
      <c r="J18" s="266"/>
      <c r="K18" s="266"/>
      <c r="L18" s="266"/>
      <c r="M18" s="266"/>
      <c r="N18" s="266"/>
      <c r="O18" s="266"/>
      <c r="P18" s="266"/>
      <c r="Q18" s="266"/>
      <c r="R18" s="266"/>
      <c r="S18" s="266"/>
      <c r="T18" s="271"/>
    </row>
    <row r="19" spans="1:20" ht="15.6" x14ac:dyDescent="0.3">
      <c r="A19" s="270"/>
      <c r="B19" s="266"/>
      <c r="C19" s="266"/>
      <c r="D19" s="266"/>
      <c r="E19" s="266"/>
      <c r="F19" s="282" t="s">
        <v>398</v>
      </c>
      <c r="G19" s="283" t="s">
        <v>1205</v>
      </c>
      <c r="H19" s="266"/>
      <c r="I19" s="266"/>
      <c r="J19" s="266"/>
      <c r="K19" s="266"/>
      <c r="L19" s="266"/>
      <c r="M19" s="266"/>
      <c r="N19" s="266"/>
      <c r="O19" s="266"/>
      <c r="P19" s="266"/>
      <c r="Q19" s="266"/>
      <c r="R19" s="266"/>
      <c r="S19" s="266"/>
      <c r="T19" s="271"/>
    </row>
    <row r="20" spans="1:20" ht="15" x14ac:dyDescent="0.25">
      <c r="A20" s="276"/>
      <c r="B20" s="266"/>
      <c r="C20" s="266"/>
      <c r="D20" s="266"/>
      <c r="E20" s="266"/>
      <c r="F20" s="652" t="s">
        <v>846</v>
      </c>
      <c r="G20" s="651" t="s">
        <v>845</v>
      </c>
      <c r="H20" s="266"/>
      <c r="I20" s="266"/>
      <c r="J20" s="266"/>
      <c r="K20" s="266"/>
      <c r="L20" s="266"/>
      <c r="M20" s="266"/>
      <c r="N20" s="266"/>
      <c r="O20" s="266"/>
      <c r="P20" s="266"/>
      <c r="Q20" s="266"/>
      <c r="R20" s="266"/>
      <c r="S20" s="266"/>
      <c r="T20" s="271"/>
    </row>
    <row r="21" spans="1:20" x14ac:dyDescent="0.25">
      <c r="A21" s="276"/>
      <c r="B21" s="266"/>
      <c r="C21" s="266"/>
      <c r="D21" s="266"/>
      <c r="E21" s="266"/>
      <c r="F21" s="266"/>
      <c r="G21" s="266"/>
      <c r="H21" s="266"/>
      <c r="I21" s="266"/>
      <c r="J21" s="266"/>
      <c r="K21" s="266"/>
      <c r="L21" s="266"/>
      <c r="M21" s="266"/>
      <c r="N21" s="266"/>
      <c r="O21" s="266"/>
      <c r="P21" s="266"/>
      <c r="Q21" s="266"/>
      <c r="R21" s="266"/>
      <c r="S21" s="266"/>
      <c r="T21" s="271"/>
    </row>
    <row r="22" spans="1:20" ht="28.2" x14ac:dyDescent="0.5">
      <c r="A22" s="276"/>
      <c r="B22" s="266"/>
      <c r="C22" s="266"/>
      <c r="D22" s="266"/>
      <c r="E22" s="266"/>
      <c r="F22" s="292" t="s">
        <v>770</v>
      </c>
      <c r="G22" s="266"/>
      <c r="H22" s="266"/>
      <c r="I22" s="266"/>
      <c r="J22" s="266"/>
      <c r="K22" s="266"/>
      <c r="L22" s="266"/>
      <c r="M22" s="266"/>
      <c r="N22" s="266"/>
      <c r="O22" s="266"/>
      <c r="P22" s="266"/>
      <c r="Q22" s="266"/>
      <c r="R22" s="266"/>
      <c r="S22" s="266"/>
      <c r="T22" s="271"/>
    </row>
    <row r="23" spans="1:20" x14ac:dyDescent="0.25">
      <c r="A23" s="276"/>
      <c r="B23" s="266"/>
      <c r="C23" s="266"/>
      <c r="D23" s="266"/>
      <c r="E23" s="266"/>
      <c r="F23" s="266"/>
      <c r="G23" s="266"/>
      <c r="H23" s="266"/>
      <c r="I23" s="266"/>
      <c r="J23" s="266"/>
      <c r="K23" s="266"/>
      <c r="L23" s="266"/>
      <c r="M23" s="266"/>
      <c r="N23" s="266" t="s">
        <v>8</v>
      </c>
      <c r="O23" s="266"/>
      <c r="P23" s="266"/>
      <c r="Q23" s="266"/>
      <c r="R23" s="266"/>
      <c r="S23" s="266"/>
      <c r="T23" s="271"/>
    </row>
    <row r="24" spans="1:20" x14ac:dyDescent="0.25">
      <c r="A24" s="276"/>
      <c r="B24" s="266"/>
      <c r="C24" s="266"/>
      <c r="D24" s="266"/>
      <c r="E24" s="266"/>
      <c r="F24" s="266"/>
      <c r="G24" s="266"/>
      <c r="H24" s="266"/>
      <c r="I24" s="266"/>
      <c r="J24" s="266"/>
      <c r="K24" s="266"/>
      <c r="L24" s="266"/>
      <c r="M24" s="266"/>
      <c r="N24" s="266"/>
      <c r="O24" s="266"/>
      <c r="P24" s="266"/>
      <c r="Q24" s="266"/>
      <c r="R24" s="266"/>
      <c r="S24" s="266"/>
      <c r="T24" s="271"/>
    </row>
    <row r="25" spans="1:20" x14ac:dyDescent="0.25">
      <c r="A25" s="276"/>
      <c r="B25" s="266"/>
      <c r="C25" s="266"/>
      <c r="D25" s="266"/>
      <c r="E25" s="266"/>
      <c r="F25" s="266"/>
      <c r="G25" s="266"/>
      <c r="H25" s="266"/>
      <c r="I25" s="266"/>
      <c r="J25" s="266"/>
      <c r="K25" s="266"/>
      <c r="L25" s="266"/>
      <c r="M25" s="266"/>
      <c r="N25" s="266"/>
      <c r="O25" s="266"/>
      <c r="P25" s="266"/>
      <c r="Q25" s="266"/>
      <c r="R25" s="266"/>
      <c r="S25" s="266"/>
      <c r="T25" s="271"/>
    </row>
    <row r="26" spans="1:20" x14ac:dyDescent="0.25">
      <c r="A26" s="276"/>
      <c r="B26" s="266"/>
      <c r="C26" s="266"/>
      <c r="D26" s="266"/>
      <c r="E26" s="266"/>
      <c r="F26" s="266"/>
      <c r="G26" s="266"/>
      <c r="H26" s="266"/>
      <c r="I26" s="266"/>
      <c r="J26" s="266"/>
      <c r="K26" s="266"/>
      <c r="L26" s="266"/>
      <c r="M26" s="266"/>
      <c r="N26" s="266"/>
      <c r="O26" s="266"/>
      <c r="P26" s="266"/>
      <c r="Q26" s="266"/>
      <c r="R26" s="266"/>
      <c r="S26" s="266"/>
      <c r="T26" s="271"/>
    </row>
    <row r="27" spans="1:20" x14ac:dyDescent="0.25">
      <c r="A27" s="276"/>
      <c r="B27" s="266"/>
      <c r="C27" s="266"/>
      <c r="D27" s="266"/>
      <c r="E27" s="266"/>
      <c r="F27" s="266"/>
      <c r="G27" s="266"/>
      <c r="H27" s="266"/>
      <c r="I27" s="266"/>
      <c r="J27" s="266"/>
      <c r="K27" s="266"/>
      <c r="L27" s="266"/>
      <c r="M27" s="266"/>
      <c r="N27" s="266"/>
      <c r="O27" s="266"/>
      <c r="P27" s="266"/>
      <c r="Q27" s="266"/>
      <c r="R27" s="266"/>
      <c r="S27" s="266"/>
      <c r="T27" s="271"/>
    </row>
    <row r="28" spans="1:20" x14ac:dyDescent="0.25">
      <c r="A28" s="276"/>
      <c r="B28" s="266"/>
      <c r="C28" s="266"/>
      <c r="D28" s="266"/>
      <c r="E28" s="266"/>
      <c r="F28" s="266"/>
      <c r="G28" s="266"/>
      <c r="H28" s="266"/>
      <c r="I28" s="266"/>
      <c r="J28" s="266"/>
      <c r="K28" s="266"/>
      <c r="L28" s="266"/>
      <c r="M28" s="266"/>
      <c r="N28" s="266"/>
      <c r="O28" s="266"/>
      <c r="P28" s="266"/>
      <c r="Q28" s="266"/>
      <c r="R28" s="266"/>
      <c r="S28" s="266"/>
      <c r="T28" s="271"/>
    </row>
    <row r="29" spans="1:20" x14ac:dyDescent="0.25">
      <c r="A29" s="276"/>
      <c r="B29" s="266"/>
      <c r="C29" s="266"/>
      <c r="D29" s="266"/>
      <c r="E29" s="266"/>
      <c r="F29" s="266"/>
      <c r="G29" s="266"/>
      <c r="H29" s="266"/>
      <c r="I29" s="266"/>
      <c r="J29" s="266"/>
      <c r="K29" s="266"/>
      <c r="L29" s="266"/>
      <c r="M29" s="266"/>
      <c r="N29" s="266"/>
      <c r="O29" s="266"/>
      <c r="P29" s="266"/>
      <c r="Q29" s="266"/>
      <c r="R29" s="266"/>
      <c r="S29" s="266"/>
      <c r="T29" s="271"/>
    </row>
    <row r="30" spans="1:20" x14ac:dyDescent="0.25">
      <c r="A30" s="276"/>
      <c r="B30" s="266"/>
      <c r="C30" s="266"/>
      <c r="D30" s="266"/>
      <c r="E30" s="266"/>
      <c r="F30" s="266"/>
      <c r="G30" s="266"/>
      <c r="H30" s="266"/>
      <c r="I30" s="266"/>
      <c r="J30" s="266"/>
      <c r="K30" s="266"/>
      <c r="L30" s="266"/>
      <c r="M30" s="266"/>
      <c r="N30" s="266"/>
      <c r="O30" s="266"/>
      <c r="P30" s="266"/>
      <c r="Q30" s="266"/>
      <c r="R30" s="266"/>
      <c r="S30" s="266"/>
      <c r="T30" s="271"/>
    </row>
    <row r="31" spans="1:20" x14ac:dyDescent="0.25">
      <c r="A31" s="277"/>
      <c r="B31" s="278"/>
      <c r="C31" s="278"/>
      <c r="D31" s="278"/>
      <c r="E31" s="278"/>
      <c r="F31" s="278"/>
      <c r="G31" s="278"/>
      <c r="H31" s="278"/>
      <c r="I31" s="278"/>
      <c r="J31" s="278"/>
      <c r="K31" s="278"/>
      <c r="L31" s="278"/>
      <c r="M31" s="278"/>
      <c r="N31" s="278"/>
      <c r="O31" s="278"/>
      <c r="P31" s="278"/>
      <c r="Q31" s="278"/>
      <c r="R31" s="278"/>
      <c r="S31" s="278"/>
      <c r="T31" s="27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E18"/>
  <sheetViews>
    <sheetView zoomScale="85" zoomScaleNormal="85" workbookViewId="0">
      <selection activeCell="D14" sqref="D14"/>
    </sheetView>
  </sheetViews>
  <sheetFormatPr defaultColWidth="9.109375" defaultRowHeight="13.8" x14ac:dyDescent="0.25"/>
  <cols>
    <col min="1" max="1" width="9.109375" style="70"/>
    <col min="2" max="2" width="4" style="70" bestFit="1" customWidth="1"/>
    <col min="3" max="3" width="2.44140625" style="70" customWidth="1"/>
    <col min="4" max="4" width="30.44140625" style="70" bestFit="1" customWidth="1"/>
    <col min="5" max="5" width="11.33203125" style="70" bestFit="1" customWidth="1"/>
    <col min="6" max="16384" width="9.109375" style="70"/>
  </cols>
  <sheetData>
    <row r="1" spans="1:5" s="69" customFormat="1" x14ac:dyDescent="0.25"/>
    <row r="2" spans="1:5" ht="24.6" x14ac:dyDescent="0.4">
      <c r="A2" s="284" t="str">
        <f>Cover!F11</f>
        <v>Alusystems - KSA</v>
      </c>
    </row>
    <row r="3" spans="1:5" x14ac:dyDescent="0.25">
      <c r="A3" s="71" t="s">
        <v>30</v>
      </c>
    </row>
    <row r="6" spans="1:5" ht="14.4" thickBot="1" x14ac:dyDescent="0.3">
      <c r="A6" s="285"/>
      <c r="B6" s="285"/>
      <c r="C6" s="285"/>
      <c r="D6" s="285" t="s">
        <v>31</v>
      </c>
      <c r="E6" s="285" t="s">
        <v>32</v>
      </c>
    </row>
    <row r="7" spans="1:5" ht="14.4" x14ac:dyDescent="0.3">
      <c r="A7" s="286"/>
      <c r="B7" s="286"/>
      <c r="C7" s="286"/>
      <c r="D7" s="286"/>
      <c r="E7" s="286"/>
    </row>
    <row r="8" spans="1:5" ht="14.4" x14ac:dyDescent="0.3">
      <c r="A8" s="287"/>
      <c r="B8" s="225"/>
      <c r="C8" s="115"/>
      <c r="D8" s="231" t="s">
        <v>131</v>
      </c>
      <c r="E8" s="288" t="s">
        <v>33</v>
      </c>
    </row>
    <row r="9" spans="1:5" ht="14.4" x14ac:dyDescent="0.3">
      <c r="A9" s="72"/>
      <c r="C9" s="68"/>
      <c r="D9" s="231" t="s">
        <v>34</v>
      </c>
      <c r="E9" s="73" t="s">
        <v>33</v>
      </c>
    </row>
    <row r="10" spans="1:5" ht="14.4" x14ac:dyDescent="0.3">
      <c r="A10" s="72"/>
      <c r="C10" s="68"/>
      <c r="D10" s="231" t="s">
        <v>133</v>
      </c>
      <c r="E10" s="289" t="s">
        <v>35</v>
      </c>
    </row>
    <row r="11" spans="1:5" ht="14.4" x14ac:dyDescent="0.3">
      <c r="A11" s="72"/>
      <c r="C11" s="68"/>
      <c r="D11" s="231" t="s">
        <v>531</v>
      </c>
      <c r="E11" s="289" t="s">
        <v>35</v>
      </c>
    </row>
    <row r="12" spans="1:5" ht="14.4" x14ac:dyDescent="0.3">
      <c r="A12" s="72"/>
      <c r="C12" s="68"/>
      <c r="D12" s="231" t="s">
        <v>88</v>
      </c>
      <c r="E12" s="289" t="s">
        <v>35</v>
      </c>
    </row>
    <row r="13" spans="1:5" ht="14.4" x14ac:dyDescent="0.3">
      <c r="A13" s="72"/>
      <c r="C13" s="68"/>
      <c r="D13" s="231" t="s">
        <v>89</v>
      </c>
      <c r="E13" s="289" t="s">
        <v>35</v>
      </c>
    </row>
    <row r="14" spans="1:5" ht="14.4" x14ac:dyDescent="0.3">
      <c r="A14" s="72"/>
      <c r="C14" s="68"/>
      <c r="D14" s="231" t="s">
        <v>401</v>
      </c>
      <c r="E14" s="290" t="s">
        <v>37</v>
      </c>
    </row>
    <row r="15" spans="1:5" ht="14.4" x14ac:dyDescent="0.3">
      <c r="A15" s="72"/>
      <c r="C15" s="68"/>
      <c r="D15" s="231" t="s">
        <v>36</v>
      </c>
      <c r="E15" s="290" t="s">
        <v>37</v>
      </c>
    </row>
    <row r="16" spans="1:5" ht="14.4" x14ac:dyDescent="0.3">
      <c r="A16" s="72"/>
      <c r="C16" s="68"/>
      <c r="D16" s="231" t="s">
        <v>38</v>
      </c>
      <c r="E16" s="290" t="s">
        <v>37</v>
      </c>
    </row>
    <row r="17" spans="1:5" ht="14.4" x14ac:dyDescent="0.3">
      <c r="A17" s="72"/>
      <c r="C17" s="68"/>
      <c r="D17" s="231" t="s">
        <v>39</v>
      </c>
      <c r="E17" s="290" t="s">
        <v>37</v>
      </c>
    </row>
    <row r="18" spans="1:5" ht="14.4" x14ac:dyDescent="0.3">
      <c r="A18" s="72"/>
      <c r="C18" s="68"/>
      <c r="D18" s="231" t="s">
        <v>132</v>
      </c>
      <c r="E18" s="290" t="s">
        <v>37</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62760"/>
  </sheetPr>
  <dimension ref="A1:BA172"/>
  <sheetViews>
    <sheetView zoomScale="85" zoomScaleNormal="85" workbookViewId="0">
      <selection activeCell="O23" sqref="O23"/>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hidden="1" customWidth="1" outlineLevel="1"/>
    <col min="13" max="13" width="2.6640625" style="1" customWidth="1" collapsed="1"/>
    <col min="14" max="14" width="17.109375" style="1" customWidth="1"/>
    <col min="15"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355</v>
      </c>
      <c r="O3" s="1"/>
      <c r="P3" s="1"/>
      <c r="Q3" s="1"/>
      <c r="R3" s="1"/>
      <c r="S3" s="1"/>
      <c r="T3" s="1"/>
      <c r="U3" s="1"/>
      <c r="V3" s="1"/>
      <c r="W3" s="1"/>
      <c r="X3" s="1"/>
      <c r="Y3" s="1"/>
      <c r="Z3" s="1"/>
      <c r="AA3" s="1"/>
      <c r="AB3" s="1"/>
      <c r="AC3" s="1"/>
      <c r="AD3" s="1"/>
    </row>
    <row r="4" spans="1:32" x14ac:dyDescent="0.2">
      <c r="F4" s="5"/>
      <c r="N4" s="6" t="str">
        <f t="shared" ref="N4:AD4" si="0">Range</f>
        <v>Actual</v>
      </c>
      <c r="O4" s="187" t="str">
        <f t="shared" si="0"/>
        <v>Actual</v>
      </c>
      <c r="P4" s="187" t="str">
        <f t="shared" si="0"/>
        <v>Actual</v>
      </c>
      <c r="Q4" s="187" t="str">
        <f t="shared" si="0"/>
        <v>Actual</v>
      </c>
      <c r="R4" s="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10"/>
      <c r="AF6" s="10"/>
    </row>
    <row r="7" spans="1:32" ht="12.6" thickBot="1" x14ac:dyDescent="0.25">
      <c r="O7" s="1"/>
      <c r="P7" s="1"/>
      <c r="Q7" s="1"/>
      <c r="R7" s="1"/>
      <c r="S7" s="1"/>
      <c r="T7" s="1"/>
      <c r="U7" s="1"/>
      <c r="V7" s="1"/>
      <c r="W7" s="1"/>
      <c r="X7" s="1"/>
      <c r="Y7" s="1"/>
      <c r="Z7" s="1"/>
      <c r="AA7" s="1"/>
      <c r="AB7" s="1"/>
      <c r="AC7" s="1"/>
      <c r="AD7" s="1"/>
      <c r="AE7" s="10"/>
      <c r="AF7" s="10"/>
    </row>
    <row r="8" spans="1:32" ht="13.2" thickTop="1" x14ac:dyDescent="0.25">
      <c r="A8" s="11"/>
      <c r="B8" s="12" t="str">
        <f>B3</f>
        <v>Scenario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x14ac:dyDescent="0.2">
      <c r="B9" s="17"/>
      <c r="F9" s="18"/>
      <c r="N9" s="230"/>
      <c r="O9" s="19"/>
    </row>
    <row r="10" spans="1:32" ht="13.2" thickBot="1" x14ac:dyDescent="0.3">
      <c r="B10" s="297" t="s">
        <v>1046</v>
      </c>
      <c r="C10" s="298"/>
      <c r="D10" s="299"/>
      <c r="E10" s="299"/>
      <c r="F10" s="300"/>
      <c r="G10" s="299"/>
      <c r="H10" s="299"/>
      <c r="I10" s="299"/>
      <c r="J10" s="301"/>
      <c r="K10" s="299"/>
      <c r="L10" s="302"/>
      <c r="M10" s="299"/>
      <c r="N10" s="303"/>
      <c r="O10" s="304"/>
      <c r="P10" s="300"/>
    </row>
    <row r="11" spans="1:32" x14ac:dyDescent="0.2">
      <c r="B11" s="17"/>
      <c r="F11" s="18"/>
      <c r="N11" s="230"/>
      <c r="O11" s="19"/>
    </row>
    <row r="12" spans="1:32" x14ac:dyDescent="0.2">
      <c r="B12" s="17"/>
      <c r="D12" s="116" t="s">
        <v>590</v>
      </c>
      <c r="E12" s="116"/>
      <c r="F12" s="724"/>
      <c r="G12" s="116"/>
      <c r="H12" s="116"/>
      <c r="I12" s="116"/>
      <c r="J12" s="117" t="s">
        <v>1205</v>
      </c>
      <c r="K12" s="116"/>
      <c r="L12" s="725"/>
      <c r="M12" s="116"/>
      <c r="N12" s="354" t="e">
        <f>'Val - Income Approach'!R78</f>
        <v>#NAME?</v>
      </c>
      <c r="O12" s="19"/>
    </row>
    <row r="13" spans="1:32" x14ac:dyDescent="0.2">
      <c r="B13" s="17"/>
      <c r="D13" s="116" t="s">
        <v>1184</v>
      </c>
      <c r="E13" s="116"/>
      <c r="F13" s="724"/>
      <c r="G13" s="116"/>
      <c r="H13" s="116"/>
      <c r="I13" s="116"/>
      <c r="J13" s="117" t="s">
        <v>1205</v>
      </c>
      <c r="K13" s="116"/>
      <c r="L13" s="725"/>
      <c r="M13" s="116"/>
      <c r="N13" s="354" t="e">
        <f>'Val - Income Approach'!R90</f>
        <v>#NAME?</v>
      </c>
      <c r="O13" s="19"/>
    </row>
    <row r="14" spans="1:32" x14ac:dyDescent="0.2">
      <c r="B14" s="17"/>
      <c r="D14" s="116" t="s">
        <v>1185</v>
      </c>
      <c r="E14" s="116"/>
      <c r="F14" s="724"/>
      <c r="G14" s="116"/>
      <c r="H14" s="116"/>
      <c r="I14" s="116"/>
      <c r="J14" s="117" t="s">
        <v>1205</v>
      </c>
      <c r="K14" s="116"/>
      <c r="L14" s="725"/>
      <c r="M14" s="116"/>
      <c r="N14" s="354">
        <f>'Valuation Summary'!X28*1000</f>
        <v>4950000</v>
      </c>
      <c r="O14" s="19"/>
    </row>
    <row r="15" spans="1:32" ht="12.6" x14ac:dyDescent="0.2">
      <c r="B15" s="17"/>
      <c r="D15" s="116" t="s">
        <v>1186</v>
      </c>
      <c r="E15" s="116"/>
      <c r="F15" s="724"/>
      <c r="G15" s="116"/>
      <c r="H15" s="116"/>
      <c r="I15" s="116"/>
      <c r="J15" s="117" t="s">
        <v>49</v>
      </c>
      <c r="K15" s="116"/>
      <c r="L15" s="725"/>
      <c r="M15" s="116"/>
      <c r="N15" s="731">
        <f>Support!F17</f>
        <v>0.2</v>
      </c>
      <c r="O15" s="313">
        <v>2</v>
      </c>
    </row>
    <row r="16" spans="1:32" ht="12.6" x14ac:dyDescent="0.2">
      <c r="B16" s="17"/>
      <c r="D16" s="116" t="s">
        <v>1187</v>
      </c>
      <c r="E16" s="116"/>
      <c r="F16" s="724"/>
      <c r="G16" s="116"/>
      <c r="H16" s="116"/>
      <c r="I16" s="116"/>
      <c r="J16" s="117" t="s">
        <v>49</v>
      </c>
      <c r="K16" s="116"/>
      <c r="L16" s="725"/>
      <c r="M16" s="116"/>
      <c r="N16" s="731">
        <f>Support!F24</f>
        <v>0.5</v>
      </c>
      <c r="O16" s="313">
        <v>1</v>
      </c>
    </row>
    <row r="17" spans="2:15" x14ac:dyDescent="0.2">
      <c r="B17" s="17"/>
      <c r="D17" s="97"/>
      <c r="F17" s="21"/>
      <c r="G17" s="97"/>
      <c r="H17" s="97"/>
      <c r="I17" s="97"/>
      <c r="J17" s="98"/>
      <c r="K17" s="97"/>
      <c r="L17" s="99"/>
      <c r="M17" s="97"/>
      <c r="N17" s="344"/>
      <c r="O17" s="19"/>
    </row>
    <row r="18" spans="2:15" ht="12.6" x14ac:dyDescent="0.2">
      <c r="B18" s="17"/>
      <c r="D18" s="726" t="s">
        <v>532</v>
      </c>
      <c r="E18" s="726"/>
      <c r="F18" s="727"/>
      <c r="G18" s="726"/>
      <c r="H18" s="726"/>
      <c r="I18" s="726"/>
      <c r="J18" s="728" t="s">
        <v>49</v>
      </c>
      <c r="K18" s="726"/>
      <c r="L18" s="729"/>
      <c r="M18" s="726"/>
      <c r="N18" s="732">
        <f>Support!F30</f>
        <v>0.8</v>
      </c>
      <c r="O18" s="313">
        <v>3</v>
      </c>
    </row>
    <row r="19" spans="2:15" x14ac:dyDescent="0.2">
      <c r="B19" s="17"/>
      <c r="D19" s="726" t="s">
        <v>68</v>
      </c>
      <c r="E19" s="726"/>
      <c r="F19" s="727"/>
      <c r="G19" s="726"/>
      <c r="H19" s="726"/>
      <c r="I19" s="726"/>
      <c r="J19" s="728" t="s">
        <v>49</v>
      </c>
      <c r="K19" s="726"/>
      <c r="L19" s="729"/>
      <c r="M19" s="726"/>
      <c r="N19" s="730">
        <f>1-N18</f>
        <v>0.19999999999999996</v>
      </c>
      <c r="O19" s="19"/>
    </row>
    <row r="20" spans="2:15" x14ac:dyDescent="0.2">
      <c r="B20" s="17"/>
      <c r="D20" s="97"/>
      <c r="E20" s="97"/>
      <c r="F20" s="21"/>
      <c r="G20" s="97"/>
      <c r="H20" s="97"/>
      <c r="I20" s="97"/>
      <c r="J20" s="98"/>
      <c r="K20" s="97"/>
      <c r="L20" s="99"/>
      <c r="M20" s="97"/>
      <c r="N20" s="723"/>
      <c r="O20" s="19"/>
    </row>
    <row r="21" spans="2:15" x14ac:dyDescent="0.2">
      <c r="B21" s="17"/>
      <c r="D21" s="97" t="s">
        <v>1188</v>
      </c>
      <c r="E21" s="97"/>
      <c r="F21" s="21"/>
      <c r="G21" s="97"/>
      <c r="H21" s="97"/>
      <c r="I21" s="97"/>
      <c r="J21" s="98" t="s">
        <v>1191</v>
      </c>
      <c r="K21" s="97"/>
      <c r="L21" s="99"/>
      <c r="M21" s="97"/>
      <c r="N21" s="353">
        <v>163480</v>
      </c>
      <c r="O21" s="19"/>
    </row>
    <row r="22" spans="2:15" x14ac:dyDescent="0.2">
      <c r="B22" s="17"/>
      <c r="D22" s="1" t="s">
        <v>1189</v>
      </c>
      <c r="E22" s="97"/>
      <c r="F22" s="21"/>
      <c r="G22" s="97"/>
      <c r="H22" s="97"/>
      <c r="I22" s="97"/>
      <c r="J22" s="98" t="s">
        <v>1206</v>
      </c>
      <c r="K22" s="97"/>
      <c r="L22" s="99"/>
      <c r="M22" s="97"/>
      <c r="N22" s="734">
        <f>N14/N21</f>
        <v>30.278933202838267</v>
      </c>
      <c r="O22" s="19"/>
    </row>
    <row r="23" spans="2:15" x14ac:dyDescent="0.2">
      <c r="B23" s="17"/>
      <c r="E23" s="97"/>
      <c r="F23" s="21"/>
      <c r="G23" s="97"/>
      <c r="H23" s="97"/>
      <c r="I23" s="97"/>
      <c r="J23" s="98"/>
      <c r="K23" s="97"/>
      <c r="L23" s="99"/>
      <c r="M23" s="97"/>
      <c r="N23" s="734"/>
      <c r="O23" s="19"/>
    </row>
    <row r="24" spans="2:15" x14ac:dyDescent="0.2">
      <c r="B24" s="17"/>
      <c r="D24" s="1" t="s">
        <v>1192</v>
      </c>
      <c r="E24" s="97"/>
      <c r="F24" s="21"/>
      <c r="G24" s="97"/>
      <c r="H24" s="97"/>
      <c r="I24" s="97"/>
      <c r="J24" s="98" t="s">
        <v>1205</v>
      </c>
      <c r="K24" s="97"/>
      <c r="L24" s="99"/>
      <c r="M24" s="97"/>
      <c r="N24" s="353">
        <f>N14*(1+N15)</f>
        <v>5940000</v>
      </c>
      <c r="O24" s="19"/>
    </row>
    <row r="25" spans="2:15" x14ac:dyDescent="0.2">
      <c r="B25" s="17"/>
      <c r="D25" s="1" t="s">
        <v>1194</v>
      </c>
      <c r="E25" s="97"/>
      <c r="F25" s="21"/>
      <c r="G25" s="97"/>
      <c r="H25" s="97"/>
      <c r="I25" s="97"/>
      <c r="J25" s="98" t="s">
        <v>1206</v>
      </c>
      <c r="K25" s="97"/>
      <c r="L25" s="99"/>
      <c r="M25" s="97"/>
      <c r="N25" s="734">
        <f>N24/N21</f>
        <v>36.334719843405921</v>
      </c>
      <c r="O25" s="19"/>
    </row>
    <row r="26" spans="2:15" x14ac:dyDescent="0.2">
      <c r="B26" s="17"/>
      <c r="D26" s="1" t="s">
        <v>1190</v>
      </c>
      <c r="E26" s="97"/>
      <c r="F26" s="21"/>
      <c r="G26" s="97"/>
      <c r="H26" s="97"/>
      <c r="I26" s="97"/>
      <c r="J26" s="98" t="s">
        <v>1205</v>
      </c>
      <c r="K26" s="97"/>
      <c r="L26" s="99"/>
      <c r="M26" s="97"/>
      <c r="N26" s="353">
        <f>N24*N16</f>
        <v>2970000</v>
      </c>
      <c r="O26" s="19"/>
    </row>
    <row r="27" spans="2:15" x14ac:dyDescent="0.2">
      <c r="B27" s="17"/>
      <c r="E27" s="97"/>
      <c r="F27" s="21"/>
      <c r="G27" s="97"/>
      <c r="H27" s="97"/>
      <c r="I27" s="97"/>
      <c r="J27" s="98"/>
      <c r="K27" s="97"/>
      <c r="L27" s="99"/>
      <c r="M27" s="97"/>
      <c r="N27" s="734"/>
      <c r="O27" s="19"/>
    </row>
    <row r="28" spans="2:15" ht="12.6" x14ac:dyDescent="0.25">
      <c r="B28" s="17"/>
      <c r="C28" s="35" t="s">
        <v>1193</v>
      </c>
      <c r="E28" s="97"/>
      <c r="F28" s="21"/>
      <c r="G28" s="97"/>
      <c r="H28" s="97"/>
      <c r="I28" s="97"/>
      <c r="J28" s="98"/>
      <c r="K28" s="97"/>
      <c r="L28" s="99"/>
      <c r="M28" s="97"/>
      <c r="N28" s="734"/>
      <c r="O28" s="19"/>
    </row>
    <row r="29" spans="2:15" ht="12.6" x14ac:dyDescent="0.2">
      <c r="B29" s="17"/>
      <c r="D29" s="1" t="s">
        <v>1195</v>
      </c>
      <c r="J29" s="1"/>
      <c r="L29" s="1"/>
      <c r="N29" s="735" t="str">
        <f>Support!F34</f>
        <v>No</v>
      </c>
      <c r="O29" s="313">
        <v>2</v>
      </c>
    </row>
    <row r="30" spans="2:15" ht="12.6" x14ac:dyDescent="0.25">
      <c r="B30" s="17"/>
      <c r="D30" s="35" t="s">
        <v>1200</v>
      </c>
      <c r="E30" s="97"/>
      <c r="F30" s="21"/>
      <c r="G30" s="97"/>
      <c r="H30" s="97"/>
      <c r="I30" s="97"/>
      <c r="J30" s="98" t="s">
        <v>1205</v>
      </c>
      <c r="K30" s="97"/>
      <c r="L30" s="99"/>
      <c r="M30" s="97"/>
      <c r="N30" s="736">
        <f>$N$26*N18</f>
        <v>2376000</v>
      </c>
      <c r="O30" s="19"/>
    </row>
    <row r="31" spans="2:15" x14ac:dyDescent="0.2">
      <c r="B31" s="17"/>
      <c r="D31" s="80" t="s">
        <v>1198</v>
      </c>
      <c r="E31" s="97"/>
      <c r="F31" s="21"/>
      <c r="G31" s="97"/>
      <c r="H31" s="97"/>
      <c r="I31" s="97"/>
      <c r="J31" s="201" t="s">
        <v>1205</v>
      </c>
      <c r="K31" s="97"/>
      <c r="L31" s="99"/>
      <c r="M31" s="97"/>
      <c r="N31" s="353">
        <f>$N$30*O31</f>
        <v>475200</v>
      </c>
      <c r="O31" s="177">
        <v>0.2</v>
      </c>
    </row>
    <row r="32" spans="2:15" x14ac:dyDescent="0.2">
      <c r="B32" s="17"/>
      <c r="D32" s="80" t="s">
        <v>1199</v>
      </c>
      <c r="E32" s="97"/>
      <c r="F32" s="21"/>
      <c r="G32" s="97"/>
      <c r="H32" s="97"/>
      <c r="I32" s="97"/>
      <c r="J32" s="201" t="s">
        <v>1205</v>
      </c>
      <c r="K32" s="97"/>
      <c r="L32" s="99"/>
      <c r="M32" s="97"/>
      <c r="N32" s="353">
        <f>$N$30*O32</f>
        <v>1900800</v>
      </c>
      <c r="O32" s="19">
        <f>1-O31</f>
        <v>0.8</v>
      </c>
    </row>
    <row r="33" spans="1:35" ht="12.6" x14ac:dyDescent="0.25">
      <c r="B33" s="17"/>
      <c r="D33" s="35" t="s">
        <v>68</v>
      </c>
      <c r="E33" s="97"/>
      <c r="F33" s="21"/>
      <c r="G33" s="97"/>
      <c r="H33" s="97"/>
      <c r="I33" s="97"/>
      <c r="J33" s="98" t="s">
        <v>1205</v>
      </c>
      <c r="K33" s="97"/>
      <c r="L33" s="99"/>
      <c r="M33" s="97"/>
      <c r="N33" s="736">
        <f>$N$26*N19</f>
        <v>593999.99999999988</v>
      </c>
      <c r="O33" s="19"/>
    </row>
    <row r="34" spans="1:35" x14ac:dyDescent="0.2">
      <c r="B34" s="17"/>
      <c r="E34" s="97"/>
      <c r="F34" s="21"/>
      <c r="G34" s="97"/>
      <c r="H34" s="97"/>
      <c r="I34" s="97"/>
      <c r="J34" s="98"/>
      <c r="K34" s="97"/>
      <c r="L34" s="99"/>
      <c r="M34" s="97"/>
      <c r="N34" s="734"/>
      <c r="O34" s="19"/>
    </row>
    <row r="35" spans="1:35" x14ac:dyDescent="0.2">
      <c r="B35" s="17"/>
      <c r="E35" s="97"/>
      <c r="F35" s="21"/>
      <c r="G35" s="97"/>
      <c r="H35" s="97"/>
      <c r="I35" s="97"/>
      <c r="J35" s="98"/>
      <c r="K35" s="97"/>
      <c r="L35" s="99"/>
      <c r="M35" s="97"/>
      <c r="N35" s="734"/>
      <c r="O35" s="19"/>
    </row>
    <row r="36" spans="1:35" x14ac:dyDescent="0.2">
      <c r="B36" s="17"/>
      <c r="E36" s="97"/>
      <c r="F36" s="21"/>
      <c r="G36" s="97"/>
      <c r="H36" s="97"/>
      <c r="I36" s="97"/>
      <c r="J36" s="98"/>
      <c r="K36" s="97"/>
      <c r="L36" s="99"/>
      <c r="M36" s="97"/>
      <c r="N36" s="734"/>
      <c r="O36" s="19"/>
    </row>
    <row r="37" spans="1:35" x14ac:dyDescent="0.2">
      <c r="B37" s="17"/>
      <c r="E37" s="97"/>
      <c r="F37" s="21"/>
      <c r="G37" s="97"/>
      <c r="H37" s="97"/>
      <c r="I37" s="97"/>
      <c r="J37" s="98"/>
      <c r="K37" s="97"/>
      <c r="L37" s="99"/>
      <c r="M37" s="97"/>
      <c r="N37" s="734"/>
      <c r="O37" s="19"/>
    </row>
    <row r="38" spans="1:35" x14ac:dyDescent="0.2">
      <c r="B38" s="17"/>
      <c r="E38" s="97"/>
      <c r="F38" s="21"/>
      <c r="G38" s="97"/>
      <c r="H38" s="97"/>
      <c r="I38" s="97"/>
      <c r="J38" s="98"/>
      <c r="K38" s="97"/>
      <c r="L38" s="99"/>
      <c r="M38" s="97"/>
      <c r="N38" s="734"/>
      <c r="O38" s="19"/>
    </row>
    <row r="39" spans="1:35" s="32" customFormat="1" ht="13.2" thickBot="1" x14ac:dyDescent="0.3">
      <c r="A39" s="35"/>
      <c r="B39" s="35"/>
      <c r="H39" s="103"/>
      <c r="J39" s="37"/>
      <c r="L39" s="38"/>
      <c r="M39" s="103"/>
      <c r="N39" s="103"/>
      <c r="O39" s="103"/>
      <c r="P39" s="103"/>
      <c r="Q39" s="103"/>
      <c r="R39" s="103"/>
      <c r="S39" s="103"/>
      <c r="T39" s="103"/>
      <c r="U39" s="103"/>
      <c r="V39" s="103"/>
      <c r="W39" s="103"/>
      <c r="X39" s="103"/>
      <c r="Y39" s="103"/>
      <c r="Z39" s="103"/>
      <c r="AA39" s="103"/>
      <c r="AB39" s="103"/>
      <c r="AC39" s="103"/>
      <c r="AD39" s="103"/>
    </row>
    <row r="40" spans="1:35" s="10" customFormat="1" ht="13.2" thickTop="1" x14ac:dyDescent="0.25">
      <c r="A40" s="1"/>
      <c r="B40" s="39" t="s">
        <v>15</v>
      </c>
      <c r="C40" s="40"/>
      <c r="D40" s="40"/>
      <c r="E40" s="40"/>
      <c r="F40" s="41"/>
      <c r="G40" s="40"/>
      <c r="H40" s="40"/>
      <c r="I40" s="42"/>
      <c r="J40" s="42"/>
      <c r="K40" s="40"/>
      <c r="L40" s="43"/>
      <c r="M40" s="40"/>
      <c r="N40" s="42"/>
      <c r="O40" s="42"/>
      <c r="P40" s="42"/>
      <c r="Q40" s="42"/>
      <c r="R40" s="42"/>
      <c r="S40" s="42"/>
      <c r="T40" s="42"/>
      <c r="U40" s="42"/>
      <c r="V40" s="42"/>
      <c r="W40" s="42"/>
      <c r="X40" s="42"/>
      <c r="Y40" s="42"/>
      <c r="Z40" s="42"/>
      <c r="AA40" s="42"/>
      <c r="AB40" s="42"/>
      <c r="AC40" s="42"/>
      <c r="AD40" s="42"/>
      <c r="AE40" s="1"/>
    </row>
    <row r="41" spans="1:35" x14ac:dyDescent="0.2">
      <c r="A41" s="10"/>
      <c r="B41" s="10"/>
      <c r="C41" s="10"/>
      <c r="D41" s="10"/>
      <c r="E41" s="10"/>
      <c r="F41" s="10"/>
      <c r="N41" s="18"/>
      <c r="R41" s="21"/>
    </row>
    <row r="42" spans="1:35" s="18" customFormat="1" x14ac:dyDescent="0.2">
      <c r="A42" s="10"/>
      <c r="B42" s="10"/>
      <c r="C42" s="10"/>
      <c r="D42" s="10"/>
      <c r="E42" s="10"/>
      <c r="F42" s="10"/>
      <c r="G42" s="1"/>
      <c r="H42" s="1"/>
      <c r="I42" s="1"/>
      <c r="J42" s="2"/>
      <c r="K42" s="1"/>
      <c r="L42" s="3"/>
      <c r="M42" s="1"/>
      <c r="AE42" s="1"/>
      <c r="AF42" s="1"/>
      <c r="AG42" s="1"/>
      <c r="AH42" s="1"/>
      <c r="AI42" s="1"/>
    </row>
    <row r="43" spans="1:35" s="18" customFormat="1" x14ac:dyDescent="0.2">
      <c r="A43" s="10"/>
      <c r="B43" s="10"/>
      <c r="C43" s="10"/>
      <c r="D43" s="10"/>
      <c r="E43" s="10"/>
      <c r="F43" s="10"/>
      <c r="G43" s="1"/>
      <c r="H43" s="1"/>
      <c r="I43" s="1"/>
      <c r="J43" s="2"/>
      <c r="K43" s="1"/>
      <c r="L43" s="3"/>
      <c r="M43" s="1"/>
      <c r="AE43" s="1"/>
      <c r="AF43" s="1"/>
      <c r="AG43" s="1"/>
      <c r="AH43" s="1"/>
      <c r="AI43" s="1"/>
    </row>
    <row r="44" spans="1:35" s="18" customFormat="1" x14ac:dyDescent="0.2">
      <c r="A44" s="10"/>
      <c r="B44" s="10"/>
      <c r="C44" s="10"/>
      <c r="D44" s="10"/>
      <c r="E44" s="10"/>
      <c r="F44" s="10"/>
      <c r="G44" s="1"/>
      <c r="H44" s="1"/>
      <c r="I44" s="1"/>
      <c r="J44" s="2"/>
      <c r="K44" s="1"/>
      <c r="L44" s="3"/>
      <c r="M44" s="1"/>
      <c r="AE44" s="1"/>
      <c r="AF44" s="1"/>
      <c r="AG44" s="1"/>
      <c r="AH44" s="1"/>
      <c r="AI44" s="1"/>
    </row>
    <row r="45" spans="1:35" s="18" customFormat="1" x14ac:dyDescent="0.2">
      <c r="A45" s="10"/>
      <c r="B45" s="10"/>
      <c r="C45" s="10"/>
      <c r="D45" s="10"/>
      <c r="E45" s="10"/>
      <c r="F45" s="10"/>
      <c r="G45" s="1"/>
      <c r="H45" s="1"/>
      <c r="I45" s="1"/>
      <c r="J45" s="2"/>
      <c r="K45" s="1"/>
      <c r="L45" s="3"/>
      <c r="M45" s="1"/>
      <c r="AE45" s="1"/>
      <c r="AF45" s="1"/>
      <c r="AG45" s="1"/>
      <c r="AH45" s="1"/>
      <c r="AI45" s="1"/>
    </row>
    <row r="46" spans="1:35" s="18" customFormat="1" x14ac:dyDescent="0.2">
      <c r="A46" s="10"/>
      <c r="B46" s="10"/>
      <c r="C46" s="10"/>
      <c r="D46" s="10"/>
      <c r="E46" s="10"/>
      <c r="F46" s="10"/>
      <c r="G46" s="1"/>
      <c r="H46" s="1"/>
      <c r="I46" s="1"/>
      <c r="J46" s="2"/>
      <c r="K46" s="1"/>
      <c r="L46" s="3"/>
      <c r="M46" s="1"/>
      <c r="AE46" s="1"/>
      <c r="AF46" s="1"/>
      <c r="AG46" s="1"/>
      <c r="AH46" s="1"/>
      <c r="AI46" s="1"/>
    </row>
    <row r="47" spans="1:35" s="18" customFormat="1" x14ac:dyDescent="0.2">
      <c r="A47" s="10"/>
      <c r="B47" s="10"/>
      <c r="C47" s="10"/>
      <c r="D47" s="10"/>
      <c r="E47" s="10"/>
      <c r="F47" s="10"/>
      <c r="G47" s="1"/>
      <c r="H47" s="1"/>
      <c r="I47" s="1"/>
      <c r="J47" s="2"/>
      <c r="K47" s="1"/>
      <c r="L47" s="3"/>
      <c r="M47" s="1"/>
      <c r="AE47" s="1"/>
      <c r="AF47" s="1"/>
      <c r="AG47" s="1"/>
      <c r="AH47" s="1"/>
      <c r="AI47" s="1"/>
    </row>
    <row r="48" spans="1:35" s="18" customFormat="1" x14ac:dyDescent="0.2">
      <c r="A48" s="10"/>
      <c r="B48" s="10"/>
      <c r="C48" s="10"/>
      <c r="D48" s="10"/>
      <c r="E48" s="10"/>
      <c r="F48" s="10"/>
      <c r="G48" s="1"/>
      <c r="H48" s="1"/>
      <c r="I48" s="1"/>
      <c r="J48" s="2"/>
      <c r="K48" s="1"/>
      <c r="L48" s="3"/>
      <c r="M48" s="1"/>
      <c r="AE48" s="1"/>
      <c r="AF48" s="1"/>
      <c r="AG48" s="1"/>
      <c r="AH48" s="1"/>
      <c r="AI48" s="1"/>
    </row>
    <row r="49" spans="1:35" s="18" customFormat="1" x14ac:dyDescent="0.2">
      <c r="A49" s="10"/>
      <c r="B49" s="10"/>
      <c r="C49" s="10"/>
      <c r="D49" s="10"/>
      <c r="E49" s="10"/>
      <c r="F49" s="10"/>
      <c r="G49" s="1"/>
      <c r="H49" s="1"/>
      <c r="I49" s="1"/>
      <c r="J49" s="2"/>
      <c r="K49" s="1"/>
      <c r="L49" s="3"/>
      <c r="M49" s="1"/>
      <c r="AE49" s="1"/>
      <c r="AF49" s="1"/>
      <c r="AG49" s="1"/>
      <c r="AH49" s="1"/>
      <c r="AI49" s="1"/>
    </row>
    <row r="50" spans="1:35" s="18" customFormat="1" x14ac:dyDescent="0.2">
      <c r="A50" s="10"/>
      <c r="B50" s="10"/>
      <c r="C50" s="10"/>
      <c r="D50" s="10"/>
      <c r="E50" s="10"/>
      <c r="F50" s="10"/>
      <c r="G50" s="1"/>
      <c r="H50" s="1"/>
      <c r="I50" s="1"/>
      <c r="J50" s="2"/>
      <c r="K50" s="1"/>
      <c r="L50" s="3"/>
      <c r="M50" s="1"/>
      <c r="AE50" s="1"/>
      <c r="AF50" s="1"/>
      <c r="AG50" s="1"/>
      <c r="AH50" s="1"/>
      <c r="AI50" s="1"/>
    </row>
    <row r="51" spans="1:35" s="18" customFormat="1" x14ac:dyDescent="0.2">
      <c r="A51" s="10"/>
      <c r="B51" s="10"/>
      <c r="C51" s="10"/>
      <c r="D51" s="10"/>
      <c r="E51" s="10"/>
      <c r="F51" s="10"/>
      <c r="G51" s="1"/>
      <c r="H51" s="1"/>
      <c r="I51" s="1"/>
      <c r="J51" s="2"/>
      <c r="K51" s="1"/>
      <c r="L51" s="3"/>
      <c r="M51" s="1"/>
      <c r="AE51" s="1"/>
      <c r="AF51" s="1"/>
      <c r="AG51" s="1"/>
      <c r="AH51" s="1"/>
      <c r="AI51" s="1"/>
    </row>
    <row r="52" spans="1:35" s="18" customFormat="1" x14ac:dyDescent="0.2">
      <c r="A52" s="10"/>
      <c r="B52" s="10"/>
      <c r="C52" s="10"/>
      <c r="D52" s="10"/>
      <c r="E52" s="10"/>
      <c r="F52" s="10"/>
      <c r="G52" s="1"/>
      <c r="H52" s="1"/>
      <c r="I52" s="1"/>
      <c r="J52" s="2"/>
      <c r="K52" s="1"/>
      <c r="L52" s="3"/>
      <c r="M52" s="1"/>
      <c r="AE52" s="1"/>
      <c r="AF52" s="1"/>
      <c r="AG52" s="1"/>
      <c r="AH52" s="1"/>
      <c r="AI52" s="1"/>
    </row>
    <row r="53" spans="1:35" s="18" customFormat="1" x14ac:dyDescent="0.2">
      <c r="A53" s="10"/>
      <c r="B53" s="10"/>
      <c r="C53" s="10"/>
      <c r="D53" s="10"/>
      <c r="E53" s="10"/>
      <c r="F53" s="10"/>
      <c r="G53" s="1"/>
      <c r="H53" s="1"/>
      <c r="I53" s="1"/>
      <c r="J53" s="2"/>
      <c r="K53" s="1"/>
      <c r="L53" s="3"/>
      <c r="M53" s="1"/>
      <c r="AE53" s="1"/>
      <c r="AF53" s="1"/>
      <c r="AG53" s="1"/>
      <c r="AH53" s="1"/>
      <c r="AI53" s="1"/>
    </row>
    <row r="54" spans="1:35" s="18" customFormat="1" x14ac:dyDescent="0.2">
      <c r="A54" s="10"/>
      <c r="B54" s="10"/>
      <c r="C54" s="10"/>
      <c r="D54" s="10"/>
      <c r="E54" s="10"/>
      <c r="F54" s="10"/>
      <c r="G54" s="1"/>
      <c r="H54" s="1"/>
      <c r="I54" s="1"/>
      <c r="J54" s="2"/>
      <c r="K54" s="1"/>
      <c r="L54" s="3"/>
      <c r="M54" s="1"/>
      <c r="AE54" s="1"/>
      <c r="AF54" s="1"/>
      <c r="AG54" s="1"/>
      <c r="AH54" s="1"/>
      <c r="AI54" s="1"/>
    </row>
    <row r="55" spans="1:35" s="18" customFormat="1" x14ac:dyDescent="0.2">
      <c r="A55" s="10"/>
      <c r="B55" s="10"/>
      <c r="C55" s="10"/>
      <c r="D55" s="10"/>
      <c r="E55" s="10"/>
      <c r="F55" s="10"/>
      <c r="G55" s="1"/>
      <c r="H55" s="1"/>
      <c r="I55" s="1"/>
      <c r="J55" s="2"/>
      <c r="K55" s="1"/>
      <c r="L55" s="3"/>
      <c r="M55" s="1"/>
      <c r="AE55" s="1"/>
      <c r="AF55" s="1"/>
      <c r="AG55" s="1"/>
      <c r="AH55" s="1"/>
      <c r="AI55" s="1"/>
    </row>
    <row r="56" spans="1:35" s="18" customFormat="1" x14ac:dyDescent="0.2">
      <c r="A56" s="10"/>
      <c r="B56" s="10"/>
      <c r="C56" s="10"/>
      <c r="D56" s="10"/>
      <c r="E56" s="10"/>
      <c r="F56" s="10"/>
      <c r="G56" s="1"/>
      <c r="H56" s="1"/>
      <c r="I56" s="1"/>
      <c r="J56" s="2"/>
      <c r="K56" s="1"/>
      <c r="L56" s="3"/>
      <c r="M56" s="1"/>
      <c r="AE56" s="1"/>
      <c r="AF56" s="1"/>
      <c r="AG56" s="1"/>
      <c r="AH56" s="1"/>
      <c r="AI56" s="1"/>
    </row>
    <row r="57" spans="1:35" s="18" customFormat="1" x14ac:dyDescent="0.2">
      <c r="A57" s="10"/>
      <c r="B57" s="10"/>
      <c r="C57" s="10"/>
      <c r="D57" s="10"/>
      <c r="E57" s="10"/>
      <c r="F57" s="10"/>
      <c r="G57" s="1"/>
      <c r="H57" s="1"/>
      <c r="I57" s="1"/>
      <c r="J57" s="2"/>
      <c r="K57" s="1"/>
      <c r="L57" s="3"/>
      <c r="M57" s="1"/>
      <c r="AE57" s="1"/>
      <c r="AF57" s="1"/>
      <c r="AG57" s="1"/>
      <c r="AH57" s="1"/>
      <c r="AI57" s="1"/>
    </row>
    <row r="58" spans="1:35" s="18" customFormat="1" x14ac:dyDescent="0.2">
      <c r="A58" s="10"/>
      <c r="B58" s="10"/>
      <c r="C58" s="10"/>
      <c r="D58" s="10"/>
      <c r="E58" s="10"/>
      <c r="F58" s="10"/>
      <c r="G58" s="1"/>
      <c r="H58" s="1"/>
      <c r="I58" s="1"/>
      <c r="J58" s="2"/>
      <c r="K58" s="1"/>
      <c r="L58" s="3"/>
      <c r="M58" s="1"/>
      <c r="AE58" s="1"/>
      <c r="AF58" s="1"/>
      <c r="AG58" s="1"/>
      <c r="AH58" s="1"/>
      <c r="AI58" s="1"/>
    </row>
    <row r="59" spans="1:35" s="18" customFormat="1" x14ac:dyDescent="0.2">
      <c r="A59" s="10"/>
      <c r="B59" s="10"/>
      <c r="C59" s="10"/>
      <c r="D59" s="10"/>
      <c r="E59" s="10"/>
      <c r="F59" s="10"/>
      <c r="G59" s="1"/>
      <c r="H59" s="1"/>
      <c r="I59" s="1"/>
      <c r="J59" s="2"/>
      <c r="K59" s="1"/>
      <c r="L59" s="3"/>
      <c r="M59" s="1"/>
      <c r="AE59" s="1"/>
      <c r="AF59" s="1"/>
      <c r="AG59" s="1"/>
      <c r="AH59" s="1"/>
      <c r="AI59" s="1"/>
    </row>
    <row r="60" spans="1:35" s="18" customFormat="1" x14ac:dyDescent="0.2">
      <c r="A60" s="10"/>
      <c r="B60" s="10"/>
      <c r="C60" s="10"/>
      <c r="D60" s="10"/>
      <c r="E60" s="10"/>
      <c r="F60" s="10"/>
      <c r="G60" s="1"/>
      <c r="H60" s="1"/>
      <c r="I60" s="1"/>
      <c r="J60" s="2"/>
      <c r="K60" s="1"/>
      <c r="L60" s="3"/>
      <c r="M60" s="1"/>
      <c r="AE60" s="1"/>
      <c r="AF60" s="1"/>
      <c r="AG60" s="1"/>
      <c r="AH60" s="1"/>
      <c r="AI60" s="1"/>
    </row>
    <row r="61" spans="1:35" s="18" customFormat="1" x14ac:dyDescent="0.2">
      <c r="A61" s="10"/>
      <c r="B61" s="10"/>
      <c r="C61" s="10"/>
      <c r="D61" s="10"/>
      <c r="E61" s="10"/>
      <c r="F61" s="10"/>
      <c r="G61" s="1"/>
      <c r="H61" s="1"/>
      <c r="I61" s="1"/>
      <c r="J61" s="2"/>
      <c r="K61" s="1"/>
      <c r="L61" s="3"/>
      <c r="M61" s="1"/>
      <c r="AE61" s="1"/>
      <c r="AF61" s="1"/>
      <c r="AG61" s="1"/>
      <c r="AH61" s="1"/>
      <c r="AI61" s="1"/>
    </row>
    <row r="62" spans="1:35" s="18" customFormat="1" x14ac:dyDescent="0.2">
      <c r="A62" s="10"/>
      <c r="B62" s="10"/>
      <c r="C62" s="10"/>
      <c r="D62" s="10"/>
      <c r="E62" s="10"/>
      <c r="F62" s="10"/>
      <c r="G62" s="1"/>
      <c r="H62" s="1"/>
      <c r="I62" s="1"/>
      <c r="J62" s="2"/>
      <c r="K62" s="1"/>
      <c r="L62" s="3"/>
      <c r="M62" s="1"/>
      <c r="AE62" s="1"/>
      <c r="AF62" s="1"/>
      <c r="AG62" s="1"/>
      <c r="AH62" s="1"/>
      <c r="AI62" s="1"/>
    </row>
    <row r="63" spans="1:35" s="18" customFormat="1" x14ac:dyDescent="0.2">
      <c r="A63" s="10"/>
      <c r="B63" s="10"/>
      <c r="C63" s="10"/>
      <c r="D63" s="10"/>
      <c r="E63" s="10"/>
      <c r="F63" s="10"/>
      <c r="G63" s="1"/>
      <c r="H63" s="1"/>
      <c r="I63" s="1"/>
      <c r="J63" s="2"/>
      <c r="K63" s="1"/>
      <c r="L63" s="3"/>
      <c r="M63" s="1"/>
      <c r="AE63" s="1"/>
      <c r="AF63" s="1"/>
      <c r="AG63" s="1"/>
      <c r="AH63" s="1"/>
      <c r="AI63" s="1"/>
    </row>
    <row r="64" spans="1:35" s="18" customFormat="1" x14ac:dyDescent="0.2">
      <c r="A64" s="10"/>
      <c r="B64" s="10"/>
      <c r="C64" s="10"/>
      <c r="D64" s="10"/>
      <c r="E64" s="10"/>
      <c r="F64" s="10"/>
      <c r="G64" s="1"/>
      <c r="H64" s="1"/>
      <c r="I64" s="1"/>
      <c r="J64" s="2"/>
      <c r="K64" s="1"/>
      <c r="L64" s="3"/>
      <c r="M64" s="1"/>
      <c r="AE64" s="1"/>
      <c r="AF64" s="1"/>
      <c r="AG64" s="1"/>
      <c r="AH64" s="1"/>
      <c r="AI64" s="1"/>
    </row>
    <row r="65" spans="1:35" s="18" customFormat="1" x14ac:dyDescent="0.2">
      <c r="A65" s="10"/>
      <c r="B65" s="10"/>
      <c r="C65" s="10"/>
      <c r="D65" s="10"/>
      <c r="E65" s="10"/>
      <c r="F65" s="10"/>
      <c r="G65" s="1"/>
      <c r="H65" s="1"/>
      <c r="I65" s="1"/>
      <c r="J65" s="2"/>
      <c r="K65" s="1"/>
      <c r="L65" s="3"/>
      <c r="M65" s="1"/>
      <c r="AE65" s="1"/>
      <c r="AF65" s="1"/>
      <c r="AG65" s="1"/>
      <c r="AH65" s="1"/>
      <c r="AI65" s="1"/>
    </row>
    <row r="66" spans="1:35" s="18" customFormat="1" x14ac:dyDescent="0.2">
      <c r="A66" s="10"/>
      <c r="B66" s="10"/>
      <c r="C66" s="10"/>
      <c r="D66" s="10"/>
      <c r="E66" s="10"/>
      <c r="F66" s="10"/>
      <c r="G66" s="1"/>
      <c r="H66" s="1"/>
      <c r="I66" s="1"/>
      <c r="J66" s="2"/>
      <c r="K66" s="1"/>
      <c r="L66" s="3"/>
      <c r="M66" s="1"/>
      <c r="AE66" s="1"/>
      <c r="AF66" s="1"/>
      <c r="AG66" s="1"/>
      <c r="AH66" s="1"/>
      <c r="AI66" s="1"/>
    </row>
    <row r="67" spans="1:35" s="18" customFormat="1" x14ac:dyDescent="0.2">
      <c r="A67" s="10"/>
      <c r="B67" s="10"/>
      <c r="C67" s="10"/>
      <c r="D67" s="10"/>
      <c r="E67" s="10"/>
      <c r="F67" s="10"/>
      <c r="G67" s="1"/>
      <c r="H67" s="1"/>
      <c r="I67" s="1"/>
      <c r="J67" s="2"/>
      <c r="K67" s="1"/>
      <c r="L67" s="3"/>
      <c r="M67" s="1"/>
      <c r="AE67" s="1"/>
      <c r="AF67" s="1"/>
      <c r="AG67" s="1"/>
      <c r="AH67" s="1"/>
      <c r="AI67" s="1"/>
    </row>
    <row r="68" spans="1:35" s="18" customFormat="1" x14ac:dyDescent="0.2">
      <c r="A68" s="10"/>
      <c r="B68" s="10"/>
      <c r="C68" s="10"/>
      <c r="D68" s="10"/>
      <c r="E68" s="10"/>
      <c r="F68" s="10"/>
      <c r="G68" s="1"/>
      <c r="H68" s="1"/>
      <c r="I68" s="1"/>
      <c r="J68" s="2"/>
      <c r="K68" s="1"/>
      <c r="L68" s="3"/>
      <c r="M68" s="1"/>
      <c r="AE68" s="1"/>
      <c r="AF68" s="1"/>
      <c r="AG68" s="1"/>
      <c r="AH68" s="1"/>
      <c r="AI68" s="1"/>
    </row>
    <row r="69" spans="1:35" s="18" customFormat="1" x14ac:dyDescent="0.2">
      <c r="A69" s="10"/>
      <c r="B69" s="10"/>
      <c r="C69" s="10"/>
      <c r="D69" s="10"/>
      <c r="E69" s="10"/>
      <c r="F69" s="10"/>
      <c r="G69" s="1"/>
      <c r="H69" s="1"/>
      <c r="I69" s="1"/>
      <c r="J69" s="2"/>
      <c r="K69" s="1"/>
      <c r="L69" s="3"/>
      <c r="M69" s="1"/>
      <c r="AE69" s="1"/>
      <c r="AF69" s="1"/>
      <c r="AG69" s="1"/>
      <c r="AH69" s="1"/>
      <c r="AI69" s="1"/>
    </row>
    <row r="70" spans="1:35" s="18" customFormat="1" x14ac:dyDescent="0.2">
      <c r="A70" s="10"/>
      <c r="B70" s="10"/>
      <c r="C70" s="10"/>
      <c r="D70" s="10"/>
      <c r="E70" s="10"/>
      <c r="F70" s="10"/>
      <c r="G70" s="1"/>
      <c r="H70" s="1"/>
      <c r="I70" s="1"/>
      <c r="J70" s="2"/>
      <c r="K70" s="1"/>
      <c r="L70" s="3"/>
      <c r="M70" s="1"/>
      <c r="AE70" s="1"/>
      <c r="AF70" s="1"/>
      <c r="AG70" s="1"/>
      <c r="AH70" s="1"/>
      <c r="AI70" s="1"/>
    </row>
    <row r="71" spans="1:35" s="18" customFormat="1" x14ac:dyDescent="0.2">
      <c r="A71" s="10"/>
      <c r="B71" s="10"/>
      <c r="C71" s="10"/>
      <c r="D71" s="10"/>
      <c r="E71" s="10"/>
      <c r="F71" s="10"/>
      <c r="G71" s="1"/>
      <c r="H71" s="1"/>
      <c r="I71" s="1"/>
      <c r="J71" s="2"/>
      <c r="K71" s="1"/>
      <c r="L71" s="3"/>
      <c r="M71" s="1"/>
      <c r="AE71" s="1"/>
      <c r="AF71" s="1"/>
      <c r="AG71" s="1"/>
      <c r="AH71" s="1"/>
      <c r="AI71" s="1"/>
    </row>
    <row r="72" spans="1:35" s="18" customFormat="1" x14ac:dyDescent="0.2">
      <c r="A72" s="10"/>
      <c r="B72" s="10"/>
      <c r="C72" s="10"/>
      <c r="D72" s="10"/>
      <c r="E72" s="10"/>
      <c r="F72" s="10"/>
      <c r="G72" s="1"/>
      <c r="H72" s="1"/>
      <c r="I72" s="1"/>
      <c r="J72" s="2"/>
      <c r="K72" s="1"/>
      <c r="L72" s="3"/>
      <c r="M72" s="1"/>
      <c r="AE72" s="1"/>
      <c r="AF72" s="1"/>
      <c r="AG72" s="1"/>
      <c r="AH72" s="1"/>
      <c r="AI72" s="1"/>
    </row>
    <row r="73" spans="1:35" s="18" customFormat="1" x14ac:dyDescent="0.2">
      <c r="A73" s="10"/>
      <c r="B73" s="10"/>
      <c r="C73" s="10"/>
      <c r="D73" s="10"/>
      <c r="E73" s="10"/>
      <c r="F73" s="10"/>
      <c r="G73" s="1"/>
      <c r="H73" s="1"/>
      <c r="I73" s="1"/>
      <c r="J73" s="2"/>
      <c r="K73" s="1"/>
      <c r="L73" s="3"/>
      <c r="M73" s="1"/>
      <c r="AE73" s="1"/>
      <c r="AF73" s="1"/>
      <c r="AG73" s="1"/>
      <c r="AH73" s="1"/>
      <c r="AI73" s="1"/>
    </row>
    <row r="74" spans="1:35" s="18" customFormat="1" x14ac:dyDescent="0.2">
      <c r="A74" s="10"/>
      <c r="B74" s="10"/>
      <c r="C74" s="10"/>
      <c r="D74" s="10"/>
      <c r="E74" s="10"/>
      <c r="F74" s="10"/>
      <c r="G74" s="1"/>
      <c r="H74" s="1"/>
      <c r="I74" s="1"/>
      <c r="J74" s="2"/>
      <c r="K74" s="1"/>
      <c r="L74" s="3"/>
      <c r="M74" s="1"/>
      <c r="AE74" s="1"/>
      <c r="AF74" s="1"/>
      <c r="AG74" s="1"/>
      <c r="AH74" s="1"/>
      <c r="AI74" s="1"/>
    </row>
    <row r="75" spans="1:35" s="18" customFormat="1" x14ac:dyDescent="0.2">
      <c r="A75" s="10"/>
      <c r="B75" s="10"/>
      <c r="C75" s="10"/>
      <c r="D75" s="10"/>
      <c r="E75" s="10"/>
      <c r="F75" s="10"/>
      <c r="G75" s="1"/>
      <c r="H75" s="1"/>
      <c r="I75" s="1"/>
      <c r="J75" s="2"/>
      <c r="K75" s="1"/>
      <c r="L75" s="3"/>
      <c r="M75" s="1"/>
      <c r="AE75" s="1"/>
      <c r="AF75" s="1"/>
      <c r="AG75" s="1"/>
      <c r="AH75" s="1"/>
      <c r="AI75" s="1"/>
    </row>
    <row r="76" spans="1:35" s="18" customFormat="1" x14ac:dyDescent="0.2">
      <c r="A76" s="10"/>
      <c r="B76" s="10"/>
      <c r="C76" s="10"/>
      <c r="D76" s="10"/>
      <c r="E76" s="10"/>
      <c r="F76" s="10"/>
      <c r="G76" s="1"/>
      <c r="H76" s="1"/>
      <c r="I76" s="1"/>
      <c r="J76" s="2"/>
      <c r="K76" s="1"/>
      <c r="L76" s="3"/>
      <c r="M76" s="1"/>
      <c r="AE76" s="1"/>
      <c r="AF76" s="1"/>
      <c r="AG76" s="1"/>
      <c r="AH76" s="1"/>
      <c r="AI76" s="1"/>
    </row>
    <row r="77" spans="1:35" s="18" customFormat="1" x14ac:dyDescent="0.2">
      <c r="A77" s="10"/>
      <c r="B77" s="10"/>
      <c r="C77" s="10"/>
      <c r="D77" s="10"/>
      <c r="E77" s="10"/>
      <c r="F77" s="10"/>
      <c r="G77" s="1"/>
      <c r="H77" s="1"/>
      <c r="I77" s="1"/>
      <c r="J77" s="2"/>
      <c r="K77" s="1"/>
      <c r="L77" s="3"/>
      <c r="M77" s="1"/>
      <c r="AE77" s="1"/>
      <c r="AF77" s="1"/>
      <c r="AG77" s="1"/>
      <c r="AH77" s="1"/>
      <c r="AI77" s="1"/>
    </row>
    <row r="78" spans="1:35" s="18" customFormat="1" x14ac:dyDescent="0.2">
      <c r="A78" s="10"/>
      <c r="B78" s="10"/>
      <c r="C78" s="10"/>
      <c r="D78" s="10"/>
      <c r="E78" s="10"/>
      <c r="F78" s="10"/>
      <c r="G78" s="1"/>
      <c r="H78" s="1"/>
      <c r="I78" s="1"/>
      <c r="J78" s="2"/>
      <c r="K78" s="1"/>
      <c r="L78" s="3"/>
      <c r="M78" s="1"/>
      <c r="AE78" s="1"/>
      <c r="AF78" s="1"/>
      <c r="AG78" s="1"/>
      <c r="AH78" s="1"/>
      <c r="AI78" s="1"/>
    </row>
    <row r="79" spans="1:35" s="18" customFormat="1" x14ac:dyDescent="0.2">
      <c r="A79" s="10"/>
      <c r="B79" s="10"/>
      <c r="C79" s="10"/>
      <c r="D79" s="10"/>
      <c r="E79" s="10"/>
      <c r="F79" s="10"/>
      <c r="G79" s="1"/>
      <c r="H79" s="1"/>
      <c r="I79" s="1"/>
      <c r="J79" s="2"/>
      <c r="K79" s="1"/>
      <c r="L79" s="3"/>
      <c r="M79" s="1"/>
      <c r="AE79" s="1"/>
      <c r="AF79" s="1"/>
      <c r="AG79" s="1"/>
      <c r="AH79" s="1"/>
      <c r="AI79" s="1"/>
    </row>
    <row r="80" spans="1:35" s="18" customFormat="1" x14ac:dyDescent="0.2">
      <c r="A80" s="10"/>
      <c r="B80" s="10"/>
      <c r="C80" s="10"/>
      <c r="D80" s="10"/>
      <c r="E80" s="10"/>
      <c r="F80" s="10"/>
      <c r="G80" s="1"/>
      <c r="H80" s="1"/>
      <c r="I80" s="1"/>
      <c r="J80" s="2"/>
      <c r="K80" s="1"/>
      <c r="L80" s="3"/>
      <c r="M80" s="1"/>
      <c r="AE80" s="1"/>
      <c r="AF80" s="1"/>
      <c r="AG80" s="1"/>
      <c r="AH80" s="1"/>
      <c r="AI80" s="1"/>
    </row>
    <row r="81" spans="1:35" s="18" customFormat="1" x14ac:dyDescent="0.2">
      <c r="A81" s="10"/>
      <c r="B81" s="10"/>
      <c r="C81" s="10"/>
      <c r="D81" s="10"/>
      <c r="E81" s="10"/>
      <c r="F81" s="10"/>
      <c r="G81" s="1"/>
      <c r="H81" s="1"/>
      <c r="I81" s="1"/>
      <c r="J81" s="2"/>
      <c r="K81" s="1"/>
      <c r="L81" s="3"/>
      <c r="M81" s="1"/>
      <c r="AE81" s="1"/>
      <c r="AF81" s="1"/>
      <c r="AG81" s="1"/>
      <c r="AH81" s="1"/>
      <c r="AI81" s="1"/>
    </row>
    <row r="82" spans="1:35" s="18" customFormat="1" x14ac:dyDescent="0.2">
      <c r="A82" s="10"/>
      <c r="B82" s="10"/>
      <c r="C82" s="10"/>
      <c r="D82" s="10"/>
      <c r="E82" s="10"/>
      <c r="F82" s="10"/>
      <c r="G82" s="1"/>
      <c r="H82" s="1"/>
      <c r="I82" s="1"/>
      <c r="J82" s="2"/>
      <c r="K82" s="1"/>
      <c r="L82" s="3"/>
      <c r="M82" s="1"/>
      <c r="AE82" s="1"/>
      <c r="AF82" s="1"/>
      <c r="AG82" s="1"/>
      <c r="AH82" s="1"/>
      <c r="AI82" s="1"/>
    </row>
    <row r="83" spans="1:35" s="18" customFormat="1" x14ac:dyDescent="0.2">
      <c r="A83" s="10"/>
      <c r="B83" s="10"/>
      <c r="C83" s="10"/>
      <c r="D83" s="10"/>
      <c r="E83" s="10"/>
      <c r="F83" s="10"/>
      <c r="G83" s="1"/>
      <c r="H83" s="1"/>
      <c r="I83" s="1"/>
      <c r="J83" s="2"/>
      <c r="K83" s="1"/>
      <c r="L83" s="3"/>
      <c r="M83" s="1"/>
      <c r="AE83" s="1"/>
      <c r="AF83" s="1"/>
      <c r="AG83" s="1"/>
      <c r="AH83" s="1"/>
      <c r="AI83" s="1"/>
    </row>
    <row r="84" spans="1:35" s="18" customFormat="1" x14ac:dyDescent="0.2">
      <c r="A84" s="10"/>
      <c r="B84" s="10"/>
      <c r="C84" s="10"/>
      <c r="D84" s="10"/>
      <c r="E84" s="10"/>
      <c r="F84" s="10"/>
      <c r="G84" s="1"/>
      <c r="H84" s="1"/>
      <c r="I84" s="1"/>
      <c r="J84" s="2"/>
      <c r="K84" s="1"/>
      <c r="L84" s="3"/>
      <c r="M84" s="1"/>
      <c r="AE84" s="1"/>
      <c r="AF84" s="1"/>
      <c r="AG84" s="1"/>
      <c r="AH84" s="1"/>
      <c r="AI84" s="1"/>
    </row>
    <row r="85" spans="1:35" s="18" customFormat="1" x14ac:dyDescent="0.2">
      <c r="A85" s="10"/>
      <c r="B85" s="10"/>
      <c r="C85" s="10"/>
      <c r="D85" s="10"/>
      <c r="E85" s="10"/>
      <c r="F85" s="10"/>
      <c r="G85" s="1"/>
      <c r="H85" s="1"/>
      <c r="I85" s="1"/>
      <c r="J85" s="2"/>
      <c r="K85" s="1"/>
      <c r="L85" s="3"/>
      <c r="M85" s="1"/>
      <c r="AE85" s="1"/>
      <c r="AF85" s="1"/>
      <c r="AG85" s="1"/>
      <c r="AH85" s="1"/>
      <c r="AI85" s="1"/>
    </row>
    <row r="86" spans="1:35" s="18" customFormat="1" x14ac:dyDescent="0.2">
      <c r="A86" s="10"/>
      <c r="B86" s="10"/>
      <c r="C86" s="10"/>
      <c r="D86" s="10"/>
      <c r="E86" s="10"/>
      <c r="F86" s="10"/>
      <c r="G86" s="1"/>
      <c r="H86" s="1"/>
      <c r="I86" s="1"/>
      <c r="J86" s="2"/>
      <c r="K86" s="1"/>
      <c r="L86" s="3"/>
      <c r="M86" s="1"/>
      <c r="AE86" s="1"/>
      <c r="AF86" s="1"/>
      <c r="AG86" s="1"/>
      <c r="AH86" s="1"/>
      <c r="AI86" s="1"/>
    </row>
    <row r="87" spans="1:35" s="18" customFormat="1" x14ac:dyDescent="0.2">
      <c r="A87" s="10"/>
      <c r="B87" s="10"/>
      <c r="C87" s="10"/>
      <c r="D87" s="10"/>
      <c r="E87" s="10"/>
      <c r="F87" s="10"/>
      <c r="G87" s="1"/>
      <c r="H87" s="1"/>
      <c r="I87" s="1"/>
      <c r="J87" s="2"/>
      <c r="K87" s="1"/>
      <c r="L87" s="3"/>
      <c r="M87" s="1"/>
      <c r="AE87" s="1"/>
      <c r="AF87" s="1"/>
      <c r="AG87" s="1"/>
      <c r="AH87" s="1"/>
      <c r="AI87" s="1"/>
    </row>
    <row r="88" spans="1:35" s="18" customFormat="1" x14ac:dyDescent="0.2">
      <c r="A88" s="10"/>
      <c r="B88" s="10"/>
      <c r="C88" s="10"/>
      <c r="D88" s="10"/>
      <c r="E88" s="10"/>
      <c r="F88" s="10"/>
      <c r="G88" s="1"/>
      <c r="H88" s="1"/>
      <c r="I88" s="1"/>
      <c r="J88" s="2"/>
      <c r="K88" s="1"/>
      <c r="L88" s="3"/>
      <c r="M88" s="1"/>
      <c r="AE88" s="1"/>
      <c r="AF88" s="1"/>
      <c r="AG88" s="1"/>
      <c r="AH88" s="1"/>
      <c r="AI88" s="1"/>
    </row>
    <row r="89" spans="1:35" s="18" customFormat="1" x14ac:dyDescent="0.2">
      <c r="A89" s="10"/>
      <c r="B89" s="10"/>
      <c r="C89" s="10"/>
      <c r="D89" s="10"/>
      <c r="E89" s="10"/>
      <c r="F89" s="10"/>
      <c r="G89" s="1"/>
      <c r="H89" s="1"/>
      <c r="I89" s="1"/>
      <c r="J89" s="2"/>
      <c r="K89" s="1"/>
      <c r="L89" s="3"/>
      <c r="M89" s="1"/>
      <c r="AE89" s="1"/>
      <c r="AF89" s="1"/>
      <c r="AG89" s="1"/>
      <c r="AH89" s="1"/>
      <c r="AI89" s="1"/>
    </row>
    <row r="90" spans="1:35" s="18" customFormat="1" x14ac:dyDescent="0.2">
      <c r="A90" s="10"/>
      <c r="B90" s="10"/>
      <c r="C90" s="10"/>
      <c r="D90" s="10"/>
      <c r="E90" s="10"/>
      <c r="F90" s="10"/>
      <c r="G90" s="1"/>
      <c r="H90" s="1"/>
      <c r="I90" s="1"/>
      <c r="J90" s="2"/>
      <c r="K90" s="1"/>
      <c r="L90" s="3"/>
      <c r="M90" s="1"/>
      <c r="AE90" s="1"/>
      <c r="AF90" s="1"/>
      <c r="AG90" s="1"/>
      <c r="AH90" s="1"/>
      <c r="AI90" s="1"/>
    </row>
    <row r="91" spans="1:35" s="18" customFormat="1" x14ac:dyDescent="0.2">
      <c r="A91" s="10"/>
      <c r="B91" s="10"/>
      <c r="C91" s="10"/>
      <c r="D91" s="10"/>
      <c r="E91" s="10"/>
      <c r="F91" s="10"/>
      <c r="G91" s="1"/>
      <c r="H91" s="1"/>
      <c r="I91" s="1"/>
      <c r="J91" s="2"/>
      <c r="K91" s="1"/>
      <c r="L91" s="3"/>
      <c r="M91" s="1"/>
      <c r="AE91" s="1"/>
      <c r="AF91" s="1"/>
      <c r="AG91" s="1"/>
      <c r="AH91" s="1"/>
      <c r="AI91" s="1"/>
    </row>
    <row r="92" spans="1:35" s="18" customFormat="1" x14ac:dyDescent="0.2">
      <c r="A92" s="10"/>
      <c r="B92" s="10"/>
      <c r="C92" s="10"/>
      <c r="D92" s="10"/>
      <c r="E92" s="10"/>
      <c r="F92" s="10"/>
      <c r="G92" s="1"/>
      <c r="H92" s="1"/>
      <c r="I92" s="1"/>
      <c r="J92" s="2"/>
      <c r="K92" s="1"/>
      <c r="L92" s="3"/>
      <c r="M92" s="1"/>
      <c r="AE92" s="1"/>
      <c r="AF92" s="1"/>
      <c r="AG92" s="1"/>
      <c r="AH92" s="1"/>
      <c r="AI92" s="1"/>
    </row>
    <row r="93" spans="1:35" s="18" customFormat="1" x14ac:dyDescent="0.2">
      <c r="A93" s="10"/>
      <c r="B93" s="10"/>
      <c r="C93" s="10"/>
      <c r="D93" s="10"/>
      <c r="E93" s="10"/>
      <c r="F93" s="10"/>
      <c r="G93" s="1"/>
      <c r="H93" s="1"/>
      <c r="I93" s="1"/>
      <c r="J93" s="2"/>
      <c r="K93" s="1"/>
      <c r="L93" s="3"/>
      <c r="M93" s="1"/>
      <c r="AE93" s="1"/>
      <c r="AF93" s="1"/>
      <c r="AG93" s="1"/>
      <c r="AH93" s="1"/>
      <c r="AI93" s="1"/>
    </row>
    <row r="94" spans="1:35" s="18" customFormat="1" x14ac:dyDescent="0.2">
      <c r="A94" s="10"/>
      <c r="B94" s="10"/>
      <c r="C94" s="10"/>
      <c r="D94" s="10"/>
      <c r="E94" s="10"/>
      <c r="F94" s="10"/>
      <c r="G94" s="1"/>
      <c r="H94" s="1"/>
      <c r="I94" s="1"/>
      <c r="J94" s="2"/>
      <c r="K94" s="1"/>
      <c r="L94" s="3"/>
      <c r="M94" s="1"/>
      <c r="AE94" s="1"/>
      <c r="AF94" s="1"/>
      <c r="AG94" s="1"/>
      <c r="AH94" s="1"/>
      <c r="AI94" s="1"/>
    </row>
    <row r="95" spans="1:35" s="18" customFormat="1" x14ac:dyDescent="0.2">
      <c r="A95" s="10"/>
      <c r="B95" s="10"/>
      <c r="C95" s="10"/>
      <c r="D95" s="10"/>
      <c r="E95" s="10"/>
      <c r="F95" s="10"/>
      <c r="G95" s="1"/>
      <c r="H95" s="1"/>
      <c r="I95" s="1"/>
      <c r="J95" s="2"/>
      <c r="K95" s="1"/>
      <c r="L95" s="3"/>
      <c r="M95" s="1"/>
      <c r="AE95" s="1"/>
      <c r="AF95" s="1"/>
      <c r="AG95" s="1"/>
      <c r="AH95" s="1"/>
      <c r="AI95" s="1"/>
    </row>
    <row r="96" spans="1:35" s="18" customFormat="1" x14ac:dyDescent="0.2">
      <c r="A96" s="10"/>
      <c r="B96" s="10"/>
      <c r="C96" s="10"/>
      <c r="D96" s="10"/>
      <c r="E96" s="10"/>
      <c r="F96" s="10"/>
      <c r="G96" s="1"/>
      <c r="H96" s="1"/>
      <c r="I96" s="1"/>
      <c r="J96" s="2"/>
      <c r="K96" s="1"/>
      <c r="L96" s="3"/>
      <c r="M96" s="1"/>
      <c r="AE96" s="1"/>
      <c r="AF96" s="1"/>
      <c r="AG96" s="1"/>
      <c r="AH96" s="1"/>
      <c r="AI96" s="1"/>
    </row>
    <row r="97" spans="1:35" s="18" customFormat="1" x14ac:dyDescent="0.2">
      <c r="A97" s="10"/>
      <c r="B97" s="10"/>
      <c r="C97" s="10"/>
      <c r="D97" s="10"/>
      <c r="E97" s="10"/>
      <c r="F97" s="10"/>
      <c r="G97" s="1"/>
      <c r="H97" s="1"/>
      <c r="I97" s="1"/>
      <c r="J97" s="2"/>
      <c r="K97" s="1"/>
      <c r="L97" s="3"/>
      <c r="M97" s="1"/>
      <c r="AE97" s="1"/>
      <c r="AF97" s="1"/>
      <c r="AG97" s="1"/>
      <c r="AH97" s="1"/>
      <c r="AI97" s="1"/>
    </row>
    <row r="98" spans="1:35" s="18" customFormat="1" x14ac:dyDescent="0.2">
      <c r="A98" s="10"/>
      <c r="B98" s="10"/>
      <c r="C98" s="10"/>
      <c r="D98" s="10"/>
      <c r="E98" s="10"/>
      <c r="F98" s="10"/>
      <c r="G98" s="1"/>
      <c r="H98" s="1"/>
      <c r="I98" s="1"/>
      <c r="J98" s="2"/>
      <c r="K98" s="1"/>
      <c r="L98" s="3"/>
      <c r="M98" s="1"/>
      <c r="AE98" s="1"/>
      <c r="AF98" s="1"/>
      <c r="AG98" s="1"/>
      <c r="AH98" s="1"/>
      <c r="AI98" s="1"/>
    </row>
    <row r="99" spans="1:35" s="18" customFormat="1" x14ac:dyDescent="0.2">
      <c r="A99" s="10"/>
      <c r="B99" s="10"/>
      <c r="C99" s="10"/>
      <c r="D99" s="10"/>
      <c r="E99" s="10"/>
      <c r="F99" s="10"/>
      <c r="G99" s="1"/>
      <c r="H99" s="1"/>
      <c r="I99" s="1"/>
      <c r="J99" s="2"/>
      <c r="K99" s="1"/>
      <c r="L99" s="3"/>
      <c r="M99" s="1"/>
      <c r="AE99" s="1"/>
      <c r="AF99" s="1"/>
      <c r="AG99" s="1"/>
      <c r="AH99" s="1"/>
      <c r="AI99" s="1"/>
    </row>
    <row r="100" spans="1:35" s="18" customFormat="1" x14ac:dyDescent="0.2">
      <c r="A100" s="10"/>
      <c r="B100" s="10"/>
      <c r="C100" s="10"/>
      <c r="D100" s="10"/>
      <c r="E100" s="10"/>
      <c r="F100" s="10"/>
      <c r="G100" s="1"/>
      <c r="H100" s="1"/>
      <c r="I100" s="1"/>
      <c r="J100" s="2"/>
      <c r="K100" s="1"/>
      <c r="L100" s="3"/>
      <c r="M100" s="1"/>
      <c r="AE100" s="1"/>
      <c r="AF100" s="1"/>
      <c r="AG100" s="1"/>
      <c r="AH100" s="1"/>
      <c r="AI100" s="1"/>
    </row>
    <row r="101" spans="1:35" s="18" customFormat="1" x14ac:dyDescent="0.2">
      <c r="A101" s="10"/>
      <c r="B101" s="10"/>
      <c r="C101" s="10"/>
      <c r="D101" s="10"/>
      <c r="E101" s="10"/>
      <c r="F101" s="10"/>
      <c r="G101" s="1"/>
      <c r="H101" s="1"/>
      <c r="I101" s="1"/>
      <c r="J101" s="2"/>
      <c r="K101" s="1"/>
      <c r="L101" s="3"/>
      <c r="M101" s="1"/>
      <c r="AE101" s="1"/>
      <c r="AF101" s="1"/>
      <c r="AG101" s="1"/>
      <c r="AH101" s="1"/>
      <c r="AI101" s="1"/>
    </row>
    <row r="102" spans="1:35" s="18" customFormat="1" x14ac:dyDescent="0.2">
      <c r="A102" s="10"/>
      <c r="B102" s="10"/>
      <c r="C102" s="10"/>
      <c r="D102" s="10"/>
      <c r="E102" s="10"/>
      <c r="F102" s="10"/>
      <c r="G102" s="1"/>
      <c r="H102" s="1"/>
      <c r="I102" s="1"/>
      <c r="J102" s="2"/>
      <c r="K102" s="1"/>
      <c r="L102" s="3"/>
      <c r="M102" s="1"/>
      <c r="AE102" s="1"/>
      <c r="AF102" s="1"/>
      <c r="AG102" s="1"/>
      <c r="AH102" s="1"/>
      <c r="AI102" s="1"/>
    </row>
    <row r="103" spans="1:35" s="18" customFormat="1" x14ac:dyDescent="0.2">
      <c r="A103" s="10"/>
      <c r="B103" s="10"/>
      <c r="C103" s="10"/>
      <c r="D103" s="10"/>
      <c r="E103" s="10"/>
      <c r="F103" s="10"/>
      <c r="G103" s="1"/>
      <c r="H103" s="1"/>
      <c r="I103" s="1"/>
      <c r="J103" s="2"/>
      <c r="K103" s="1"/>
      <c r="L103" s="3"/>
      <c r="M103" s="1"/>
      <c r="AE103" s="1"/>
      <c r="AF103" s="1"/>
      <c r="AG103" s="1"/>
      <c r="AH103" s="1"/>
      <c r="AI103" s="1"/>
    </row>
    <row r="104" spans="1:35" s="18" customFormat="1" x14ac:dyDescent="0.2">
      <c r="A104" s="10"/>
      <c r="B104" s="10"/>
      <c r="C104" s="10"/>
      <c r="D104" s="10"/>
      <c r="E104" s="10"/>
      <c r="F104" s="10"/>
      <c r="G104" s="1"/>
      <c r="H104" s="1"/>
      <c r="I104" s="1"/>
      <c r="J104" s="2"/>
      <c r="K104" s="1"/>
      <c r="L104" s="3"/>
      <c r="M104" s="1"/>
      <c r="AE104" s="1"/>
      <c r="AF104" s="1"/>
      <c r="AG104" s="1"/>
      <c r="AH104" s="1"/>
      <c r="AI104" s="1"/>
    </row>
    <row r="105" spans="1:35" s="18" customFormat="1" x14ac:dyDescent="0.2">
      <c r="A105" s="10"/>
      <c r="B105" s="10"/>
      <c r="C105" s="10"/>
      <c r="D105" s="10"/>
      <c r="E105" s="10"/>
      <c r="F105" s="10"/>
      <c r="G105" s="1"/>
      <c r="H105" s="1"/>
      <c r="I105" s="1"/>
      <c r="J105" s="2"/>
      <c r="K105" s="1"/>
      <c r="L105" s="3"/>
      <c r="M105" s="1"/>
      <c r="AE105" s="1"/>
      <c r="AF105" s="1"/>
      <c r="AG105" s="1"/>
      <c r="AH105" s="1"/>
      <c r="AI105" s="1"/>
    </row>
    <row r="106" spans="1:35" s="18" customFormat="1" x14ac:dyDescent="0.2">
      <c r="A106" s="10"/>
      <c r="B106" s="10"/>
      <c r="C106" s="10"/>
      <c r="D106" s="10"/>
      <c r="E106" s="10"/>
      <c r="F106" s="10"/>
      <c r="G106" s="1"/>
      <c r="H106" s="1"/>
      <c r="I106" s="1"/>
      <c r="J106" s="2"/>
      <c r="K106" s="1"/>
      <c r="L106" s="3"/>
      <c r="M106" s="1"/>
      <c r="AE106" s="1"/>
      <c r="AF106" s="1"/>
      <c r="AG106" s="1"/>
      <c r="AH106" s="1"/>
      <c r="AI106" s="1"/>
    </row>
    <row r="107" spans="1:35" s="18" customFormat="1" x14ac:dyDescent="0.2">
      <c r="A107" s="10"/>
      <c r="B107" s="10"/>
      <c r="C107" s="10"/>
      <c r="D107" s="10"/>
      <c r="E107" s="10"/>
      <c r="F107" s="10"/>
      <c r="G107" s="1"/>
      <c r="H107" s="1"/>
      <c r="I107" s="1"/>
      <c r="J107" s="2"/>
      <c r="K107" s="1"/>
      <c r="L107" s="3"/>
      <c r="M107" s="1"/>
      <c r="AE107" s="1"/>
      <c r="AF107" s="1"/>
      <c r="AG107" s="1"/>
      <c r="AH107" s="1"/>
      <c r="AI107" s="1"/>
    </row>
    <row r="108" spans="1:35" s="18" customFormat="1" x14ac:dyDescent="0.2">
      <c r="A108" s="10"/>
      <c r="B108" s="10"/>
      <c r="C108" s="10"/>
      <c r="D108" s="10"/>
      <c r="E108" s="10"/>
      <c r="F108" s="10"/>
      <c r="G108" s="1"/>
      <c r="H108" s="1"/>
      <c r="I108" s="1"/>
      <c r="J108" s="2"/>
      <c r="K108" s="1"/>
      <c r="L108" s="3"/>
      <c r="M108" s="1"/>
      <c r="AE108" s="1"/>
      <c r="AF108" s="1"/>
      <c r="AG108" s="1"/>
      <c r="AH108" s="1"/>
      <c r="AI108" s="1"/>
    </row>
    <row r="109" spans="1:35" s="18" customFormat="1" x14ac:dyDescent="0.2">
      <c r="A109" s="10"/>
      <c r="B109" s="10"/>
      <c r="C109" s="10"/>
      <c r="D109" s="10"/>
      <c r="E109" s="10"/>
      <c r="F109" s="10"/>
      <c r="G109" s="1"/>
      <c r="H109" s="1"/>
      <c r="I109" s="1"/>
      <c r="J109" s="2"/>
      <c r="K109" s="1"/>
      <c r="L109" s="3"/>
      <c r="M109" s="1"/>
      <c r="AE109" s="1"/>
      <c r="AF109" s="1"/>
      <c r="AG109" s="1"/>
      <c r="AH109" s="1"/>
      <c r="AI109" s="1"/>
    </row>
    <row r="110" spans="1:35" s="18" customFormat="1" x14ac:dyDescent="0.2">
      <c r="A110" s="10"/>
      <c r="B110" s="10"/>
      <c r="C110" s="10"/>
      <c r="D110" s="10"/>
      <c r="E110" s="10"/>
      <c r="F110" s="10"/>
      <c r="G110" s="1"/>
      <c r="H110" s="1"/>
      <c r="I110" s="1"/>
      <c r="J110" s="2"/>
      <c r="K110" s="1"/>
      <c r="L110" s="3"/>
      <c r="M110" s="1"/>
      <c r="AE110" s="1"/>
      <c r="AF110" s="1"/>
      <c r="AG110" s="1"/>
      <c r="AH110" s="1"/>
      <c r="AI110" s="1"/>
    </row>
    <row r="111" spans="1:35" s="18" customFormat="1" x14ac:dyDescent="0.2">
      <c r="A111" s="10"/>
      <c r="B111" s="10"/>
      <c r="C111" s="10"/>
      <c r="D111" s="10"/>
      <c r="E111" s="10"/>
      <c r="F111" s="10"/>
      <c r="G111" s="1"/>
      <c r="H111" s="1"/>
      <c r="I111" s="1"/>
      <c r="J111" s="2"/>
      <c r="K111" s="1"/>
      <c r="L111" s="3"/>
      <c r="M111" s="1"/>
      <c r="AE111" s="1"/>
      <c r="AF111" s="1"/>
      <c r="AG111" s="1"/>
      <c r="AH111" s="1"/>
      <c r="AI111" s="1"/>
    </row>
    <row r="112" spans="1:35" s="18" customFormat="1" x14ac:dyDescent="0.2">
      <c r="A112" s="10"/>
      <c r="B112" s="10"/>
      <c r="C112" s="10"/>
      <c r="D112" s="10"/>
      <c r="E112" s="10"/>
      <c r="F112" s="10"/>
      <c r="G112" s="1"/>
      <c r="H112" s="1"/>
      <c r="I112" s="1"/>
      <c r="J112" s="2"/>
      <c r="K112" s="1"/>
      <c r="L112" s="3"/>
      <c r="M112" s="1"/>
      <c r="AE112" s="1"/>
      <c r="AF112" s="1"/>
      <c r="AG112" s="1"/>
      <c r="AH112" s="1"/>
      <c r="AI112" s="1"/>
    </row>
    <row r="113" spans="1:35" s="18" customFormat="1" x14ac:dyDescent="0.2">
      <c r="A113" s="10"/>
      <c r="B113" s="10"/>
      <c r="C113" s="10"/>
      <c r="D113" s="10"/>
      <c r="E113" s="10"/>
      <c r="F113" s="10"/>
      <c r="G113" s="1"/>
      <c r="H113" s="1"/>
      <c r="I113" s="1"/>
      <c r="J113" s="2"/>
      <c r="K113" s="1"/>
      <c r="L113" s="3"/>
      <c r="M113" s="1"/>
      <c r="AE113" s="1"/>
      <c r="AF113" s="1"/>
      <c r="AG113" s="1"/>
      <c r="AH113" s="1"/>
      <c r="AI113" s="1"/>
    </row>
    <row r="114" spans="1:35" s="18" customFormat="1" x14ac:dyDescent="0.2">
      <c r="A114" s="10"/>
      <c r="B114" s="10"/>
      <c r="C114" s="10"/>
      <c r="D114" s="10"/>
      <c r="E114" s="10"/>
      <c r="F114" s="10"/>
      <c r="G114" s="1"/>
      <c r="H114" s="1"/>
      <c r="I114" s="1"/>
      <c r="J114" s="2"/>
      <c r="K114" s="1"/>
      <c r="L114" s="3"/>
      <c r="M114" s="1"/>
      <c r="AE114" s="1"/>
      <c r="AF114" s="1"/>
      <c r="AG114" s="1"/>
      <c r="AH114" s="1"/>
      <c r="AI114" s="1"/>
    </row>
    <row r="115" spans="1:35" s="18" customFormat="1" x14ac:dyDescent="0.2">
      <c r="A115" s="10"/>
      <c r="B115" s="10"/>
      <c r="C115" s="10"/>
      <c r="D115" s="10"/>
      <c r="E115" s="10"/>
      <c r="F115" s="10"/>
      <c r="G115" s="1"/>
      <c r="H115" s="1"/>
      <c r="I115" s="1"/>
      <c r="J115" s="2"/>
      <c r="K115" s="1"/>
      <c r="L115" s="3"/>
      <c r="M115" s="1"/>
      <c r="AE115" s="1"/>
      <c r="AF115" s="1"/>
      <c r="AG115" s="1"/>
      <c r="AH115" s="1"/>
      <c r="AI115" s="1"/>
    </row>
    <row r="116" spans="1:35" s="18" customFormat="1" x14ac:dyDescent="0.2">
      <c r="A116" s="10"/>
      <c r="B116" s="10"/>
      <c r="C116" s="10"/>
      <c r="D116" s="10"/>
      <c r="E116" s="10"/>
      <c r="F116" s="10"/>
      <c r="G116" s="1"/>
      <c r="H116" s="1"/>
      <c r="I116" s="1"/>
      <c r="J116" s="2"/>
      <c r="K116" s="1"/>
      <c r="L116" s="3"/>
      <c r="M116" s="1"/>
      <c r="AE116" s="1"/>
      <c r="AF116" s="1"/>
      <c r="AG116" s="1"/>
      <c r="AH116" s="1"/>
      <c r="AI116" s="1"/>
    </row>
    <row r="117" spans="1:35" s="18" customFormat="1" x14ac:dyDescent="0.2">
      <c r="A117" s="10"/>
      <c r="B117" s="10"/>
      <c r="C117" s="10"/>
      <c r="D117" s="10"/>
      <c r="E117" s="10"/>
      <c r="F117" s="10"/>
      <c r="G117" s="1"/>
      <c r="H117" s="1"/>
      <c r="I117" s="1"/>
      <c r="J117" s="2"/>
      <c r="K117" s="1"/>
      <c r="L117" s="3"/>
      <c r="M117" s="1"/>
      <c r="AE117" s="1"/>
      <c r="AF117" s="1"/>
      <c r="AG117" s="1"/>
      <c r="AH117" s="1"/>
      <c r="AI117" s="1"/>
    </row>
    <row r="118" spans="1:35" s="18" customFormat="1" x14ac:dyDescent="0.2">
      <c r="A118" s="10"/>
      <c r="B118" s="10"/>
      <c r="C118" s="10"/>
      <c r="D118" s="10"/>
      <c r="E118" s="10"/>
      <c r="F118" s="10"/>
      <c r="G118" s="1"/>
      <c r="H118" s="1"/>
      <c r="I118" s="1"/>
      <c r="J118" s="2"/>
      <c r="K118" s="1"/>
      <c r="L118" s="3"/>
      <c r="M118" s="1"/>
      <c r="AE118" s="1"/>
      <c r="AF118" s="1"/>
      <c r="AG118" s="1"/>
      <c r="AH118" s="1"/>
      <c r="AI118" s="1"/>
    </row>
    <row r="119" spans="1:35" s="18" customFormat="1" x14ac:dyDescent="0.2">
      <c r="A119" s="10"/>
      <c r="B119" s="10"/>
      <c r="C119" s="10"/>
      <c r="D119" s="10"/>
      <c r="E119" s="10"/>
      <c r="F119" s="10"/>
      <c r="G119" s="1"/>
      <c r="H119" s="1"/>
      <c r="I119" s="1"/>
      <c r="J119" s="2"/>
      <c r="K119" s="1"/>
      <c r="L119" s="3"/>
      <c r="M119" s="1"/>
      <c r="AE119" s="1"/>
      <c r="AF119" s="1"/>
      <c r="AG119" s="1"/>
      <c r="AH119" s="1"/>
      <c r="AI119" s="1"/>
    </row>
    <row r="120" spans="1:35" s="18" customFormat="1" x14ac:dyDescent="0.2">
      <c r="A120" s="10"/>
      <c r="B120" s="10"/>
      <c r="C120" s="10"/>
      <c r="D120" s="10"/>
      <c r="E120" s="10"/>
      <c r="F120" s="10"/>
      <c r="G120" s="1"/>
      <c r="H120" s="1"/>
      <c r="I120" s="1"/>
      <c r="J120" s="2"/>
      <c r="K120" s="1"/>
      <c r="L120" s="3"/>
      <c r="M120" s="1"/>
      <c r="AE120" s="1"/>
      <c r="AF120" s="1"/>
      <c r="AG120" s="1"/>
      <c r="AH120" s="1"/>
      <c r="AI120" s="1"/>
    </row>
    <row r="121" spans="1:35" s="18" customFormat="1" x14ac:dyDescent="0.2">
      <c r="A121" s="10"/>
      <c r="B121" s="10"/>
      <c r="C121" s="10"/>
      <c r="D121" s="10"/>
      <c r="E121" s="10"/>
      <c r="F121" s="10"/>
      <c r="G121" s="1"/>
      <c r="H121" s="1"/>
      <c r="I121" s="1"/>
      <c r="J121" s="2"/>
      <c r="K121" s="1"/>
      <c r="L121" s="3"/>
      <c r="M121" s="1"/>
      <c r="AE121" s="1"/>
      <c r="AF121" s="1"/>
      <c r="AG121" s="1"/>
      <c r="AH121" s="1"/>
      <c r="AI121" s="1"/>
    </row>
    <row r="122" spans="1:35" s="18" customFormat="1" x14ac:dyDescent="0.2">
      <c r="A122" s="10"/>
      <c r="B122" s="10"/>
      <c r="C122" s="10"/>
      <c r="D122" s="10"/>
      <c r="E122" s="10"/>
      <c r="F122" s="10"/>
      <c r="G122" s="1"/>
      <c r="H122" s="1"/>
      <c r="I122" s="1"/>
      <c r="J122" s="2"/>
      <c r="K122" s="1"/>
      <c r="L122" s="3"/>
      <c r="M122" s="1"/>
      <c r="AE122" s="1"/>
      <c r="AF122" s="1"/>
      <c r="AG122" s="1"/>
      <c r="AH122" s="1"/>
      <c r="AI122" s="1"/>
    </row>
    <row r="123" spans="1:35" s="18" customFormat="1" x14ac:dyDescent="0.2">
      <c r="A123" s="10"/>
      <c r="B123" s="10"/>
      <c r="C123" s="10"/>
      <c r="D123" s="10"/>
      <c r="E123" s="10"/>
      <c r="F123" s="10"/>
      <c r="G123" s="1"/>
      <c r="H123" s="1"/>
      <c r="I123" s="1"/>
      <c r="J123" s="2"/>
      <c r="K123" s="1"/>
      <c r="L123" s="3"/>
      <c r="M123" s="1"/>
      <c r="AE123" s="1"/>
      <c r="AF123" s="1"/>
      <c r="AG123" s="1"/>
      <c r="AH123" s="1"/>
      <c r="AI123" s="1"/>
    </row>
    <row r="124" spans="1:35" s="18" customFormat="1" x14ac:dyDescent="0.2">
      <c r="A124" s="10"/>
      <c r="B124" s="10"/>
      <c r="C124" s="10"/>
      <c r="D124" s="10"/>
      <c r="E124" s="10"/>
      <c r="F124" s="10"/>
      <c r="G124" s="1"/>
      <c r="H124" s="1"/>
      <c r="I124" s="1"/>
      <c r="J124" s="2"/>
      <c r="K124" s="1"/>
      <c r="L124" s="3"/>
      <c r="M124" s="1"/>
      <c r="AE124" s="1"/>
      <c r="AF124" s="1"/>
      <c r="AG124" s="1"/>
      <c r="AH124" s="1"/>
      <c r="AI124" s="1"/>
    </row>
    <row r="125" spans="1:35" s="18" customFormat="1" x14ac:dyDescent="0.2">
      <c r="A125" s="10"/>
      <c r="B125" s="10"/>
      <c r="C125" s="10"/>
      <c r="D125" s="10"/>
      <c r="E125" s="10"/>
      <c r="F125" s="10"/>
      <c r="G125" s="1"/>
      <c r="H125" s="1"/>
      <c r="I125" s="1"/>
      <c r="J125" s="2"/>
      <c r="K125" s="1"/>
      <c r="L125" s="3"/>
      <c r="M125" s="1"/>
      <c r="AE125" s="1"/>
      <c r="AF125" s="1"/>
      <c r="AG125" s="1"/>
      <c r="AH125" s="1"/>
      <c r="AI125" s="1"/>
    </row>
    <row r="126" spans="1:35" s="18" customFormat="1" x14ac:dyDescent="0.2">
      <c r="A126" s="10"/>
      <c r="B126" s="10"/>
      <c r="C126" s="10"/>
      <c r="D126" s="10"/>
      <c r="E126" s="10"/>
      <c r="F126" s="10"/>
      <c r="G126" s="1"/>
      <c r="H126" s="1"/>
      <c r="I126" s="1"/>
      <c r="J126" s="2"/>
      <c r="K126" s="1"/>
      <c r="L126" s="3"/>
      <c r="M126" s="1"/>
      <c r="AE126" s="1"/>
      <c r="AF126" s="1"/>
      <c r="AG126" s="1"/>
      <c r="AH126" s="1"/>
      <c r="AI126" s="1"/>
    </row>
    <row r="127" spans="1:35" s="18" customFormat="1" x14ac:dyDescent="0.2">
      <c r="A127" s="10"/>
      <c r="B127" s="10"/>
      <c r="C127" s="10"/>
      <c r="D127" s="10"/>
      <c r="E127" s="10"/>
      <c r="F127" s="10"/>
      <c r="G127" s="1"/>
      <c r="H127" s="1"/>
      <c r="I127" s="1"/>
      <c r="J127" s="2"/>
      <c r="K127" s="1"/>
      <c r="L127" s="3"/>
      <c r="M127" s="1"/>
      <c r="AE127" s="1"/>
      <c r="AF127" s="1"/>
      <c r="AG127" s="1"/>
      <c r="AH127" s="1"/>
      <c r="AI127" s="1"/>
    </row>
    <row r="128" spans="1:35" s="18" customFormat="1" x14ac:dyDescent="0.2">
      <c r="A128" s="10"/>
      <c r="B128" s="10"/>
      <c r="C128" s="10"/>
      <c r="D128" s="10"/>
      <c r="E128" s="10"/>
      <c r="F128" s="10"/>
      <c r="G128" s="1"/>
      <c r="H128" s="1"/>
      <c r="I128" s="1"/>
      <c r="J128" s="2"/>
      <c r="K128" s="1"/>
      <c r="L128" s="3"/>
      <c r="M128" s="1"/>
      <c r="AE128" s="1"/>
      <c r="AF128" s="1"/>
      <c r="AG128" s="1"/>
      <c r="AH128" s="1"/>
      <c r="AI128" s="1"/>
    </row>
    <row r="129" spans="1:35" s="18" customFormat="1" x14ac:dyDescent="0.2">
      <c r="A129" s="10"/>
      <c r="B129" s="10"/>
      <c r="C129" s="10"/>
      <c r="D129" s="10"/>
      <c r="E129" s="10"/>
      <c r="F129" s="10"/>
      <c r="G129" s="1"/>
      <c r="H129" s="1"/>
      <c r="I129" s="1"/>
      <c r="J129" s="2"/>
      <c r="K129" s="1"/>
      <c r="L129" s="3"/>
      <c r="M129" s="1"/>
      <c r="AE129" s="1"/>
      <c r="AF129" s="1"/>
      <c r="AG129" s="1"/>
      <c r="AH129" s="1"/>
      <c r="AI129" s="1"/>
    </row>
    <row r="130" spans="1:35" s="18" customFormat="1" x14ac:dyDescent="0.2">
      <c r="A130" s="10"/>
      <c r="B130" s="10"/>
      <c r="C130" s="10"/>
      <c r="D130" s="10"/>
      <c r="E130" s="10"/>
      <c r="F130" s="10"/>
      <c r="G130" s="1"/>
      <c r="H130" s="1"/>
      <c r="I130" s="1"/>
      <c r="J130" s="2"/>
      <c r="K130" s="1"/>
      <c r="L130" s="3"/>
      <c r="M130" s="1"/>
      <c r="AE130" s="1"/>
      <c r="AF130" s="1"/>
      <c r="AG130" s="1"/>
      <c r="AH130" s="1"/>
      <c r="AI130" s="1"/>
    </row>
    <row r="131" spans="1:35" s="18" customFormat="1" x14ac:dyDescent="0.2">
      <c r="A131" s="10"/>
      <c r="B131" s="10"/>
      <c r="C131" s="10"/>
      <c r="D131" s="10"/>
      <c r="E131" s="10"/>
      <c r="F131" s="10"/>
      <c r="G131" s="1"/>
      <c r="H131" s="1"/>
      <c r="I131" s="1"/>
      <c r="J131" s="2"/>
      <c r="K131" s="1"/>
      <c r="L131" s="3"/>
      <c r="M131" s="1"/>
      <c r="AE131" s="1"/>
      <c r="AF131" s="1"/>
      <c r="AG131" s="1"/>
      <c r="AH131" s="1"/>
      <c r="AI131" s="1"/>
    </row>
    <row r="132" spans="1:35" s="18" customFormat="1" x14ac:dyDescent="0.2">
      <c r="A132" s="10"/>
      <c r="B132" s="10"/>
      <c r="C132" s="10"/>
      <c r="D132" s="10"/>
      <c r="E132" s="10"/>
      <c r="F132" s="10"/>
      <c r="G132" s="1"/>
      <c r="H132" s="1"/>
      <c r="I132" s="1"/>
      <c r="J132" s="2"/>
      <c r="K132" s="1"/>
      <c r="L132" s="3"/>
      <c r="M132" s="1"/>
      <c r="AE132" s="1"/>
      <c r="AF132" s="1"/>
      <c r="AG132" s="1"/>
      <c r="AH132" s="1"/>
      <c r="AI132" s="1"/>
    </row>
    <row r="133" spans="1:35" s="18" customFormat="1" x14ac:dyDescent="0.2">
      <c r="A133" s="10"/>
      <c r="B133" s="10"/>
      <c r="C133" s="10"/>
      <c r="D133" s="10"/>
      <c r="E133" s="10"/>
      <c r="F133" s="10"/>
      <c r="G133" s="1"/>
      <c r="H133" s="1"/>
      <c r="I133" s="1"/>
      <c r="J133" s="2"/>
      <c r="K133" s="1"/>
      <c r="L133" s="3"/>
      <c r="M133" s="1"/>
      <c r="AE133" s="1"/>
      <c r="AF133" s="1"/>
      <c r="AG133" s="1"/>
      <c r="AH133" s="1"/>
      <c r="AI133" s="1"/>
    </row>
    <row r="134" spans="1:35" s="18" customFormat="1" x14ac:dyDescent="0.2">
      <c r="A134" s="10"/>
      <c r="B134" s="10"/>
      <c r="C134" s="10"/>
      <c r="D134" s="10"/>
      <c r="E134" s="10"/>
      <c r="F134" s="10"/>
      <c r="G134" s="1"/>
      <c r="H134" s="1"/>
      <c r="I134" s="1"/>
      <c r="J134" s="2"/>
      <c r="K134" s="1"/>
      <c r="L134" s="3"/>
      <c r="M134" s="1"/>
      <c r="AE134" s="1"/>
      <c r="AF134" s="1"/>
      <c r="AG134" s="1"/>
      <c r="AH134" s="1"/>
      <c r="AI134" s="1"/>
    </row>
    <row r="135" spans="1:35" s="18" customFormat="1" x14ac:dyDescent="0.2">
      <c r="A135" s="10"/>
      <c r="B135" s="10"/>
      <c r="C135" s="10"/>
      <c r="D135" s="10"/>
      <c r="E135" s="10"/>
      <c r="F135" s="10"/>
      <c r="G135" s="1"/>
      <c r="H135" s="1"/>
      <c r="I135" s="1"/>
      <c r="J135" s="2"/>
      <c r="K135" s="1"/>
      <c r="L135" s="3"/>
      <c r="M135" s="1"/>
      <c r="AE135" s="1"/>
      <c r="AF135" s="1"/>
      <c r="AG135" s="1"/>
      <c r="AH135" s="1"/>
      <c r="AI135" s="1"/>
    </row>
    <row r="136" spans="1:35" s="18" customFormat="1" x14ac:dyDescent="0.2">
      <c r="A136" s="10"/>
      <c r="B136" s="10"/>
      <c r="C136" s="10"/>
      <c r="D136" s="10"/>
      <c r="E136" s="10"/>
      <c r="F136" s="10"/>
      <c r="G136" s="1"/>
      <c r="H136" s="1"/>
      <c r="I136" s="1"/>
      <c r="J136" s="2"/>
      <c r="K136" s="1"/>
      <c r="L136" s="3"/>
      <c r="M136" s="1"/>
      <c r="AE136" s="1"/>
      <c r="AF136" s="1"/>
      <c r="AG136" s="1"/>
      <c r="AH136" s="1"/>
      <c r="AI136" s="1"/>
    </row>
    <row r="137" spans="1:35" s="18" customFormat="1" x14ac:dyDescent="0.2">
      <c r="A137" s="10"/>
      <c r="B137" s="10"/>
      <c r="C137" s="10"/>
      <c r="D137" s="10"/>
      <c r="E137" s="10"/>
      <c r="F137" s="10"/>
      <c r="G137" s="1"/>
      <c r="H137" s="1"/>
      <c r="I137" s="1"/>
      <c r="J137" s="2"/>
      <c r="K137" s="1"/>
      <c r="L137" s="3"/>
      <c r="M137" s="1"/>
      <c r="AE137" s="1"/>
      <c r="AF137" s="1"/>
      <c r="AG137" s="1"/>
      <c r="AH137" s="1"/>
      <c r="AI137" s="1"/>
    </row>
    <row r="138" spans="1:35" s="18" customFormat="1" x14ac:dyDescent="0.2">
      <c r="A138" s="10"/>
      <c r="B138" s="10"/>
      <c r="C138" s="10"/>
      <c r="D138" s="10"/>
      <c r="E138" s="10"/>
      <c r="F138" s="10"/>
      <c r="G138" s="1"/>
      <c r="H138" s="1"/>
      <c r="I138" s="1"/>
      <c r="J138" s="2"/>
      <c r="K138" s="1"/>
      <c r="L138" s="3"/>
      <c r="M138" s="1"/>
      <c r="AE138" s="1"/>
      <c r="AF138" s="1"/>
      <c r="AG138" s="1"/>
      <c r="AH138" s="1"/>
      <c r="AI138" s="1"/>
    </row>
    <row r="139" spans="1:35" s="18" customFormat="1" x14ac:dyDescent="0.2">
      <c r="A139" s="10"/>
      <c r="B139" s="10"/>
      <c r="C139" s="10"/>
      <c r="D139" s="10"/>
      <c r="E139" s="10"/>
      <c r="F139" s="10"/>
      <c r="G139" s="1"/>
      <c r="H139" s="1"/>
      <c r="I139" s="1"/>
      <c r="J139" s="2"/>
      <c r="K139" s="1"/>
      <c r="L139" s="3"/>
      <c r="M139" s="1"/>
      <c r="AE139" s="1"/>
      <c r="AF139" s="1"/>
      <c r="AG139" s="1"/>
      <c r="AH139" s="1"/>
      <c r="AI139" s="1"/>
    </row>
    <row r="140" spans="1:35" s="18" customFormat="1" x14ac:dyDescent="0.2">
      <c r="A140" s="10"/>
      <c r="B140" s="10"/>
      <c r="C140" s="10"/>
      <c r="D140" s="10"/>
      <c r="E140" s="10"/>
      <c r="F140" s="10"/>
      <c r="G140" s="1"/>
      <c r="H140" s="1"/>
      <c r="I140" s="1"/>
      <c r="J140" s="2"/>
      <c r="K140" s="1"/>
      <c r="L140" s="3"/>
      <c r="M140" s="1"/>
      <c r="AE140" s="1"/>
      <c r="AF140" s="1"/>
      <c r="AG140" s="1"/>
      <c r="AH140" s="1"/>
      <c r="AI140" s="1"/>
    </row>
    <row r="141" spans="1:35" s="18" customFormat="1" x14ac:dyDescent="0.2">
      <c r="A141" s="10"/>
      <c r="B141" s="10"/>
      <c r="C141" s="10"/>
      <c r="D141" s="10"/>
      <c r="E141" s="10"/>
      <c r="F141" s="10"/>
      <c r="G141" s="1"/>
      <c r="H141" s="1"/>
      <c r="I141" s="1"/>
      <c r="J141" s="2"/>
      <c r="K141" s="1"/>
      <c r="L141" s="3"/>
      <c r="M141" s="1"/>
      <c r="AE141" s="1"/>
      <c r="AF141" s="1"/>
      <c r="AG141" s="1"/>
      <c r="AH141" s="1"/>
      <c r="AI141" s="1"/>
    </row>
    <row r="142" spans="1:35" s="18" customFormat="1" x14ac:dyDescent="0.2">
      <c r="A142" s="10"/>
      <c r="B142" s="10"/>
      <c r="C142" s="10"/>
      <c r="D142" s="10"/>
      <c r="E142" s="10"/>
      <c r="F142" s="10"/>
      <c r="G142" s="1"/>
      <c r="H142" s="1"/>
      <c r="I142" s="1"/>
      <c r="J142" s="2"/>
      <c r="K142" s="1"/>
      <c r="L142" s="3"/>
      <c r="M142" s="1"/>
      <c r="AE142" s="1"/>
      <c r="AF142" s="1"/>
      <c r="AG142" s="1"/>
      <c r="AH142" s="1"/>
      <c r="AI142" s="1"/>
    </row>
    <row r="143" spans="1:35" s="18" customFormat="1" x14ac:dyDescent="0.2">
      <c r="A143" s="10"/>
      <c r="B143" s="10"/>
      <c r="C143" s="10"/>
      <c r="D143" s="10"/>
      <c r="E143" s="10"/>
      <c r="F143" s="10"/>
      <c r="G143" s="1"/>
      <c r="H143" s="1"/>
      <c r="I143" s="1"/>
      <c r="J143" s="2"/>
      <c r="K143" s="1"/>
      <c r="L143" s="3"/>
      <c r="M143" s="1"/>
      <c r="AE143" s="1"/>
      <c r="AF143" s="1"/>
      <c r="AG143" s="1"/>
      <c r="AH143" s="1"/>
      <c r="AI143" s="1"/>
    </row>
    <row r="144" spans="1:35" s="18" customFormat="1" x14ac:dyDescent="0.2">
      <c r="A144" s="10"/>
      <c r="B144" s="10"/>
      <c r="C144" s="10"/>
      <c r="D144" s="10"/>
      <c r="E144" s="10"/>
      <c r="F144" s="10"/>
      <c r="G144" s="1"/>
      <c r="H144" s="1"/>
      <c r="I144" s="1"/>
      <c r="J144" s="2"/>
      <c r="K144" s="1"/>
      <c r="L144" s="3"/>
      <c r="M144" s="1"/>
      <c r="AE144" s="1"/>
      <c r="AF144" s="1"/>
      <c r="AG144" s="1"/>
      <c r="AH144" s="1"/>
      <c r="AI144" s="1"/>
    </row>
    <row r="145" spans="1:35" s="18" customFormat="1" x14ac:dyDescent="0.2">
      <c r="A145" s="10"/>
      <c r="B145" s="10"/>
      <c r="C145" s="10"/>
      <c r="D145" s="10"/>
      <c r="E145" s="10"/>
      <c r="F145" s="10"/>
      <c r="G145" s="1"/>
      <c r="H145" s="1"/>
      <c r="I145" s="1"/>
      <c r="J145" s="2"/>
      <c r="K145" s="1"/>
      <c r="L145" s="3"/>
      <c r="M145" s="1"/>
      <c r="AE145" s="1"/>
      <c r="AF145" s="1"/>
      <c r="AG145" s="1"/>
      <c r="AH145" s="1"/>
      <c r="AI145" s="1"/>
    </row>
    <row r="146" spans="1:35" s="18" customFormat="1" x14ac:dyDescent="0.2">
      <c r="A146" s="10"/>
      <c r="B146" s="10"/>
      <c r="C146" s="10"/>
      <c r="D146" s="10"/>
      <c r="E146" s="10"/>
      <c r="F146" s="10"/>
      <c r="G146" s="1"/>
      <c r="H146" s="1"/>
      <c r="I146" s="1"/>
      <c r="J146" s="2"/>
      <c r="K146" s="1"/>
      <c r="L146" s="3"/>
      <c r="M146" s="1"/>
      <c r="AE146" s="1"/>
      <c r="AF146" s="1"/>
      <c r="AG146" s="1"/>
      <c r="AH146" s="1"/>
      <c r="AI146" s="1"/>
    </row>
    <row r="147" spans="1:35" s="18" customFormat="1" x14ac:dyDescent="0.2">
      <c r="A147" s="10"/>
      <c r="B147" s="10"/>
      <c r="C147" s="10"/>
      <c r="D147" s="10"/>
      <c r="E147" s="10"/>
      <c r="F147" s="10"/>
      <c r="G147" s="1"/>
      <c r="H147" s="1"/>
      <c r="I147" s="1"/>
      <c r="J147" s="2"/>
      <c r="K147" s="1"/>
      <c r="L147" s="3"/>
      <c r="M147" s="1"/>
      <c r="AE147" s="1"/>
      <c r="AF147" s="1"/>
      <c r="AG147" s="1"/>
      <c r="AH147" s="1"/>
      <c r="AI147" s="1"/>
    </row>
    <row r="148" spans="1:35" s="18" customFormat="1" x14ac:dyDescent="0.2">
      <c r="A148" s="10"/>
      <c r="B148" s="10"/>
      <c r="C148" s="10"/>
      <c r="D148" s="10"/>
      <c r="E148" s="10"/>
      <c r="F148" s="10"/>
      <c r="G148" s="1"/>
      <c r="H148" s="1"/>
      <c r="I148" s="1"/>
      <c r="J148" s="2"/>
      <c r="K148" s="1"/>
      <c r="L148" s="3"/>
      <c r="M148" s="1"/>
      <c r="AE148" s="1"/>
      <c r="AF148" s="1"/>
      <c r="AG148" s="1"/>
      <c r="AH148" s="1"/>
      <c r="AI148" s="1"/>
    </row>
    <row r="149" spans="1:35" s="18" customFormat="1" x14ac:dyDescent="0.2">
      <c r="A149" s="10"/>
      <c r="B149" s="10"/>
      <c r="C149" s="10"/>
      <c r="D149" s="10"/>
      <c r="E149" s="10"/>
      <c r="F149" s="10"/>
      <c r="G149" s="1"/>
      <c r="H149" s="1"/>
      <c r="I149" s="1"/>
      <c r="J149" s="2"/>
      <c r="K149" s="1"/>
      <c r="L149" s="3"/>
      <c r="M149" s="1"/>
      <c r="AE149" s="1"/>
      <c r="AF149" s="1"/>
      <c r="AG149" s="1"/>
      <c r="AH149" s="1"/>
      <c r="AI149" s="1"/>
    </row>
    <row r="150" spans="1:35" s="18" customFormat="1" x14ac:dyDescent="0.2">
      <c r="A150" s="10"/>
      <c r="B150" s="10"/>
      <c r="C150" s="10"/>
      <c r="D150" s="10"/>
      <c r="E150" s="10"/>
      <c r="F150" s="10"/>
      <c r="G150" s="1"/>
      <c r="H150" s="1"/>
      <c r="I150" s="1"/>
      <c r="J150" s="2"/>
      <c r="K150" s="1"/>
      <c r="L150" s="3"/>
      <c r="M150" s="1"/>
      <c r="AE150" s="1"/>
      <c r="AF150" s="1"/>
      <c r="AG150" s="1"/>
      <c r="AH150" s="1"/>
      <c r="AI150" s="1"/>
    </row>
    <row r="151" spans="1:35" s="18" customFormat="1" x14ac:dyDescent="0.2">
      <c r="A151" s="10"/>
      <c r="B151" s="10"/>
      <c r="C151" s="10"/>
      <c r="D151" s="10"/>
      <c r="E151" s="10"/>
      <c r="F151" s="10"/>
      <c r="G151" s="1"/>
      <c r="H151" s="1"/>
      <c r="I151" s="1"/>
      <c r="J151" s="2"/>
      <c r="K151" s="1"/>
      <c r="L151" s="3"/>
      <c r="M151" s="1"/>
      <c r="AE151" s="1"/>
      <c r="AF151" s="1"/>
      <c r="AG151" s="1"/>
      <c r="AH151" s="1"/>
      <c r="AI151" s="1"/>
    </row>
    <row r="152" spans="1:35" s="18" customFormat="1" x14ac:dyDescent="0.2">
      <c r="A152" s="10"/>
      <c r="B152" s="10"/>
      <c r="C152" s="10"/>
      <c r="D152" s="10"/>
      <c r="E152" s="10"/>
      <c r="F152" s="10"/>
      <c r="G152" s="1"/>
      <c r="H152" s="1"/>
      <c r="I152" s="1"/>
      <c r="J152" s="2"/>
      <c r="K152" s="1"/>
      <c r="L152" s="3"/>
      <c r="M152" s="1"/>
      <c r="AE152" s="1"/>
      <c r="AF152" s="1"/>
      <c r="AG152" s="1"/>
      <c r="AH152" s="1"/>
      <c r="AI152" s="1"/>
    </row>
    <row r="153" spans="1:35" s="18" customFormat="1" x14ac:dyDescent="0.2">
      <c r="A153" s="10"/>
      <c r="B153" s="10"/>
      <c r="C153" s="10"/>
      <c r="D153" s="10"/>
      <c r="E153" s="10"/>
      <c r="F153" s="10"/>
      <c r="G153" s="1"/>
      <c r="H153" s="1"/>
      <c r="I153" s="1"/>
      <c r="J153" s="2"/>
      <c r="K153" s="1"/>
      <c r="L153" s="3"/>
      <c r="M153" s="1"/>
      <c r="AE153" s="1"/>
      <c r="AF153" s="1"/>
      <c r="AG153" s="1"/>
      <c r="AH153" s="1"/>
      <c r="AI153" s="1"/>
    </row>
    <row r="154" spans="1:35" s="18" customFormat="1" x14ac:dyDescent="0.2">
      <c r="A154" s="10"/>
      <c r="B154" s="10"/>
      <c r="C154" s="10"/>
      <c r="D154" s="10"/>
      <c r="E154" s="10"/>
      <c r="F154" s="10"/>
      <c r="G154" s="1"/>
      <c r="H154" s="1"/>
      <c r="I154" s="1"/>
      <c r="J154" s="2"/>
      <c r="K154" s="1"/>
      <c r="L154" s="3"/>
      <c r="M154" s="1"/>
      <c r="AE154" s="1"/>
      <c r="AF154" s="1"/>
      <c r="AG154" s="1"/>
      <c r="AH154" s="1"/>
      <c r="AI154" s="1"/>
    </row>
    <row r="155" spans="1:35" s="18" customFormat="1" x14ac:dyDescent="0.2">
      <c r="A155" s="10"/>
      <c r="B155" s="10"/>
      <c r="C155" s="10"/>
      <c r="D155" s="10"/>
      <c r="E155" s="10"/>
      <c r="F155" s="10"/>
      <c r="G155" s="1"/>
      <c r="H155" s="1"/>
      <c r="I155" s="1"/>
      <c r="J155" s="2"/>
      <c r="K155" s="1"/>
      <c r="L155" s="3"/>
      <c r="M155" s="1"/>
      <c r="AE155" s="1"/>
      <c r="AF155" s="1"/>
      <c r="AG155" s="1"/>
      <c r="AH155" s="1"/>
      <c r="AI155" s="1"/>
    </row>
    <row r="156" spans="1:35" s="18" customFormat="1" x14ac:dyDescent="0.2">
      <c r="A156" s="10"/>
      <c r="B156" s="10"/>
      <c r="C156" s="10"/>
      <c r="D156" s="10"/>
      <c r="E156" s="10"/>
      <c r="F156" s="10"/>
      <c r="G156" s="1"/>
      <c r="H156" s="1"/>
      <c r="I156" s="1"/>
      <c r="J156" s="2"/>
      <c r="K156" s="1"/>
      <c r="L156" s="3"/>
      <c r="M156" s="1"/>
      <c r="AE156" s="1"/>
      <c r="AF156" s="1"/>
      <c r="AG156" s="1"/>
      <c r="AH156" s="1"/>
      <c r="AI156" s="1"/>
    </row>
    <row r="157" spans="1:35" s="18" customFormat="1" x14ac:dyDescent="0.2">
      <c r="A157" s="10"/>
      <c r="B157" s="10"/>
      <c r="C157" s="10"/>
      <c r="D157" s="10"/>
      <c r="E157" s="10"/>
      <c r="F157" s="10"/>
      <c r="G157" s="1"/>
      <c r="H157" s="1"/>
      <c r="I157" s="1"/>
      <c r="J157" s="2"/>
      <c r="K157" s="1"/>
      <c r="L157" s="3"/>
      <c r="M157" s="1"/>
      <c r="AE157" s="1"/>
      <c r="AF157" s="1"/>
      <c r="AG157" s="1"/>
      <c r="AH157" s="1"/>
      <c r="AI157" s="1"/>
    </row>
    <row r="158" spans="1:35" s="18" customFormat="1" x14ac:dyDescent="0.2">
      <c r="A158" s="10"/>
      <c r="B158" s="10"/>
      <c r="C158" s="10"/>
      <c r="D158" s="10"/>
      <c r="E158" s="10"/>
      <c r="F158" s="10"/>
      <c r="G158" s="1"/>
      <c r="H158" s="1"/>
      <c r="I158" s="1"/>
      <c r="J158" s="2"/>
      <c r="K158" s="1"/>
      <c r="L158" s="3"/>
      <c r="M158" s="1"/>
      <c r="AE158" s="1"/>
      <c r="AF158" s="1"/>
      <c r="AG158" s="1"/>
      <c r="AH158" s="1"/>
      <c r="AI158" s="1"/>
    </row>
    <row r="159" spans="1:35" s="18" customFormat="1" x14ac:dyDescent="0.2">
      <c r="A159" s="10"/>
      <c r="B159" s="10"/>
      <c r="C159" s="10"/>
      <c r="D159" s="10"/>
      <c r="E159" s="10"/>
      <c r="F159" s="10"/>
      <c r="G159" s="1"/>
      <c r="H159" s="1"/>
      <c r="I159" s="1"/>
      <c r="J159" s="2"/>
      <c r="K159" s="1"/>
      <c r="L159" s="3"/>
      <c r="M159" s="1"/>
      <c r="AE159" s="1"/>
      <c r="AF159" s="1"/>
      <c r="AG159" s="1"/>
      <c r="AH159" s="1"/>
      <c r="AI159" s="1"/>
    </row>
    <row r="160" spans="1:35" s="18" customFormat="1" x14ac:dyDescent="0.2">
      <c r="A160" s="10"/>
      <c r="B160" s="10"/>
      <c r="C160" s="10"/>
      <c r="D160" s="10"/>
      <c r="E160" s="10"/>
      <c r="F160" s="10"/>
      <c r="G160" s="1"/>
      <c r="H160" s="1"/>
      <c r="I160" s="1"/>
      <c r="J160" s="2"/>
      <c r="K160" s="1"/>
      <c r="L160" s="3"/>
      <c r="M160" s="1"/>
      <c r="AE160" s="1"/>
      <c r="AF160" s="1"/>
      <c r="AG160" s="1"/>
      <c r="AH160" s="1"/>
      <c r="AI160" s="1"/>
    </row>
    <row r="161" spans="1:35" s="18" customFormat="1" x14ac:dyDescent="0.2">
      <c r="A161" s="10"/>
      <c r="B161" s="10"/>
      <c r="C161" s="10"/>
      <c r="D161" s="10"/>
      <c r="E161" s="10"/>
      <c r="F161" s="10"/>
      <c r="G161" s="1"/>
      <c r="H161" s="1"/>
      <c r="I161" s="1"/>
      <c r="J161" s="2"/>
      <c r="K161" s="1"/>
      <c r="L161" s="3"/>
      <c r="M161" s="1"/>
      <c r="AE161" s="1"/>
      <c r="AF161" s="1"/>
      <c r="AG161" s="1"/>
      <c r="AH161" s="1"/>
      <c r="AI161" s="1"/>
    </row>
    <row r="162" spans="1:35" s="18" customFormat="1" x14ac:dyDescent="0.2">
      <c r="A162" s="10"/>
      <c r="B162" s="10"/>
      <c r="C162" s="10"/>
      <c r="D162" s="10"/>
      <c r="E162" s="10"/>
      <c r="F162" s="10"/>
      <c r="G162" s="1"/>
      <c r="H162" s="1"/>
      <c r="I162" s="1"/>
      <c r="J162" s="2"/>
      <c r="K162" s="1"/>
      <c r="L162" s="3"/>
      <c r="M162" s="1"/>
      <c r="AE162" s="1"/>
      <c r="AF162" s="1"/>
      <c r="AG162" s="1"/>
      <c r="AH162" s="1"/>
      <c r="AI162" s="1"/>
    </row>
    <row r="163" spans="1:35" s="18" customFormat="1" x14ac:dyDescent="0.2">
      <c r="A163" s="10"/>
      <c r="B163" s="10"/>
      <c r="C163" s="10"/>
      <c r="D163" s="10"/>
      <c r="E163" s="10"/>
      <c r="F163" s="10"/>
      <c r="G163" s="1"/>
      <c r="H163" s="1"/>
      <c r="I163" s="1"/>
      <c r="J163" s="2"/>
      <c r="K163" s="1"/>
      <c r="L163" s="3"/>
      <c r="M163" s="1"/>
      <c r="AE163" s="1"/>
      <c r="AF163" s="1"/>
      <c r="AG163" s="1"/>
      <c r="AH163" s="1"/>
      <c r="AI163" s="1"/>
    </row>
    <row r="164" spans="1:35" s="18" customFormat="1" x14ac:dyDescent="0.2">
      <c r="A164" s="10"/>
      <c r="B164" s="10"/>
      <c r="C164" s="10"/>
      <c r="D164" s="10"/>
      <c r="E164" s="10"/>
      <c r="F164" s="10"/>
      <c r="G164" s="1"/>
      <c r="H164" s="1"/>
      <c r="I164" s="1"/>
      <c r="J164" s="2"/>
      <c r="K164" s="1"/>
      <c r="L164" s="3"/>
      <c r="M164" s="1"/>
      <c r="AE164" s="1"/>
      <c r="AF164" s="1"/>
      <c r="AG164" s="1"/>
      <c r="AH164" s="1"/>
      <c r="AI164" s="1"/>
    </row>
    <row r="165" spans="1:35" s="18" customFormat="1" x14ac:dyDescent="0.2">
      <c r="A165" s="10"/>
      <c r="B165" s="10"/>
      <c r="C165" s="10"/>
      <c r="D165" s="10"/>
      <c r="E165" s="10"/>
      <c r="F165" s="10"/>
      <c r="G165" s="1"/>
      <c r="H165" s="1"/>
      <c r="I165" s="1"/>
      <c r="J165" s="2"/>
      <c r="K165" s="1"/>
      <c r="L165" s="3"/>
      <c r="M165" s="1"/>
      <c r="AE165" s="1"/>
      <c r="AF165" s="1"/>
      <c r="AG165" s="1"/>
      <c r="AH165" s="1"/>
      <c r="AI165" s="1"/>
    </row>
    <row r="166" spans="1:35" s="18" customFormat="1" x14ac:dyDescent="0.2">
      <c r="A166" s="10"/>
      <c r="B166" s="10"/>
      <c r="C166" s="10"/>
      <c r="D166" s="10"/>
      <c r="E166" s="10"/>
      <c r="F166" s="10"/>
      <c r="G166" s="1"/>
      <c r="H166" s="1"/>
      <c r="I166" s="1"/>
      <c r="J166" s="2"/>
      <c r="K166" s="1"/>
      <c r="L166" s="3"/>
      <c r="M166" s="1"/>
      <c r="AE166" s="1"/>
      <c r="AF166" s="1"/>
      <c r="AG166" s="1"/>
      <c r="AH166" s="1"/>
      <c r="AI166" s="1"/>
    </row>
    <row r="167" spans="1:35" s="18" customFormat="1" x14ac:dyDescent="0.2">
      <c r="A167" s="10"/>
      <c r="B167" s="10"/>
      <c r="C167" s="10"/>
      <c r="D167" s="10"/>
      <c r="E167" s="10"/>
      <c r="F167" s="10"/>
      <c r="G167" s="1"/>
      <c r="H167" s="1"/>
      <c r="I167" s="1"/>
      <c r="J167" s="2"/>
      <c r="K167" s="1"/>
      <c r="L167" s="3"/>
      <c r="M167" s="1"/>
      <c r="AE167" s="1"/>
      <c r="AF167" s="1"/>
      <c r="AG167" s="1"/>
      <c r="AH167" s="1"/>
      <c r="AI167" s="1"/>
    </row>
    <row r="168" spans="1:35" s="18" customFormat="1" x14ac:dyDescent="0.2">
      <c r="A168" s="10"/>
      <c r="B168" s="10"/>
      <c r="C168" s="10"/>
      <c r="D168" s="10"/>
      <c r="E168" s="10"/>
      <c r="F168" s="10"/>
      <c r="G168" s="1"/>
      <c r="H168" s="1"/>
      <c r="I168" s="1"/>
      <c r="J168" s="2"/>
      <c r="K168" s="1"/>
      <c r="L168" s="3"/>
      <c r="M168" s="1"/>
      <c r="AE168" s="1"/>
      <c r="AF168" s="1"/>
      <c r="AG168" s="1"/>
      <c r="AH168" s="1"/>
      <c r="AI168" s="1"/>
    </row>
    <row r="169" spans="1:35" s="18" customFormat="1" x14ac:dyDescent="0.2">
      <c r="A169" s="10"/>
      <c r="B169" s="10"/>
      <c r="C169" s="10"/>
      <c r="D169" s="10"/>
      <c r="E169" s="10"/>
      <c r="F169" s="10"/>
      <c r="G169" s="1"/>
      <c r="H169" s="1"/>
      <c r="I169" s="1"/>
      <c r="J169" s="2"/>
      <c r="K169" s="1"/>
      <c r="L169" s="3"/>
      <c r="M169" s="1"/>
      <c r="AE169" s="1"/>
      <c r="AF169" s="1"/>
      <c r="AG169" s="1"/>
      <c r="AH169" s="1"/>
      <c r="AI169" s="1"/>
    </row>
    <row r="170" spans="1:35" s="18" customFormat="1" x14ac:dyDescent="0.2">
      <c r="A170" s="10"/>
      <c r="B170" s="10"/>
      <c r="C170" s="10"/>
      <c r="D170" s="10"/>
      <c r="E170" s="10"/>
      <c r="F170" s="10"/>
      <c r="G170" s="1"/>
      <c r="H170" s="1"/>
      <c r="I170" s="1"/>
      <c r="J170" s="2"/>
      <c r="K170" s="1"/>
      <c r="L170" s="3"/>
      <c r="M170" s="1"/>
      <c r="AE170" s="1"/>
      <c r="AF170" s="1"/>
      <c r="AG170" s="1"/>
      <c r="AH170" s="1"/>
      <c r="AI170" s="1"/>
    </row>
    <row r="171" spans="1:35" s="18" customFormat="1" x14ac:dyDescent="0.2">
      <c r="A171" s="10"/>
      <c r="B171" s="10"/>
      <c r="C171" s="10"/>
      <c r="D171" s="10"/>
      <c r="E171" s="10"/>
      <c r="F171" s="10"/>
      <c r="G171" s="1"/>
      <c r="H171" s="1"/>
      <c r="I171" s="1"/>
      <c r="J171" s="2"/>
      <c r="K171" s="1"/>
      <c r="L171" s="3"/>
      <c r="M171" s="1"/>
      <c r="N171" s="1"/>
      <c r="AE171" s="1"/>
      <c r="AF171" s="1"/>
      <c r="AG171" s="1"/>
      <c r="AH171" s="1"/>
      <c r="AI171" s="1"/>
    </row>
    <row r="172" spans="1:35" s="18" customFormat="1" x14ac:dyDescent="0.2">
      <c r="A172" s="10"/>
      <c r="B172" s="10"/>
      <c r="C172" s="10"/>
      <c r="D172" s="10"/>
      <c r="E172" s="10"/>
      <c r="F172" s="10"/>
      <c r="G172" s="1"/>
      <c r="H172" s="1"/>
      <c r="I172" s="1"/>
      <c r="J172" s="2"/>
      <c r="K172" s="1"/>
      <c r="L172" s="3"/>
      <c r="M172" s="1"/>
      <c r="N172" s="1"/>
      <c r="AE172" s="1"/>
      <c r="AF172" s="1"/>
      <c r="AG172" s="1"/>
      <c r="AH172" s="1"/>
      <c r="AI172" s="1"/>
    </row>
  </sheetData>
  <dataConsolidate/>
  <conditionalFormatting sqref="N39:AD39">
    <cfRule type="cellIs" dxfId="446" priority="20" operator="lessThan">
      <formula>0</formula>
    </cfRule>
  </conditionalFormatting>
  <pageMargins left="0.7" right="0.7" top="0.75" bottom="0.75" header="0.3" footer="0.3"/>
  <pageSetup paperSize="9" orientation="landscape" r:id="rId1"/>
  <headerFooter>
    <oddFooter>&amp;C&amp;7&amp;B&amp;"Univers for KPMG"Document Classification: KPMG Confidential</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9416" r:id="rId4" name="Drop Down 504">
              <controlPr defaultSize="0" autoLine="0" autoPict="0">
                <anchor moveWithCells="1" sizeWithCells="1">
                  <from>
                    <xdr:col>14</xdr:col>
                    <xdr:colOff>7620</xdr:colOff>
                    <xdr:row>14</xdr:row>
                    <xdr:rowOff>7620</xdr:rowOff>
                  </from>
                  <to>
                    <xdr:col>15</xdr:col>
                    <xdr:colOff>0</xdr:colOff>
                    <xdr:row>15</xdr:row>
                    <xdr:rowOff>30480</xdr:rowOff>
                  </to>
                </anchor>
              </controlPr>
            </control>
          </mc:Choice>
        </mc:AlternateContent>
        <mc:AlternateContent xmlns:mc="http://schemas.openxmlformats.org/markup-compatibility/2006">
          <mc:Choice Requires="x14">
            <control shapeId="39417" r:id="rId5" name="Drop Down 505">
              <controlPr defaultSize="0" autoLine="0" autoPict="0">
                <anchor moveWithCells="1" sizeWithCells="1">
                  <from>
                    <xdr:col>14</xdr:col>
                    <xdr:colOff>7620</xdr:colOff>
                    <xdr:row>15</xdr:row>
                    <xdr:rowOff>7620</xdr:rowOff>
                  </from>
                  <to>
                    <xdr:col>15</xdr:col>
                    <xdr:colOff>0</xdr:colOff>
                    <xdr:row>16</xdr:row>
                    <xdr:rowOff>30480</xdr:rowOff>
                  </to>
                </anchor>
              </controlPr>
            </control>
          </mc:Choice>
        </mc:AlternateContent>
        <mc:AlternateContent xmlns:mc="http://schemas.openxmlformats.org/markup-compatibility/2006">
          <mc:Choice Requires="x14">
            <control shapeId="39418" r:id="rId6" name="Drop Down 506">
              <controlPr defaultSize="0" autoLine="0" autoPict="0">
                <anchor moveWithCells="1" sizeWithCells="1">
                  <from>
                    <xdr:col>14</xdr:col>
                    <xdr:colOff>0</xdr:colOff>
                    <xdr:row>17</xdr:row>
                    <xdr:rowOff>0</xdr:rowOff>
                  </from>
                  <to>
                    <xdr:col>14</xdr:col>
                    <xdr:colOff>1059180</xdr:colOff>
                    <xdr:row>18</xdr:row>
                    <xdr:rowOff>7620</xdr:rowOff>
                  </to>
                </anchor>
              </controlPr>
            </control>
          </mc:Choice>
        </mc:AlternateContent>
        <mc:AlternateContent xmlns:mc="http://schemas.openxmlformats.org/markup-compatibility/2006">
          <mc:Choice Requires="x14">
            <control shapeId="39420" r:id="rId7" name="Drop Down 508">
              <controlPr defaultSize="0" autoLine="0" autoPict="0">
                <anchor moveWithCells="1" sizeWithCells="1">
                  <from>
                    <xdr:col>14</xdr:col>
                    <xdr:colOff>7620</xdr:colOff>
                    <xdr:row>28</xdr:row>
                    <xdr:rowOff>7620</xdr:rowOff>
                  </from>
                  <to>
                    <xdr:col>15</xdr:col>
                    <xdr:colOff>0</xdr:colOff>
                    <xdr:row>29</xdr:row>
                    <xdr:rowOff>30480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A34"/>
  <sheetViews>
    <sheetView zoomScale="85" zoomScaleNormal="85" workbookViewId="0">
      <selection activeCell="F34" sqref="F34"/>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13.6640625" style="1" bestFit="1" customWidth="1"/>
    <col min="14" max="14" width="17.109375" style="1" customWidth="1" outlineLevel="1"/>
    <col min="15" max="17" width="16" style="18" customWidth="1" outlineLevel="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
        <v>771</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354</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Support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c r="F9" s="18"/>
      <c r="N9" s="18"/>
      <c r="O9" s="19"/>
    </row>
    <row r="10" spans="1:43" x14ac:dyDescent="0.2">
      <c r="N10" s="18"/>
    </row>
    <row r="14" spans="1:43" x14ac:dyDescent="0.2">
      <c r="F14" s="733">
        <v>0.15</v>
      </c>
    </row>
    <row r="15" spans="1:43" ht="12.6" x14ac:dyDescent="0.25">
      <c r="F15" s="733">
        <v>0.2</v>
      </c>
      <c r="G15" s="314">
        <v>44013</v>
      </c>
      <c r="H15" s="314">
        <v>44013</v>
      </c>
      <c r="I15" s="314"/>
      <c r="N15" s="32"/>
      <c r="O15" s="21"/>
      <c r="P15" s="21"/>
      <c r="Q15" s="21"/>
      <c r="R15" s="21"/>
      <c r="S15" s="21"/>
      <c r="T15" s="21"/>
      <c r="U15" s="21"/>
      <c r="V15" s="21"/>
      <c r="W15" s="21"/>
      <c r="X15" s="21"/>
      <c r="Y15" s="21"/>
      <c r="Z15" s="21"/>
      <c r="AA15" s="21"/>
      <c r="AB15" s="21"/>
      <c r="AC15" s="21"/>
      <c r="AD15" s="21"/>
      <c r="AE15" s="21"/>
    </row>
    <row r="16" spans="1:43" ht="12.6" x14ac:dyDescent="0.25">
      <c r="F16" s="733">
        <v>0.25</v>
      </c>
      <c r="G16" s="163">
        <v>14037779</v>
      </c>
      <c r="H16" s="163">
        <v>295154</v>
      </c>
      <c r="I16" s="163"/>
      <c r="J16" s="315"/>
      <c r="N16" s="21"/>
      <c r="O16" s="101"/>
      <c r="P16" s="101"/>
      <c r="Q16" s="101"/>
      <c r="R16" s="103"/>
      <c r="S16" s="21"/>
      <c r="T16" s="21"/>
      <c r="U16" s="21"/>
      <c r="V16" s="21"/>
      <c r="W16" s="21"/>
      <c r="X16" s="21"/>
      <c r="Y16" s="21"/>
      <c r="Z16" s="21"/>
      <c r="AA16" s="21"/>
      <c r="AB16" s="21"/>
      <c r="AC16" s="21"/>
      <c r="AD16" s="21"/>
      <c r="AE16" s="21"/>
    </row>
    <row r="17" spans="6:31" ht="12.6" x14ac:dyDescent="0.25">
      <c r="F17" s="79">
        <f>CHOOSE(Scenarios!$O$15,Support!F14,Support!F15,Support!F16)</f>
        <v>0.2</v>
      </c>
      <c r="G17" s="163">
        <v>36000000</v>
      </c>
      <c r="H17" s="163"/>
      <c r="I17" s="163"/>
      <c r="J17" s="315"/>
      <c r="N17" s="21"/>
      <c r="O17" s="101"/>
      <c r="P17" s="101"/>
      <c r="Q17" s="101"/>
      <c r="R17" s="103"/>
      <c r="S17" s="21"/>
      <c r="T17" s="21"/>
      <c r="U17" s="21"/>
      <c r="V17" s="21"/>
      <c r="W17" s="21"/>
      <c r="X17" s="21"/>
      <c r="Y17" s="21"/>
      <c r="Z17" s="21"/>
      <c r="AA17" s="21"/>
      <c r="AB17" s="21"/>
      <c r="AC17" s="21"/>
      <c r="AD17" s="21"/>
      <c r="AE17" s="21"/>
    </row>
    <row r="18" spans="6:31" ht="12.6" x14ac:dyDescent="0.25">
      <c r="G18" s="163">
        <v>26386420</v>
      </c>
      <c r="H18" s="163">
        <v>8550985</v>
      </c>
      <c r="I18" s="163"/>
      <c r="J18" s="315"/>
      <c r="N18" s="21"/>
      <c r="O18" s="101"/>
      <c r="P18" s="101"/>
      <c r="Q18" s="101"/>
      <c r="R18" s="103"/>
      <c r="S18" s="21"/>
      <c r="T18" s="21"/>
      <c r="U18" s="21"/>
      <c r="V18" s="21"/>
      <c r="W18" s="21"/>
      <c r="X18" s="21"/>
      <c r="Y18" s="21"/>
      <c r="Z18" s="21"/>
      <c r="AA18" s="21"/>
      <c r="AB18" s="21"/>
      <c r="AC18" s="21"/>
      <c r="AD18" s="21"/>
      <c r="AE18" s="21"/>
    </row>
    <row r="19" spans="6:31" ht="12.6" x14ac:dyDescent="0.25">
      <c r="G19" s="163">
        <v>2117</v>
      </c>
      <c r="H19" s="163"/>
      <c r="I19" s="163"/>
      <c r="J19" s="315"/>
      <c r="N19" s="21"/>
      <c r="O19" s="101"/>
      <c r="P19" s="101"/>
      <c r="Q19" s="101"/>
      <c r="R19" s="103"/>
      <c r="S19" s="21"/>
      <c r="T19" s="21"/>
      <c r="U19" s="21"/>
      <c r="V19" s="21"/>
      <c r="W19" s="21"/>
      <c r="X19" s="21"/>
      <c r="Y19" s="21"/>
      <c r="Z19" s="21"/>
      <c r="AA19" s="21"/>
      <c r="AB19" s="21"/>
      <c r="AC19" s="21"/>
      <c r="AD19" s="21"/>
      <c r="AE19" s="21"/>
    </row>
    <row r="20" spans="6:31" ht="12.6" x14ac:dyDescent="0.25">
      <c r="F20" s="733">
        <v>0.5</v>
      </c>
      <c r="N20" s="97"/>
      <c r="O20" s="101"/>
      <c r="P20" s="33"/>
      <c r="Q20" s="101"/>
      <c r="R20" s="103"/>
      <c r="S20" s="21"/>
      <c r="T20" s="21"/>
      <c r="U20" s="21"/>
      <c r="V20" s="21"/>
      <c r="W20" s="21"/>
      <c r="X20" s="21"/>
      <c r="Y20" s="21"/>
      <c r="Z20" s="21"/>
      <c r="AA20" s="21"/>
      <c r="AB20" s="21"/>
      <c r="AC20" s="21"/>
      <c r="AD20" s="21"/>
      <c r="AE20" s="21"/>
    </row>
    <row r="21" spans="6:31" ht="12.6" x14ac:dyDescent="0.25">
      <c r="F21" s="733">
        <v>0.6</v>
      </c>
      <c r="N21" s="97"/>
      <c r="O21" s="33"/>
      <c r="P21" s="101"/>
      <c r="Q21" s="101"/>
      <c r="R21" s="103"/>
      <c r="S21" s="21"/>
      <c r="T21" s="21"/>
      <c r="U21" s="21"/>
      <c r="V21" s="21"/>
      <c r="W21" s="21"/>
      <c r="X21" s="21"/>
      <c r="Y21" s="21"/>
      <c r="Z21" s="21"/>
      <c r="AA21" s="21"/>
      <c r="AB21" s="21"/>
      <c r="AC21" s="21"/>
      <c r="AD21" s="21"/>
      <c r="AE21" s="21"/>
    </row>
    <row r="22" spans="6:31" ht="12.6" x14ac:dyDescent="0.25">
      <c r="F22" s="733">
        <v>0.7</v>
      </c>
      <c r="N22" s="32"/>
      <c r="O22" s="16"/>
      <c r="P22" s="16"/>
      <c r="Q22" s="16"/>
      <c r="R22" s="103"/>
      <c r="S22" s="21"/>
      <c r="T22" s="21"/>
      <c r="U22" s="21"/>
      <c r="V22" s="21"/>
      <c r="W22" s="21"/>
      <c r="X22" s="21"/>
      <c r="Y22" s="21"/>
      <c r="Z22" s="21"/>
      <c r="AA22" s="21"/>
      <c r="AB22" s="21"/>
      <c r="AC22" s="21"/>
      <c r="AD22" s="21"/>
      <c r="AE22" s="21"/>
    </row>
    <row r="23" spans="6:31" x14ac:dyDescent="0.2">
      <c r="F23" s="733">
        <v>0.8</v>
      </c>
    </row>
    <row r="24" spans="6:31" x14ac:dyDescent="0.2">
      <c r="F24" s="79">
        <f>CHOOSE(Scenarios!$O$16,Support!F20,Support!F21,Support!F22,Support!F23)</f>
        <v>0.5</v>
      </c>
    </row>
    <row r="26" spans="6:31" x14ac:dyDescent="0.2">
      <c r="F26" s="733">
        <v>0.6</v>
      </c>
    </row>
    <row r="27" spans="6:31" x14ac:dyDescent="0.2">
      <c r="F27" s="733">
        <v>0.7</v>
      </c>
    </row>
    <row r="28" spans="6:31" x14ac:dyDescent="0.2">
      <c r="F28" s="733">
        <v>0.8</v>
      </c>
    </row>
    <row r="29" spans="6:31" x14ac:dyDescent="0.2">
      <c r="F29" s="733">
        <v>0.9</v>
      </c>
    </row>
    <row r="30" spans="6:31" x14ac:dyDescent="0.2">
      <c r="F30" s="79">
        <f>CHOOSE(Scenarios!$O$18,Support!F26,Support!F27,Support!F28,Support!F29)</f>
        <v>0.8</v>
      </c>
    </row>
    <row r="32" spans="6:31" x14ac:dyDescent="0.2">
      <c r="F32" s="362" t="s">
        <v>1196</v>
      </c>
    </row>
    <row r="33" spans="6:6" x14ac:dyDescent="0.2">
      <c r="F33" s="362" t="s">
        <v>1197</v>
      </c>
    </row>
    <row r="34" spans="6:6" x14ac:dyDescent="0.2">
      <c r="F34" s="362" t="str">
        <f>CHOOSE(Scenarios!$O$29,Support!F32,Support!F33)</f>
        <v>No</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BC403"/>
  <sheetViews>
    <sheetView zoomScale="85" zoomScaleNormal="85" workbookViewId="0">
      <pane xSplit="13" ySplit="6" topLeftCell="S7" activePane="bottomRight" state="frozen"/>
      <selection activeCell="B2" sqref="B2"/>
      <selection pane="topRight" activeCell="B2" sqref="B2"/>
      <selection pane="bottomLeft" activeCell="B2" sqref="B2"/>
      <selection pane="bottomRight" activeCell="D52" sqref="D52:F53"/>
    </sheetView>
  </sheetViews>
  <sheetFormatPr defaultColWidth="0" defaultRowHeight="12" outlineLevelCol="1" x14ac:dyDescent="0.2"/>
  <cols>
    <col min="1" max="5" width="2.6640625" style="1" customWidth="1"/>
    <col min="6" max="6" width="33.6640625" style="1" customWidth="1"/>
    <col min="7" max="7" width="22.88671875" style="1" customWidth="1" outlineLevel="1"/>
    <col min="8" max="8" width="22" style="1" customWidth="1" outlineLevel="1"/>
    <col min="9" max="9" width="2.33203125" style="1" customWidth="1"/>
    <col min="10" max="10" width="9.109375" style="2" customWidth="1"/>
    <col min="11" max="11" width="3.109375" style="1" customWidth="1"/>
    <col min="12" max="12" width="40.33203125" style="3" bestFit="1" customWidth="1" outlineLevel="1"/>
    <col min="13" max="13" width="15.5546875" style="1" bestFit="1" customWidth="1"/>
    <col min="14" max="14" width="17.109375" style="1" customWidth="1" outlineLevel="1"/>
    <col min="15" max="15" width="6" style="18" customWidth="1" outlineLevel="1"/>
    <col min="16" max="32" width="16" style="18" customWidth="1"/>
    <col min="33" max="41" width="16" style="18" hidden="1" customWidth="1"/>
    <col min="42" max="42" width="14.109375" style="1" hidden="1" customWidth="1"/>
    <col min="43" max="16384" width="9.109375" style="1" hidden="1"/>
  </cols>
  <sheetData>
    <row r="1" spans="1:55"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293"/>
    </row>
    <row r="2" spans="1:55"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55" ht="12.6" x14ac:dyDescent="0.25">
      <c r="B3" s="4" t="s">
        <v>69</v>
      </c>
      <c r="O3" s="1"/>
      <c r="P3" s="1"/>
      <c r="Q3" s="1"/>
      <c r="R3" s="1"/>
      <c r="S3" s="1"/>
      <c r="T3" s="1"/>
      <c r="U3" s="1"/>
      <c r="V3" s="1"/>
      <c r="W3" s="1"/>
      <c r="X3" s="1"/>
      <c r="Y3" s="1"/>
      <c r="Z3" s="1"/>
      <c r="AA3" s="1"/>
      <c r="AB3" s="1"/>
      <c r="AC3" s="1"/>
      <c r="AD3" s="1"/>
      <c r="AE3" s="1"/>
      <c r="AF3" s="1"/>
      <c r="AG3" s="1"/>
      <c r="AH3" s="1"/>
      <c r="AI3" s="1"/>
      <c r="AJ3" s="1"/>
      <c r="AK3" s="1"/>
      <c r="AL3" s="1"/>
      <c r="AM3" s="1"/>
      <c r="AN3" s="1"/>
      <c r="AO3" s="1"/>
    </row>
    <row r="4" spans="1:55" x14ac:dyDescent="0.2">
      <c r="F4" s="5"/>
      <c r="J4" s="2" t="s">
        <v>6</v>
      </c>
      <c r="L4" s="3" t="s">
        <v>7</v>
      </c>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55" x14ac:dyDescent="0.2">
      <c r="B5" s="1" t="s">
        <v>3</v>
      </c>
      <c r="G5" s="1" t="s">
        <v>4</v>
      </c>
      <c r="H5" s="8" t="s">
        <v>5</v>
      </c>
      <c r="L5" s="3" t="s">
        <v>16</v>
      </c>
      <c r="N5" s="9">
        <v>42582</v>
      </c>
      <c r="O5" s="9">
        <v>42947</v>
      </c>
      <c r="P5" s="9">
        <v>43312</v>
      </c>
      <c r="Q5" s="9">
        <v>43677</v>
      </c>
      <c r="R5" s="9">
        <v>44043</v>
      </c>
      <c r="S5" s="9">
        <v>44408</v>
      </c>
      <c r="T5" s="9">
        <v>44773</v>
      </c>
      <c r="U5" s="9">
        <v>45138</v>
      </c>
      <c r="V5" s="9">
        <v>45504</v>
      </c>
      <c r="W5" s="9">
        <v>45869</v>
      </c>
      <c r="X5" s="9">
        <v>46234</v>
      </c>
      <c r="Y5" s="9">
        <v>46599</v>
      </c>
      <c r="Z5" s="9">
        <v>46965</v>
      </c>
      <c r="AA5" s="9">
        <v>47330</v>
      </c>
      <c r="AB5" s="9">
        <v>47695</v>
      </c>
      <c r="AC5" s="9">
        <v>48060</v>
      </c>
      <c r="AD5" s="9">
        <v>48426</v>
      </c>
      <c r="AE5" s="5"/>
      <c r="AF5" s="5"/>
      <c r="AG5" s="5"/>
      <c r="AH5" s="5"/>
      <c r="AI5" s="5"/>
      <c r="AJ5" s="5"/>
      <c r="AK5" s="5"/>
      <c r="AL5" s="5"/>
      <c r="AM5" s="5"/>
      <c r="AN5" s="5"/>
      <c r="AO5" s="5"/>
    </row>
    <row r="6" spans="1:55"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55" ht="12.6" thickBot="1" x14ac:dyDescent="0.25">
      <c r="A7" s="1" t="s">
        <v>8</v>
      </c>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55" ht="13.2" thickTop="1" x14ac:dyDescent="0.25">
      <c r="A8" s="11"/>
      <c r="B8" s="12" t="str">
        <f>B3</f>
        <v xml:space="preserve"> Inputs</v>
      </c>
      <c r="C8" s="13"/>
      <c r="D8" s="13"/>
      <c r="E8" s="13"/>
      <c r="F8" s="13"/>
      <c r="G8" s="13"/>
      <c r="H8" s="13"/>
      <c r="I8" s="13"/>
      <c r="J8" s="13"/>
      <c r="K8" s="13"/>
      <c r="L8" s="4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55" ht="12.6" thickBot="1" x14ac:dyDescent="0.25">
      <c r="N9" s="18"/>
    </row>
    <row r="10" spans="1:55" s="10" customFormat="1" ht="12.6" thickTop="1" x14ac:dyDescent="0.2">
      <c r="C10" s="171" t="s">
        <v>17</v>
      </c>
      <c r="D10" s="170"/>
      <c r="E10" s="171"/>
      <c r="F10" s="172"/>
      <c r="G10" s="172"/>
      <c r="H10" s="173"/>
      <c r="I10" s="172"/>
      <c r="J10" s="174"/>
      <c r="K10" s="172"/>
      <c r="L10" s="170"/>
      <c r="M10" s="172"/>
      <c r="N10" s="175"/>
      <c r="O10" s="175"/>
      <c r="P10" s="175"/>
      <c r="Q10" s="175"/>
      <c r="R10" s="175"/>
      <c r="S10" s="175"/>
      <c r="T10" s="175"/>
      <c r="U10" s="175"/>
      <c r="V10" s="175"/>
      <c r="W10" s="175"/>
      <c r="X10" s="175"/>
      <c r="Y10" s="175"/>
      <c r="Z10" s="175"/>
      <c r="AA10" s="175"/>
      <c r="AB10" s="175"/>
      <c r="AC10" s="175"/>
      <c r="AD10" s="175"/>
      <c r="AE10" s="45"/>
      <c r="AF10" s="45"/>
      <c r="AG10" s="45"/>
      <c r="AH10" s="45"/>
      <c r="AI10" s="45"/>
      <c r="AJ10" s="45"/>
      <c r="AK10" s="45"/>
      <c r="AL10" s="45"/>
      <c r="AM10" s="45"/>
      <c r="AN10" s="45"/>
      <c r="AO10" s="45"/>
      <c r="AP10" s="45"/>
      <c r="AQ10" s="46"/>
      <c r="AR10" s="46"/>
      <c r="AS10" s="46"/>
      <c r="AT10" s="46"/>
      <c r="AU10" s="46"/>
      <c r="AV10" s="46"/>
      <c r="AW10" s="46"/>
      <c r="AX10" s="46"/>
      <c r="AY10" s="46"/>
      <c r="AZ10" s="46"/>
      <c r="BA10" s="46"/>
      <c r="BB10" s="46"/>
      <c r="BC10" s="46"/>
    </row>
    <row r="11" spans="1:55" s="10" customFormat="1" x14ac:dyDescent="0.2">
      <c r="C11" s="20"/>
      <c r="D11" s="20"/>
      <c r="E11" s="47"/>
      <c r="H11" s="48"/>
      <c r="J11" s="22"/>
      <c r="L11" s="20"/>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row>
    <row r="12" spans="1:55" s="10" customFormat="1" x14ac:dyDescent="0.2">
      <c r="C12" s="20"/>
      <c r="D12" s="10" t="s">
        <v>18</v>
      </c>
      <c r="H12" s="49">
        <v>366</v>
      </c>
      <c r="J12" s="22" t="s">
        <v>18</v>
      </c>
      <c r="L12" s="20"/>
      <c r="N12" s="50">
        <f t="shared" ref="N12:AD12" si="0">$H$12</f>
        <v>366</v>
      </c>
      <c r="O12" s="50">
        <f t="shared" si="0"/>
        <v>366</v>
      </c>
      <c r="P12" s="50">
        <f t="shared" si="0"/>
        <v>366</v>
      </c>
      <c r="Q12" s="50">
        <f t="shared" si="0"/>
        <v>366</v>
      </c>
      <c r="R12" s="50">
        <f t="shared" si="0"/>
        <v>366</v>
      </c>
      <c r="S12" s="50">
        <f t="shared" si="0"/>
        <v>366</v>
      </c>
      <c r="T12" s="50">
        <f t="shared" si="0"/>
        <v>366</v>
      </c>
      <c r="U12" s="50">
        <f t="shared" si="0"/>
        <v>366</v>
      </c>
      <c r="V12" s="50">
        <f t="shared" si="0"/>
        <v>366</v>
      </c>
      <c r="W12" s="50">
        <f t="shared" si="0"/>
        <v>366</v>
      </c>
      <c r="X12" s="50">
        <f t="shared" si="0"/>
        <v>366</v>
      </c>
      <c r="Y12" s="50">
        <f t="shared" si="0"/>
        <v>366</v>
      </c>
      <c r="Z12" s="50">
        <f t="shared" si="0"/>
        <v>366</v>
      </c>
      <c r="AA12" s="50">
        <f t="shared" si="0"/>
        <v>366</v>
      </c>
      <c r="AB12" s="50">
        <f t="shared" si="0"/>
        <v>366</v>
      </c>
      <c r="AC12" s="50">
        <f t="shared" si="0"/>
        <v>366</v>
      </c>
      <c r="AD12" s="50">
        <f t="shared" si="0"/>
        <v>366</v>
      </c>
      <c r="AE12" s="51"/>
      <c r="AF12" s="51"/>
      <c r="AG12" s="51"/>
      <c r="AH12" s="51"/>
      <c r="AI12" s="51"/>
      <c r="AJ12" s="51"/>
      <c r="AK12" s="51"/>
      <c r="AL12" s="51"/>
      <c r="AM12" s="51"/>
      <c r="AN12" s="51"/>
      <c r="AO12" s="51"/>
      <c r="AP12" s="52"/>
      <c r="AQ12" s="53">
        <f>$H$13/4</f>
        <v>3</v>
      </c>
      <c r="AR12" s="54">
        <f>$H$13/4</f>
        <v>3</v>
      </c>
      <c r="AS12" s="54">
        <f>$H$13/4</f>
        <v>3</v>
      </c>
      <c r="AT12" s="54">
        <f>$H$13</f>
        <v>12</v>
      </c>
      <c r="AU12" s="54">
        <f>$H$13/4</f>
        <v>3</v>
      </c>
      <c r="AV12" s="54">
        <f>$H$13/4</f>
        <v>3</v>
      </c>
      <c r="AW12" s="54">
        <f>$H$13/4</f>
        <v>3</v>
      </c>
      <c r="AX12" s="54">
        <f>$H$13/4</f>
        <v>3</v>
      </c>
      <c r="AY12" s="54">
        <f>$H$13</f>
        <v>12</v>
      </c>
      <c r="AZ12" s="54">
        <f>$H$13</f>
        <v>12</v>
      </c>
      <c r="BA12" s="54">
        <f>$H$13</f>
        <v>12</v>
      </c>
      <c r="BB12" s="54">
        <f>$H$13</f>
        <v>12</v>
      </c>
      <c r="BC12" s="54">
        <f>$H$13</f>
        <v>12</v>
      </c>
    </row>
    <row r="13" spans="1:55" s="10" customFormat="1" x14ac:dyDescent="0.2">
      <c r="C13" s="20"/>
      <c r="D13" s="10" t="s">
        <v>19</v>
      </c>
      <c r="H13" s="49">
        <v>12</v>
      </c>
      <c r="J13" s="22" t="s">
        <v>20</v>
      </c>
      <c r="L13" s="99" t="s">
        <v>257</v>
      </c>
      <c r="M13" s="176">
        <v>12</v>
      </c>
      <c r="N13" s="55"/>
      <c r="O13" s="55"/>
      <c r="P13" s="55"/>
      <c r="Q13" s="55"/>
      <c r="R13" s="55"/>
      <c r="S13" s="55"/>
      <c r="T13" s="55"/>
      <c r="U13" s="55"/>
      <c r="V13" s="55"/>
      <c r="W13" s="55"/>
      <c r="X13" s="55"/>
      <c r="Y13" s="55"/>
      <c r="Z13" s="55"/>
      <c r="AA13" s="55"/>
      <c r="AB13" s="55"/>
      <c r="AC13" s="55"/>
      <c r="AD13" s="55"/>
      <c r="AE13" s="52"/>
      <c r="AF13" s="52"/>
      <c r="AG13" s="52"/>
      <c r="AH13" s="52"/>
      <c r="AI13" s="52"/>
      <c r="AJ13" s="52"/>
      <c r="AK13" s="52"/>
      <c r="AL13" s="52"/>
      <c r="AM13" s="52"/>
      <c r="AN13" s="52"/>
      <c r="AO13" s="52"/>
      <c r="AP13" s="52"/>
      <c r="AQ13" s="55"/>
      <c r="AR13" s="55"/>
      <c r="AS13" s="55"/>
      <c r="AT13" s="55"/>
      <c r="AU13" s="55"/>
      <c r="AV13" s="55"/>
      <c r="AW13" s="55"/>
      <c r="AX13" s="55"/>
      <c r="AY13" s="55"/>
      <c r="AZ13" s="55"/>
      <c r="BA13" s="55"/>
      <c r="BB13" s="55"/>
      <c r="BC13" s="55"/>
    </row>
    <row r="14" spans="1:55" s="10" customFormat="1" ht="12.6" x14ac:dyDescent="0.25">
      <c r="D14" s="32"/>
      <c r="F14" s="32"/>
      <c r="H14" s="48"/>
      <c r="J14" s="22"/>
      <c r="L14" s="20"/>
      <c r="N14" s="45"/>
      <c r="O14" s="45"/>
      <c r="P14" s="56"/>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row>
    <row r="15" spans="1:55" x14ac:dyDescent="0.2">
      <c r="D15" s="1" t="s">
        <v>1205</v>
      </c>
      <c r="H15" s="57">
        <v>1000</v>
      </c>
      <c r="J15" s="2" t="s">
        <v>1206</v>
      </c>
      <c r="L15" s="23" t="s">
        <v>773</v>
      </c>
      <c r="M15" s="176">
        <v>1000</v>
      </c>
    </row>
    <row r="16" spans="1:55" x14ac:dyDescent="0.2">
      <c r="N16" s="18"/>
    </row>
    <row r="17" spans="2:55" x14ac:dyDescent="0.2">
      <c r="D17" s="1" t="s">
        <v>135</v>
      </c>
      <c r="J17" s="2" t="s">
        <v>49</v>
      </c>
      <c r="L17" s="3" t="s">
        <v>137</v>
      </c>
      <c r="M17" s="188">
        <v>0.02</v>
      </c>
      <c r="N17" s="18"/>
      <c r="S17" s="177">
        <v>2.5000000000000001E-2</v>
      </c>
      <c r="T17" s="177">
        <v>2.5000000000000001E-2</v>
      </c>
      <c r="U17" s="177">
        <v>2.5000000000000001E-2</v>
      </c>
      <c r="V17" s="177">
        <v>2.5000000000000001E-2</v>
      </c>
      <c r="W17" s="177">
        <v>2.5000000000000001E-2</v>
      </c>
      <c r="X17" s="177">
        <v>2.5000000000000001E-2</v>
      </c>
      <c r="Y17" s="177">
        <v>2.5000000000000001E-2</v>
      </c>
      <c r="Z17" s="177">
        <v>2.5000000000000001E-2</v>
      </c>
      <c r="AA17" s="177">
        <v>2.5000000000000001E-2</v>
      </c>
      <c r="AB17" s="177">
        <v>2.5000000000000001E-2</v>
      </c>
      <c r="AC17" s="177">
        <v>2.5000000000000001E-2</v>
      </c>
      <c r="AD17" s="177">
        <v>2.5000000000000001E-2</v>
      </c>
      <c r="AE17" s="19"/>
      <c r="AF17" s="19"/>
      <c r="AG17" s="19">
        <v>2.5000000000000001E-2</v>
      </c>
      <c r="AH17" s="19">
        <v>2.5000000000000001E-2</v>
      </c>
      <c r="AI17" s="19">
        <v>2.5000000000000001E-2</v>
      </c>
      <c r="AJ17" s="19">
        <v>2.5000000000000001E-2</v>
      </c>
      <c r="AK17" s="19">
        <v>2.5000000000000001E-2</v>
      </c>
      <c r="AL17" s="19">
        <v>2.5000000000000001E-2</v>
      </c>
      <c r="AM17" s="19">
        <v>2.5000000000000001E-2</v>
      </c>
      <c r="AN17" s="19">
        <v>2.5000000000000001E-2</v>
      </c>
    </row>
    <row r="18" spans="2:55" x14ac:dyDescent="0.2">
      <c r="D18" s="1" t="s">
        <v>607</v>
      </c>
      <c r="J18" s="2" t="s">
        <v>64</v>
      </c>
      <c r="M18" s="396" t="s">
        <v>772</v>
      </c>
      <c r="N18" s="345"/>
      <c r="S18" s="19"/>
      <c r="T18" s="19"/>
      <c r="U18" s="19"/>
      <c r="V18" s="19"/>
      <c r="W18" s="19"/>
      <c r="X18" s="19"/>
      <c r="Y18" s="19"/>
      <c r="Z18" s="19"/>
      <c r="AA18" s="19"/>
      <c r="AB18" s="19"/>
      <c r="AC18" s="19"/>
      <c r="AD18" s="19"/>
      <c r="AE18" s="19"/>
      <c r="AF18" s="19"/>
      <c r="AG18" s="19"/>
      <c r="AH18" s="19"/>
      <c r="AI18" s="19"/>
      <c r="AJ18" s="19"/>
      <c r="AK18" s="19"/>
      <c r="AL18" s="19"/>
      <c r="AM18" s="19"/>
      <c r="AN18" s="19"/>
    </row>
    <row r="19" spans="2:55" x14ac:dyDescent="0.2">
      <c r="N19" s="18"/>
      <c r="S19" s="19"/>
      <c r="T19" s="19"/>
      <c r="U19" s="19"/>
      <c r="V19" s="19"/>
      <c r="W19" s="19"/>
      <c r="X19" s="19"/>
      <c r="Y19" s="19"/>
      <c r="Z19" s="19"/>
      <c r="AA19" s="19"/>
      <c r="AB19" s="19"/>
      <c r="AC19" s="19"/>
      <c r="AD19" s="19"/>
      <c r="AE19" s="19"/>
      <c r="AF19" s="19"/>
      <c r="AG19" s="19"/>
      <c r="AH19" s="19"/>
      <c r="AI19" s="19"/>
      <c r="AJ19" s="19"/>
      <c r="AK19" s="19"/>
      <c r="AL19" s="19"/>
      <c r="AM19" s="19"/>
      <c r="AN19" s="19"/>
    </row>
    <row r="20" spans="2:55" x14ac:dyDescent="0.2">
      <c r="D20" s="1" t="s">
        <v>774</v>
      </c>
      <c r="J20" s="2" t="s">
        <v>49</v>
      </c>
      <c r="L20" s="3" t="s">
        <v>775</v>
      </c>
      <c r="M20" s="189">
        <v>2.5000000000000001E-2</v>
      </c>
      <c r="N20" s="18"/>
      <c r="S20" s="177">
        <v>2.5000000000000001E-2</v>
      </c>
      <c r="T20" s="177">
        <v>2.5000000000000001E-2</v>
      </c>
      <c r="U20" s="177">
        <v>2.5000000000000001E-2</v>
      </c>
      <c r="V20" s="177">
        <v>2.5000000000000001E-2</v>
      </c>
      <c r="W20" s="177">
        <v>2.5000000000000001E-2</v>
      </c>
      <c r="X20" s="177">
        <v>2.5000000000000001E-2</v>
      </c>
      <c r="Y20" s="177">
        <v>2.5000000000000001E-2</v>
      </c>
      <c r="Z20" s="177">
        <v>2.5000000000000001E-2</v>
      </c>
      <c r="AA20" s="177">
        <v>2.5000000000000001E-2</v>
      </c>
      <c r="AB20" s="177">
        <v>2.5000000000000001E-2</v>
      </c>
      <c r="AC20" s="177">
        <v>2.5000000000000001E-2</v>
      </c>
      <c r="AD20" s="177">
        <v>2.5000000000000001E-2</v>
      </c>
      <c r="AE20" s="19"/>
      <c r="AF20" s="19"/>
      <c r="AG20" s="19">
        <v>2.5000000000000001E-2</v>
      </c>
      <c r="AH20" s="19">
        <v>2.5000000000000001E-2</v>
      </c>
      <c r="AI20" s="19">
        <v>2.5000000000000001E-2</v>
      </c>
      <c r="AJ20" s="19">
        <v>2.5000000000000001E-2</v>
      </c>
      <c r="AK20" s="19">
        <v>2.5000000000000001E-2</v>
      </c>
      <c r="AL20" s="19">
        <v>2.5000000000000001E-2</v>
      </c>
      <c r="AM20" s="19">
        <v>2.5000000000000001E-2</v>
      </c>
      <c r="AN20" s="19">
        <v>2.5000000000000001E-2</v>
      </c>
    </row>
    <row r="21" spans="2:55" x14ac:dyDescent="0.2">
      <c r="N21" s="18"/>
      <c r="S21" s="19"/>
      <c r="T21" s="19"/>
      <c r="U21" s="19"/>
      <c r="V21" s="19"/>
      <c r="W21" s="19"/>
      <c r="X21" s="19"/>
      <c r="Y21" s="19"/>
      <c r="Z21" s="19"/>
      <c r="AA21" s="19"/>
      <c r="AB21" s="19"/>
      <c r="AC21" s="19"/>
      <c r="AD21" s="19"/>
      <c r="AE21" s="19"/>
      <c r="AF21" s="19"/>
      <c r="AG21" s="19"/>
      <c r="AH21" s="19"/>
      <c r="AI21" s="19"/>
      <c r="AJ21" s="19"/>
      <c r="AK21" s="19"/>
      <c r="AL21" s="19"/>
      <c r="AM21" s="19"/>
      <c r="AN21" s="19"/>
    </row>
    <row r="22" spans="2:55" x14ac:dyDescent="0.2">
      <c r="D22" s="1" t="s">
        <v>8</v>
      </c>
      <c r="J22" s="2" t="s">
        <v>49</v>
      </c>
      <c r="L22" s="3" t="s">
        <v>298</v>
      </c>
      <c r="M22" s="189">
        <v>0.2</v>
      </c>
      <c r="N22" s="18"/>
      <c r="Q22" s="25"/>
      <c r="S22" s="19"/>
      <c r="T22" s="19"/>
      <c r="U22" s="19"/>
      <c r="V22" s="19"/>
      <c r="W22" s="19"/>
      <c r="X22" s="19"/>
      <c r="Y22" s="19"/>
      <c r="Z22" s="19"/>
      <c r="AA22" s="19"/>
      <c r="AB22" s="19"/>
      <c r="AC22" s="19"/>
      <c r="AD22" s="19"/>
      <c r="AE22" s="19"/>
      <c r="AF22" s="19"/>
      <c r="AG22" s="19"/>
      <c r="AH22" s="19"/>
      <c r="AI22" s="19"/>
      <c r="AJ22" s="19"/>
      <c r="AK22" s="19"/>
      <c r="AL22" s="19"/>
      <c r="AM22" s="19"/>
      <c r="AN22" s="19"/>
    </row>
    <row r="23" spans="2:55" x14ac:dyDescent="0.2">
      <c r="D23" s="1" t="s">
        <v>240</v>
      </c>
      <c r="J23" s="2" t="s">
        <v>49</v>
      </c>
      <c r="L23" s="3" t="s">
        <v>299</v>
      </c>
      <c r="M23" s="188">
        <v>0.04</v>
      </c>
      <c r="N23" s="18"/>
      <c r="S23" s="19"/>
      <c r="T23" s="19"/>
      <c r="U23" s="19"/>
      <c r="V23" s="19"/>
      <c r="W23" s="19"/>
      <c r="X23" s="19"/>
      <c r="Y23" s="19"/>
      <c r="Z23" s="19"/>
      <c r="AA23" s="19"/>
      <c r="AB23" s="19"/>
      <c r="AC23" s="19"/>
      <c r="AD23" s="19"/>
      <c r="AE23" s="19"/>
      <c r="AF23" s="19"/>
      <c r="AG23" s="19"/>
      <c r="AH23" s="19"/>
      <c r="AI23" s="19"/>
      <c r="AJ23" s="19"/>
      <c r="AK23" s="19"/>
      <c r="AL23" s="19"/>
      <c r="AM23" s="19"/>
      <c r="AN23" s="19"/>
    </row>
    <row r="24" spans="2:55" x14ac:dyDescent="0.2">
      <c r="N24" s="18"/>
      <c r="S24" s="19"/>
      <c r="T24" s="19"/>
      <c r="U24" s="19"/>
      <c r="V24" s="19"/>
      <c r="W24" s="19"/>
      <c r="X24" s="19"/>
      <c r="Y24" s="19"/>
      <c r="Z24" s="19"/>
      <c r="AA24" s="19"/>
      <c r="AB24" s="19"/>
      <c r="AC24" s="19"/>
      <c r="AD24" s="19"/>
      <c r="AE24" s="19"/>
      <c r="AF24" s="19"/>
      <c r="AG24" s="19"/>
      <c r="AH24" s="19"/>
      <c r="AI24" s="19"/>
      <c r="AJ24" s="19"/>
      <c r="AK24" s="19"/>
      <c r="AL24" s="19"/>
      <c r="AM24" s="19"/>
      <c r="AN24" s="19"/>
    </row>
    <row r="25" spans="2:55" x14ac:dyDescent="0.2">
      <c r="N25" s="18"/>
      <c r="S25" s="19"/>
      <c r="T25" s="19"/>
      <c r="U25" s="19"/>
      <c r="V25" s="19"/>
      <c r="W25" s="19"/>
      <c r="X25" s="19"/>
      <c r="Y25" s="19"/>
      <c r="Z25" s="19"/>
      <c r="AA25" s="19"/>
      <c r="AB25" s="19"/>
      <c r="AC25" s="19"/>
      <c r="AD25" s="19"/>
      <c r="AE25" s="19"/>
      <c r="AF25" s="19"/>
      <c r="AG25" s="19"/>
      <c r="AH25" s="19"/>
      <c r="AI25" s="19"/>
      <c r="AJ25" s="19"/>
      <c r="AK25" s="19"/>
      <c r="AL25" s="19"/>
      <c r="AM25" s="19"/>
      <c r="AN25" s="19"/>
    </row>
    <row r="26" spans="2:55" x14ac:dyDescent="0.2">
      <c r="D26" s="1" t="s">
        <v>136</v>
      </c>
      <c r="I26" s="1" t="s">
        <v>8</v>
      </c>
      <c r="J26" s="2" t="s">
        <v>49</v>
      </c>
      <c r="L26" s="3" t="s">
        <v>138</v>
      </c>
      <c r="M26" s="733">
        <v>0.15</v>
      </c>
      <c r="N26" s="18"/>
      <c r="S26" s="177">
        <v>0.15</v>
      </c>
      <c r="T26" s="177">
        <v>0.15</v>
      </c>
      <c r="U26" s="177">
        <v>0.15</v>
      </c>
      <c r="V26" s="177">
        <v>0.15</v>
      </c>
      <c r="W26" s="177">
        <v>0.15</v>
      </c>
      <c r="X26" s="177">
        <v>0.15</v>
      </c>
      <c r="Y26" s="177">
        <v>0.15</v>
      </c>
      <c r="Z26" s="177">
        <v>0.15</v>
      </c>
      <c r="AA26" s="177">
        <v>0.15</v>
      </c>
      <c r="AB26" s="177">
        <v>0.15</v>
      </c>
      <c r="AC26" s="177">
        <v>0.15</v>
      </c>
      <c r="AD26" s="177">
        <v>0.15</v>
      </c>
      <c r="AE26" s="19"/>
      <c r="AF26" s="19"/>
      <c r="AG26" s="19">
        <v>0.05</v>
      </c>
      <c r="AH26" s="19">
        <v>0.05</v>
      </c>
      <c r="AI26" s="19">
        <v>0.05</v>
      </c>
      <c r="AJ26" s="19">
        <v>0.05</v>
      </c>
      <c r="AK26" s="19">
        <v>0.05</v>
      </c>
      <c r="AL26" s="19">
        <v>0.05</v>
      </c>
      <c r="AM26" s="19">
        <v>0.05</v>
      </c>
      <c r="AN26" s="19">
        <v>0.05</v>
      </c>
    </row>
    <row r="27" spans="2:55" x14ac:dyDescent="0.2">
      <c r="N27" s="18"/>
      <c r="S27" s="19"/>
      <c r="T27" s="19"/>
      <c r="U27" s="19"/>
      <c r="V27" s="19"/>
      <c r="W27" s="19"/>
      <c r="X27" s="19"/>
      <c r="Y27" s="19"/>
      <c r="Z27" s="19"/>
      <c r="AA27" s="19"/>
      <c r="AB27" s="19"/>
      <c r="AC27" s="19"/>
      <c r="AD27" s="19"/>
      <c r="AE27" s="19"/>
      <c r="AF27" s="19"/>
      <c r="AG27" s="19"/>
      <c r="AH27" s="19"/>
      <c r="AI27" s="19"/>
      <c r="AJ27" s="19"/>
      <c r="AK27" s="19"/>
      <c r="AL27" s="19"/>
      <c r="AM27" s="19"/>
      <c r="AN27" s="19"/>
    </row>
    <row r="28" spans="2:55" ht="12.6" thickBot="1" x14ac:dyDescent="0.25">
      <c r="N28" s="18"/>
      <c r="S28" s="19"/>
      <c r="T28" s="19"/>
      <c r="U28" s="19"/>
      <c r="V28" s="19"/>
      <c r="W28" s="19"/>
      <c r="X28" s="19"/>
      <c r="Y28" s="19"/>
      <c r="Z28" s="19"/>
      <c r="AA28" s="19"/>
      <c r="AB28" s="19"/>
      <c r="AC28" s="19"/>
      <c r="AD28" s="19"/>
      <c r="AE28" s="19"/>
      <c r="AF28" s="19"/>
      <c r="AG28" s="19"/>
      <c r="AH28" s="19"/>
      <c r="AI28" s="19"/>
      <c r="AJ28" s="19"/>
      <c r="AK28" s="19"/>
      <c r="AL28" s="19"/>
      <c r="AM28" s="19"/>
      <c r="AN28" s="19"/>
    </row>
    <row r="29" spans="2:55" s="97" customFormat="1" ht="12.6" thickTop="1" x14ac:dyDescent="0.2">
      <c r="B29" s="333" t="s">
        <v>400</v>
      </c>
      <c r="C29" s="333"/>
      <c r="D29" s="320"/>
      <c r="E29" s="333"/>
      <c r="F29" s="321"/>
      <c r="G29" s="321"/>
      <c r="H29" s="334"/>
      <c r="I29" s="321"/>
      <c r="J29" s="322"/>
      <c r="K29" s="321"/>
      <c r="L29" s="320"/>
      <c r="M29" s="321"/>
      <c r="N29" s="335"/>
      <c r="O29" s="335"/>
      <c r="P29" s="335"/>
      <c r="Q29" s="335"/>
      <c r="R29" s="335"/>
      <c r="S29" s="335"/>
      <c r="T29" s="335"/>
      <c r="U29" s="335"/>
      <c r="V29" s="335"/>
      <c r="W29" s="335"/>
      <c r="X29" s="335"/>
      <c r="Y29" s="335"/>
      <c r="Z29" s="335"/>
      <c r="AA29" s="335"/>
      <c r="AB29" s="335"/>
      <c r="AC29" s="335"/>
      <c r="AD29" s="335"/>
      <c r="AE29" s="45"/>
      <c r="AF29" s="45"/>
      <c r="AG29" s="45"/>
      <c r="AH29" s="45"/>
      <c r="AI29" s="45"/>
      <c r="AJ29" s="45"/>
      <c r="AK29" s="45"/>
      <c r="AL29" s="45"/>
      <c r="AM29" s="45"/>
      <c r="AN29" s="45"/>
      <c r="AO29" s="45"/>
      <c r="AP29" s="45"/>
      <c r="AQ29" s="46"/>
      <c r="AR29" s="46"/>
      <c r="AS29" s="46"/>
      <c r="AT29" s="46"/>
      <c r="AU29" s="46"/>
      <c r="AV29" s="46"/>
      <c r="AW29" s="46"/>
      <c r="AX29" s="46"/>
      <c r="AY29" s="46"/>
      <c r="AZ29" s="46"/>
      <c r="BA29" s="46"/>
      <c r="BB29" s="46"/>
      <c r="BC29" s="46"/>
    </row>
    <row r="30" spans="2:55" s="97" customFormat="1" ht="12.6" thickBot="1" x14ac:dyDescent="0.25">
      <c r="B30" s="47"/>
      <c r="C30" s="47"/>
      <c r="D30" s="20"/>
      <c r="E30" s="47"/>
      <c r="H30" s="48"/>
      <c r="J30" s="98"/>
      <c r="L30" s="20"/>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row>
    <row r="31" spans="2:55" ht="12.6" thickTop="1" x14ac:dyDescent="0.2">
      <c r="C31" s="336" t="s">
        <v>10</v>
      </c>
      <c r="D31" s="337"/>
      <c r="E31" s="336"/>
      <c r="F31" s="338"/>
      <c r="G31" s="338"/>
      <c r="H31" s="339"/>
      <c r="I31" s="338"/>
      <c r="J31" s="340"/>
      <c r="K31" s="338"/>
      <c r="L31" s="337"/>
      <c r="M31" s="338"/>
      <c r="N31" s="341"/>
      <c r="O31" s="341"/>
      <c r="P31" s="341"/>
      <c r="Q31" s="341"/>
      <c r="R31" s="341"/>
      <c r="S31" s="341"/>
      <c r="T31" s="341"/>
      <c r="U31" s="341"/>
      <c r="V31" s="341"/>
      <c r="W31" s="341"/>
      <c r="X31" s="341"/>
      <c r="Y31" s="341"/>
      <c r="Z31" s="341"/>
      <c r="AA31" s="341"/>
      <c r="AB31" s="341"/>
      <c r="AC31" s="341"/>
      <c r="AD31" s="341"/>
      <c r="AE31" s="45"/>
      <c r="AF31" s="45"/>
    </row>
    <row r="32" spans="2:55" x14ac:dyDescent="0.2">
      <c r="N32" s="18"/>
    </row>
    <row r="33" spans="1:41" s="97" customFormat="1" ht="12.6" x14ac:dyDescent="0.25">
      <c r="A33" s="32"/>
      <c r="B33" s="32"/>
      <c r="D33" s="32" t="s">
        <v>953</v>
      </c>
      <c r="E33" s="32"/>
      <c r="H33" s="101"/>
      <c r="I33" s="98"/>
      <c r="J33" s="98"/>
      <c r="K33" s="32"/>
      <c r="L33" s="38"/>
      <c r="M33" s="677" t="s">
        <v>979</v>
      </c>
      <c r="N33" s="108"/>
      <c r="O33" s="108"/>
      <c r="P33" s="108"/>
      <c r="Q33" s="108"/>
      <c r="R33" s="108"/>
      <c r="S33" s="32"/>
      <c r="T33" s="32"/>
      <c r="U33" s="32"/>
      <c r="V33" s="32"/>
      <c r="W33" s="32"/>
      <c r="X33" s="108"/>
      <c r="Y33" s="108"/>
      <c r="Z33" s="108"/>
      <c r="AA33" s="108"/>
      <c r="AB33" s="108"/>
      <c r="AC33" s="108"/>
      <c r="AD33" s="108"/>
      <c r="AE33" s="32"/>
      <c r="AF33" s="21"/>
      <c r="AG33" s="21"/>
      <c r="AH33" s="21"/>
      <c r="AI33" s="21"/>
      <c r="AJ33" s="21"/>
      <c r="AK33" s="21"/>
      <c r="AL33" s="21"/>
      <c r="AM33" s="21"/>
      <c r="AN33" s="21"/>
      <c r="AO33" s="21"/>
    </row>
    <row r="34" spans="1:41" ht="12.6" x14ac:dyDescent="0.25">
      <c r="A34" s="35"/>
      <c r="B34" s="35"/>
      <c r="C34" s="97"/>
      <c r="D34" s="32"/>
      <c r="E34" s="77" t="s">
        <v>954</v>
      </c>
      <c r="G34" s="97"/>
      <c r="H34" s="101"/>
      <c r="I34" s="32"/>
      <c r="J34" s="98" t="s">
        <v>49</v>
      </c>
      <c r="K34" s="101"/>
      <c r="L34" s="3" t="s">
        <v>968</v>
      </c>
      <c r="M34" s="660">
        <f>IFERROR((R34/P34)^(1/2)-1,0)</f>
        <v>0.12664423255604884</v>
      </c>
      <c r="N34" s="101"/>
      <c r="O34" s="101"/>
      <c r="P34" s="91">
        <v>289087</v>
      </c>
      <c r="Q34" s="91">
        <v>329500</v>
      </c>
      <c r="R34" s="91">
        <v>366946</v>
      </c>
      <c r="S34" s="108">
        <f>$M34</f>
        <v>0.12664423255604884</v>
      </c>
      <c r="T34" s="108">
        <f t="shared" ref="T34:AD38" si="1">$M34</f>
        <v>0.12664423255604884</v>
      </c>
      <c r="U34" s="108">
        <f t="shared" si="1"/>
        <v>0.12664423255604884</v>
      </c>
      <c r="V34" s="108">
        <f t="shared" si="1"/>
        <v>0.12664423255604884</v>
      </c>
      <c r="W34" s="108">
        <f t="shared" si="1"/>
        <v>0.12664423255604884</v>
      </c>
      <c r="X34" s="108">
        <f t="shared" si="1"/>
        <v>0.12664423255604884</v>
      </c>
      <c r="Y34" s="108">
        <f t="shared" si="1"/>
        <v>0.12664423255604884</v>
      </c>
      <c r="Z34" s="108">
        <f t="shared" si="1"/>
        <v>0.12664423255604884</v>
      </c>
      <c r="AA34" s="108">
        <f t="shared" si="1"/>
        <v>0.12664423255604884</v>
      </c>
      <c r="AB34" s="108">
        <f t="shared" si="1"/>
        <v>0.12664423255604884</v>
      </c>
      <c r="AC34" s="108">
        <f t="shared" si="1"/>
        <v>0.12664423255604884</v>
      </c>
      <c r="AD34" s="108">
        <f t="shared" si="1"/>
        <v>0.12664423255604884</v>
      </c>
      <c r="AE34" s="32"/>
    </row>
    <row r="35" spans="1:41" ht="12.6" x14ac:dyDescent="0.25">
      <c r="A35" s="35"/>
      <c r="B35" s="35"/>
      <c r="C35" s="97"/>
      <c r="D35" s="32"/>
      <c r="E35" s="77" t="s">
        <v>955</v>
      </c>
      <c r="G35" s="97"/>
      <c r="H35" s="101"/>
      <c r="I35" s="32"/>
      <c r="J35" s="98" t="s">
        <v>49</v>
      </c>
      <c r="K35" s="32"/>
      <c r="L35" s="3" t="s">
        <v>969</v>
      </c>
      <c r="M35" s="660">
        <f t="shared" ref="M35:M38" si="2">IFERROR((R35/P35)^(1/2)-1,0)</f>
        <v>0</v>
      </c>
      <c r="N35" s="108"/>
      <c r="O35" s="109"/>
      <c r="P35" s="91">
        <v>0</v>
      </c>
      <c r="Q35" s="91">
        <v>0</v>
      </c>
      <c r="R35" s="91">
        <v>0</v>
      </c>
      <c r="S35" s="108">
        <f t="shared" ref="S35:S38" si="3">$M35</f>
        <v>0</v>
      </c>
      <c r="T35" s="108">
        <f t="shared" si="1"/>
        <v>0</v>
      </c>
      <c r="U35" s="108">
        <f t="shared" si="1"/>
        <v>0</v>
      </c>
      <c r="V35" s="108">
        <f t="shared" si="1"/>
        <v>0</v>
      </c>
      <c r="W35" s="108">
        <f t="shared" si="1"/>
        <v>0</v>
      </c>
      <c r="X35" s="108">
        <f t="shared" si="1"/>
        <v>0</v>
      </c>
      <c r="Y35" s="108">
        <f t="shared" si="1"/>
        <v>0</v>
      </c>
      <c r="Z35" s="108">
        <f t="shared" si="1"/>
        <v>0</v>
      </c>
      <c r="AA35" s="108">
        <f t="shared" si="1"/>
        <v>0</v>
      </c>
      <c r="AB35" s="108">
        <f t="shared" si="1"/>
        <v>0</v>
      </c>
      <c r="AC35" s="108">
        <f t="shared" si="1"/>
        <v>0</v>
      </c>
      <c r="AD35" s="108">
        <f t="shared" si="1"/>
        <v>0</v>
      </c>
      <c r="AE35" s="32"/>
    </row>
    <row r="36" spans="1:41" ht="12.6" x14ac:dyDescent="0.25">
      <c r="A36" s="35"/>
      <c r="B36" s="35"/>
      <c r="C36" s="97"/>
      <c r="D36" s="32"/>
      <c r="E36" s="77" t="s">
        <v>956</v>
      </c>
      <c r="G36" s="97"/>
      <c r="H36" s="101"/>
      <c r="I36" s="32"/>
      <c r="J36" s="98" t="s">
        <v>49</v>
      </c>
      <c r="K36" s="32"/>
      <c r="L36" s="3" t="s">
        <v>970</v>
      </c>
      <c r="M36" s="660">
        <f t="shared" si="2"/>
        <v>0</v>
      </c>
      <c r="N36" s="108"/>
      <c r="O36" s="109"/>
      <c r="P36" s="91">
        <v>0</v>
      </c>
      <c r="Q36" s="91">
        <v>1019</v>
      </c>
      <c r="R36" s="91">
        <v>1361</v>
      </c>
      <c r="S36" s="108">
        <f t="shared" si="3"/>
        <v>0</v>
      </c>
      <c r="T36" s="108">
        <f t="shared" si="1"/>
        <v>0</v>
      </c>
      <c r="U36" s="108">
        <f t="shared" si="1"/>
        <v>0</v>
      </c>
      <c r="V36" s="108">
        <f t="shared" si="1"/>
        <v>0</v>
      </c>
      <c r="W36" s="108">
        <f t="shared" si="1"/>
        <v>0</v>
      </c>
      <c r="X36" s="108">
        <f t="shared" si="1"/>
        <v>0</v>
      </c>
      <c r="Y36" s="108">
        <f t="shared" si="1"/>
        <v>0</v>
      </c>
      <c r="Z36" s="108">
        <f t="shared" si="1"/>
        <v>0</v>
      </c>
      <c r="AA36" s="108">
        <f t="shared" si="1"/>
        <v>0</v>
      </c>
      <c r="AB36" s="108">
        <f t="shared" si="1"/>
        <v>0</v>
      </c>
      <c r="AC36" s="108">
        <f t="shared" si="1"/>
        <v>0</v>
      </c>
      <c r="AD36" s="108">
        <f t="shared" si="1"/>
        <v>0</v>
      </c>
      <c r="AE36" s="32"/>
    </row>
    <row r="37" spans="1:41" ht="12.6" x14ac:dyDescent="0.25">
      <c r="A37" s="35"/>
      <c r="B37" s="35"/>
      <c r="C37" s="97"/>
      <c r="D37" s="32"/>
      <c r="E37" s="77" t="s">
        <v>957</v>
      </c>
      <c r="G37" s="97"/>
      <c r="H37" s="101"/>
      <c r="I37" s="32"/>
      <c r="J37" s="98" t="s">
        <v>49</v>
      </c>
      <c r="K37" s="32"/>
      <c r="L37" s="3" t="s">
        <v>971</v>
      </c>
      <c r="M37" s="660">
        <f>M17</f>
        <v>0.02</v>
      </c>
      <c r="N37" s="108"/>
      <c r="O37" s="109"/>
      <c r="P37" s="91">
        <v>6000</v>
      </c>
      <c r="Q37" s="91">
        <v>5234</v>
      </c>
      <c r="R37" s="91">
        <v>5059</v>
      </c>
      <c r="S37" s="108">
        <f t="shared" si="3"/>
        <v>0.02</v>
      </c>
      <c r="T37" s="108">
        <f t="shared" si="1"/>
        <v>0.02</v>
      </c>
      <c r="U37" s="108">
        <f t="shared" si="1"/>
        <v>0.02</v>
      </c>
      <c r="V37" s="108">
        <f t="shared" si="1"/>
        <v>0.02</v>
      </c>
      <c r="W37" s="108">
        <f t="shared" si="1"/>
        <v>0.02</v>
      </c>
      <c r="X37" s="108">
        <f t="shared" si="1"/>
        <v>0.02</v>
      </c>
      <c r="Y37" s="108">
        <f t="shared" si="1"/>
        <v>0.02</v>
      </c>
      <c r="Z37" s="108">
        <f t="shared" si="1"/>
        <v>0.02</v>
      </c>
      <c r="AA37" s="108">
        <f t="shared" si="1"/>
        <v>0.02</v>
      </c>
      <c r="AB37" s="108">
        <f t="shared" si="1"/>
        <v>0.02</v>
      </c>
      <c r="AC37" s="108">
        <f t="shared" si="1"/>
        <v>0.02</v>
      </c>
      <c r="AD37" s="108">
        <f t="shared" si="1"/>
        <v>0.02</v>
      </c>
      <c r="AE37" s="32"/>
    </row>
    <row r="38" spans="1:41" ht="12.6" x14ac:dyDescent="0.25">
      <c r="A38" s="35"/>
      <c r="B38" s="35"/>
      <c r="C38" s="97"/>
      <c r="D38" s="32"/>
      <c r="E38" s="77" t="s">
        <v>958</v>
      </c>
      <c r="G38" s="97"/>
      <c r="H38" s="101"/>
      <c r="I38" s="32"/>
      <c r="J38" s="98" t="s">
        <v>49</v>
      </c>
      <c r="K38" s="32"/>
      <c r="L38" s="3" t="s">
        <v>972</v>
      </c>
      <c r="M38" s="660">
        <f t="shared" si="2"/>
        <v>0</v>
      </c>
      <c r="N38" s="108"/>
      <c r="O38" s="109"/>
      <c r="P38" s="91">
        <v>0</v>
      </c>
      <c r="Q38" s="91">
        <v>1852</v>
      </c>
      <c r="R38" s="91">
        <v>0</v>
      </c>
      <c r="S38" s="108">
        <f t="shared" si="3"/>
        <v>0</v>
      </c>
      <c r="T38" s="108">
        <f t="shared" si="1"/>
        <v>0</v>
      </c>
      <c r="U38" s="108">
        <f t="shared" si="1"/>
        <v>0</v>
      </c>
      <c r="V38" s="108">
        <f t="shared" si="1"/>
        <v>0</v>
      </c>
      <c r="W38" s="108">
        <f t="shared" si="1"/>
        <v>0</v>
      </c>
      <c r="X38" s="108">
        <f t="shared" si="1"/>
        <v>0</v>
      </c>
      <c r="Y38" s="108">
        <f t="shared" si="1"/>
        <v>0</v>
      </c>
      <c r="Z38" s="108">
        <f t="shared" si="1"/>
        <v>0</v>
      </c>
      <c r="AA38" s="108">
        <f t="shared" si="1"/>
        <v>0</v>
      </c>
      <c r="AB38" s="108">
        <f t="shared" si="1"/>
        <v>0</v>
      </c>
      <c r="AC38" s="108">
        <f t="shared" si="1"/>
        <v>0</v>
      </c>
      <c r="AD38" s="108">
        <f t="shared" si="1"/>
        <v>0</v>
      </c>
      <c r="AE38" s="32"/>
    </row>
    <row r="39" spans="1:41" ht="12.6" x14ac:dyDescent="0.25">
      <c r="A39" s="35"/>
      <c r="B39" s="35"/>
      <c r="C39" s="97"/>
      <c r="D39" s="32"/>
      <c r="E39" s="32"/>
      <c r="G39" s="97"/>
      <c r="H39" s="101"/>
      <c r="I39" s="32"/>
      <c r="J39" s="98"/>
      <c r="K39" s="32"/>
      <c r="L39" s="38"/>
      <c r="M39" s="661"/>
      <c r="N39" s="108"/>
      <c r="O39" s="103"/>
      <c r="P39" s="103"/>
      <c r="Q39" s="103"/>
      <c r="R39" s="103"/>
      <c r="S39" s="103"/>
      <c r="T39" s="103"/>
      <c r="U39" s="103"/>
      <c r="V39" s="103"/>
      <c r="W39" s="103"/>
      <c r="X39" s="103"/>
      <c r="Y39" s="103"/>
      <c r="Z39" s="103"/>
      <c r="AA39" s="103"/>
      <c r="AB39" s="103"/>
      <c r="AC39" s="103"/>
      <c r="AD39" s="103"/>
      <c r="AE39" s="32"/>
    </row>
    <row r="40" spans="1:41" s="97" customFormat="1" ht="12.6" x14ac:dyDescent="0.25">
      <c r="A40" s="32"/>
      <c r="B40" s="32"/>
      <c r="D40" s="32" t="s">
        <v>960</v>
      </c>
      <c r="E40" s="32"/>
      <c r="H40" s="101"/>
      <c r="I40" s="98"/>
      <c r="J40" s="98"/>
      <c r="K40" s="32"/>
      <c r="L40" s="38"/>
      <c r="M40" s="661"/>
      <c r="N40" s="108"/>
      <c r="O40" s="108"/>
      <c r="P40" s="108"/>
      <c r="Q40" s="108"/>
      <c r="R40" s="108"/>
      <c r="S40" s="32"/>
      <c r="T40" s="32"/>
      <c r="U40" s="32"/>
      <c r="V40" s="32"/>
      <c r="W40" s="32"/>
      <c r="X40" s="108"/>
      <c r="Y40" s="108"/>
      <c r="Z40" s="108"/>
      <c r="AA40" s="108"/>
      <c r="AB40" s="108"/>
      <c r="AC40" s="108"/>
      <c r="AD40" s="108"/>
      <c r="AE40" s="32"/>
      <c r="AF40" s="21"/>
      <c r="AG40" s="21"/>
      <c r="AH40" s="21"/>
      <c r="AI40" s="21"/>
      <c r="AJ40" s="21"/>
      <c r="AK40" s="21"/>
      <c r="AL40" s="21"/>
      <c r="AM40" s="21"/>
      <c r="AN40" s="21"/>
      <c r="AO40" s="21"/>
    </row>
    <row r="41" spans="1:41" ht="12.6" x14ac:dyDescent="0.25">
      <c r="A41" s="35"/>
      <c r="B41" s="35"/>
      <c r="C41" s="97"/>
      <c r="D41" s="32"/>
      <c r="E41" s="77" t="s">
        <v>954</v>
      </c>
      <c r="G41" s="97"/>
      <c r="H41" s="101"/>
      <c r="I41" s="32"/>
      <c r="J41" s="98" t="s">
        <v>49</v>
      </c>
      <c r="K41" s="101"/>
      <c r="L41" s="3" t="s">
        <v>973</v>
      </c>
      <c r="M41" s="660">
        <f>IFERROR((R41/P41)^(1/2)-1,0)</f>
        <v>0.37737716763349716</v>
      </c>
      <c r="N41" s="101"/>
      <c r="O41" s="101"/>
      <c r="P41" s="91">
        <v>49362</v>
      </c>
      <c r="Q41" s="91">
        <v>69081</v>
      </c>
      <c r="R41" s="91">
        <v>93648</v>
      </c>
      <c r="S41" s="108">
        <f t="shared" ref="S41:AD45" si="4">$M41</f>
        <v>0.37737716763349716</v>
      </c>
      <c r="T41" s="108">
        <f t="shared" si="4"/>
        <v>0.37737716763349716</v>
      </c>
      <c r="U41" s="108">
        <f t="shared" si="4"/>
        <v>0.37737716763349716</v>
      </c>
      <c r="V41" s="108">
        <f t="shared" si="4"/>
        <v>0.37737716763349716</v>
      </c>
      <c r="W41" s="108">
        <f t="shared" si="4"/>
        <v>0.37737716763349716</v>
      </c>
      <c r="X41" s="108">
        <f t="shared" si="4"/>
        <v>0.37737716763349716</v>
      </c>
      <c r="Y41" s="108">
        <f t="shared" si="4"/>
        <v>0.37737716763349716</v>
      </c>
      <c r="Z41" s="108">
        <f t="shared" si="4"/>
        <v>0.37737716763349716</v>
      </c>
      <c r="AA41" s="108">
        <f t="shared" si="4"/>
        <v>0.37737716763349716</v>
      </c>
      <c r="AB41" s="108">
        <f t="shared" si="4"/>
        <v>0.37737716763349716</v>
      </c>
      <c r="AC41" s="108">
        <f t="shared" si="4"/>
        <v>0.37737716763349716</v>
      </c>
      <c r="AD41" s="108">
        <f t="shared" si="4"/>
        <v>0.37737716763349716</v>
      </c>
      <c r="AE41" s="32"/>
    </row>
    <row r="42" spans="1:41" ht="12.6" x14ac:dyDescent="0.25">
      <c r="A42" s="35"/>
      <c r="B42" s="35"/>
      <c r="C42" s="97"/>
      <c r="D42" s="32"/>
      <c r="E42" s="77" t="s">
        <v>955</v>
      </c>
      <c r="G42" s="97"/>
      <c r="H42" s="101"/>
      <c r="I42" s="32"/>
      <c r="J42" s="98" t="s">
        <v>49</v>
      </c>
      <c r="K42" s="32"/>
      <c r="L42" s="3" t="s">
        <v>974</v>
      </c>
      <c r="M42" s="660">
        <f t="shared" ref="M42" si="5">IFERROR((R42/P42)^(1/2)-1,0)</f>
        <v>0</v>
      </c>
      <c r="N42" s="108"/>
      <c r="O42" s="109"/>
      <c r="P42" s="91">
        <v>0</v>
      </c>
      <c r="Q42" s="91">
        <v>0</v>
      </c>
      <c r="R42" s="91">
        <v>0</v>
      </c>
      <c r="S42" s="108">
        <f t="shared" si="4"/>
        <v>0</v>
      </c>
      <c r="T42" s="108">
        <f t="shared" si="4"/>
        <v>0</v>
      </c>
      <c r="U42" s="108">
        <f t="shared" si="4"/>
        <v>0</v>
      </c>
      <c r="V42" s="108">
        <f t="shared" si="4"/>
        <v>0</v>
      </c>
      <c r="W42" s="108">
        <f t="shared" si="4"/>
        <v>0</v>
      </c>
      <c r="X42" s="108">
        <f t="shared" si="4"/>
        <v>0</v>
      </c>
      <c r="Y42" s="108">
        <f t="shared" si="4"/>
        <v>0</v>
      </c>
      <c r="Z42" s="108">
        <f t="shared" si="4"/>
        <v>0</v>
      </c>
      <c r="AA42" s="108">
        <f t="shared" si="4"/>
        <v>0</v>
      </c>
      <c r="AB42" s="108">
        <f t="shared" si="4"/>
        <v>0</v>
      </c>
      <c r="AC42" s="108">
        <f t="shared" si="4"/>
        <v>0</v>
      </c>
      <c r="AD42" s="108">
        <f t="shared" si="4"/>
        <v>0</v>
      </c>
      <c r="AE42" s="32"/>
    </row>
    <row r="43" spans="1:41" ht="12.6" x14ac:dyDescent="0.25">
      <c r="A43" s="35"/>
      <c r="B43" s="35"/>
      <c r="C43" s="97"/>
      <c r="D43" s="32"/>
      <c r="E43" s="77" t="s">
        <v>956</v>
      </c>
      <c r="G43" s="97"/>
      <c r="H43" s="101"/>
      <c r="I43" s="32"/>
      <c r="J43" s="98" t="s">
        <v>49</v>
      </c>
      <c r="K43" s="32"/>
      <c r="L43" s="3" t="s">
        <v>975</v>
      </c>
      <c r="M43" s="660">
        <v>0</v>
      </c>
      <c r="N43" s="108"/>
      <c r="O43" s="109"/>
      <c r="P43" s="91">
        <v>1857</v>
      </c>
      <c r="Q43" s="91">
        <v>0</v>
      </c>
      <c r="R43" s="91">
        <v>0</v>
      </c>
      <c r="S43" s="108">
        <f t="shared" si="4"/>
        <v>0</v>
      </c>
      <c r="T43" s="108">
        <f t="shared" si="4"/>
        <v>0</v>
      </c>
      <c r="U43" s="108">
        <f t="shared" si="4"/>
        <v>0</v>
      </c>
      <c r="V43" s="108">
        <f t="shared" si="4"/>
        <v>0</v>
      </c>
      <c r="W43" s="108">
        <f t="shared" si="4"/>
        <v>0</v>
      </c>
      <c r="X43" s="108">
        <f t="shared" si="4"/>
        <v>0</v>
      </c>
      <c r="Y43" s="108">
        <f t="shared" si="4"/>
        <v>0</v>
      </c>
      <c r="Z43" s="108">
        <f t="shared" si="4"/>
        <v>0</v>
      </c>
      <c r="AA43" s="108">
        <f t="shared" si="4"/>
        <v>0</v>
      </c>
      <c r="AB43" s="108">
        <f t="shared" si="4"/>
        <v>0</v>
      </c>
      <c r="AC43" s="108">
        <f t="shared" si="4"/>
        <v>0</v>
      </c>
      <c r="AD43" s="108">
        <f t="shared" si="4"/>
        <v>0</v>
      </c>
      <c r="AE43" s="32"/>
    </row>
    <row r="44" spans="1:41" ht="12.6" x14ac:dyDescent="0.25">
      <c r="A44" s="35"/>
      <c r="B44" s="35"/>
      <c r="C44" s="97"/>
      <c r="D44" s="32"/>
      <c r="E44" s="77" t="s">
        <v>957</v>
      </c>
      <c r="G44" s="97"/>
      <c r="H44" s="101"/>
      <c r="I44" s="32"/>
      <c r="J44" s="98" t="s">
        <v>49</v>
      </c>
      <c r="K44" s="32"/>
      <c r="L44" s="3" t="s">
        <v>976</v>
      </c>
      <c r="M44" s="660">
        <f>M17</f>
        <v>0.02</v>
      </c>
      <c r="N44" s="108"/>
      <c r="O44" s="109"/>
      <c r="P44" s="91">
        <v>17630</v>
      </c>
      <c r="Q44" s="91">
        <v>25202</v>
      </c>
      <c r="R44" s="91">
        <v>12033</v>
      </c>
      <c r="S44" s="108">
        <f t="shared" si="4"/>
        <v>0.02</v>
      </c>
      <c r="T44" s="108">
        <f t="shared" si="4"/>
        <v>0.02</v>
      </c>
      <c r="U44" s="108">
        <f t="shared" si="4"/>
        <v>0.02</v>
      </c>
      <c r="V44" s="108">
        <f t="shared" si="4"/>
        <v>0.02</v>
      </c>
      <c r="W44" s="108">
        <f t="shared" si="4"/>
        <v>0.02</v>
      </c>
      <c r="X44" s="108">
        <f t="shared" si="4"/>
        <v>0.02</v>
      </c>
      <c r="Y44" s="108">
        <f t="shared" si="4"/>
        <v>0.02</v>
      </c>
      <c r="Z44" s="108">
        <f t="shared" si="4"/>
        <v>0.02</v>
      </c>
      <c r="AA44" s="108">
        <f t="shared" si="4"/>
        <v>0.02</v>
      </c>
      <c r="AB44" s="108">
        <f t="shared" si="4"/>
        <v>0.02</v>
      </c>
      <c r="AC44" s="108">
        <f t="shared" si="4"/>
        <v>0.02</v>
      </c>
      <c r="AD44" s="108">
        <f t="shared" si="4"/>
        <v>0.02</v>
      </c>
      <c r="AE44" s="32"/>
    </row>
    <row r="45" spans="1:41" ht="12.6" x14ac:dyDescent="0.25">
      <c r="A45" s="35"/>
      <c r="B45" s="35"/>
      <c r="C45" s="97"/>
      <c r="D45" s="32"/>
      <c r="E45" s="77" t="s">
        <v>958</v>
      </c>
      <c r="G45" s="97"/>
      <c r="H45" s="101"/>
      <c r="I45" s="32"/>
      <c r="J45" s="98" t="s">
        <v>49</v>
      </c>
      <c r="K45" s="32"/>
      <c r="L45" s="3" t="s">
        <v>977</v>
      </c>
      <c r="M45" s="660">
        <f>M17</f>
        <v>0.02</v>
      </c>
      <c r="N45" s="108"/>
      <c r="O45" s="109"/>
      <c r="P45" s="91">
        <v>44</v>
      </c>
      <c r="Q45" s="91">
        <v>46</v>
      </c>
      <c r="R45" s="91">
        <v>42</v>
      </c>
      <c r="S45" s="108">
        <f t="shared" si="4"/>
        <v>0.02</v>
      </c>
      <c r="T45" s="108">
        <f t="shared" si="4"/>
        <v>0.02</v>
      </c>
      <c r="U45" s="108">
        <f t="shared" si="4"/>
        <v>0.02</v>
      </c>
      <c r="V45" s="108">
        <f t="shared" si="4"/>
        <v>0.02</v>
      </c>
      <c r="W45" s="108">
        <f t="shared" si="4"/>
        <v>0.02</v>
      </c>
      <c r="X45" s="108">
        <f t="shared" si="4"/>
        <v>0.02</v>
      </c>
      <c r="Y45" s="108">
        <f t="shared" si="4"/>
        <v>0.02</v>
      </c>
      <c r="Z45" s="108">
        <f t="shared" si="4"/>
        <v>0.02</v>
      </c>
      <c r="AA45" s="108">
        <f t="shared" si="4"/>
        <v>0.02</v>
      </c>
      <c r="AB45" s="108">
        <f t="shared" si="4"/>
        <v>0.02</v>
      </c>
      <c r="AC45" s="108">
        <f t="shared" si="4"/>
        <v>0.02</v>
      </c>
      <c r="AD45" s="108">
        <f t="shared" si="4"/>
        <v>0.02</v>
      </c>
      <c r="AE45" s="32"/>
    </row>
    <row r="46" spans="1:41" ht="12.6" x14ac:dyDescent="0.25">
      <c r="A46" s="35"/>
      <c r="B46" s="35"/>
      <c r="C46" s="97"/>
      <c r="D46" s="32"/>
      <c r="E46" s="32"/>
      <c r="G46" s="97"/>
      <c r="H46" s="101"/>
      <c r="I46" s="98"/>
      <c r="J46" s="98"/>
      <c r="K46" s="32"/>
      <c r="L46" s="38"/>
      <c r="M46" s="661"/>
      <c r="N46" s="108"/>
      <c r="O46" s="108"/>
      <c r="P46" s="108"/>
      <c r="Q46" s="108"/>
      <c r="R46" s="108"/>
      <c r="S46" s="32"/>
      <c r="T46" s="32"/>
      <c r="U46" s="32"/>
      <c r="V46" s="32"/>
      <c r="W46" s="32"/>
      <c r="X46" s="108"/>
      <c r="Y46" s="108"/>
      <c r="Z46" s="108"/>
      <c r="AA46" s="108"/>
      <c r="AB46" s="108"/>
      <c r="AC46" s="108"/>
      <c r="AD46" s="108"/>
      <c r="AE46" s="32"/>
    </row>
    <row r="47" spans="1:41" ht="12.6" x14ac:dyDescent="0.25">
      <c r="A47" s="35"/>
      <c r="B47" s="35"/>
      <c r="C47" s="97"/>
      <c r="D47" s="32" t="s">
        <v>961</v>
      </c>
      <c r="E47" s="32"/>
      <c r="G47" s="97"/>
      <c r="H47" s="101"/>
      <c r="I47" s="98"/>
      <c r="J47" s="98" t="s">
        <v>49</v>
      </c>
      <c r="K47" s="32"/>
      <c r="L47" s="3" t="s">
        <v>978</v>
      </c>
      <c r="M47" s="660">
        <f>M17</f>
        <v>0.02</v>
      </c>
      <c r="N47" s="108"/>
      <c r="O47" s="108"/>
      <c r="P47" s="101">
        <v>11425</v>
      </c>
      <c r="Q47" s="101">
        <v>14503</v>
      </c>
      <c r="R47" s="101">
        <v>21835</v>
      </c>
      <c r="S47" s="108">
        <f t="shared" ref="S47:AD47" si="6">$M47</f>
        <v>0.02</v>
      </c>
      <c r="T47" s="108">
        <f t="shared" si="6"/>
        <v>0.02</v>
      </c>
      <c r="U47" s="108">
        <f t="shared" si="6"/>
        <v>0.02</v>
      </c>
      <c r="V47" s="108">
        <f t="shared" si="6"/>
        <v>0.02</v>
      </c>
      <c r="W47" s="108">
        <f t="shared" si="6"/>
        <v>0.02</v>
      </c>
      <c r="X47" s="108">
        <f t="shared" si="6"/>
        <v>0.02</v>
      </c>
      <c r="Y47" s="108">
        <f t="shared" si="6"/>
        <v>0.02</v>
      </c>
      <c r="Z47" s="108">
        <f t="shared" si="6"/>
        <v>0.02</v>
      </c>
      <c r="AA47" s="108">
        <f t="shared" si="6"/>
        <v>0.02</v>
      </c>
      <c r="AB47" s="108">
        <f t="shared" si="6"/>
        <v>0.02</v>
      </c>
      <c r="AC47" s="108">
        <f t="shared" si="6"/>
        <v>0.02</v>
      </c>
      <c r="AD47" s="108">
        <f t="shared" si="6"/>
        <v>0.02</v>
      </c>
      <c r="AE47" s="108"/>
      <c r="AF47" s="108"/>
    </row>
    <row r="48" spans="1:41" x14ac:dyDescent="0.2">
      <c r="M48" s="662"/>
      <c r="N48" s="18"/>
    </row>
    <row r="49" spans="3:55" ht="12.6" thickBot="1" x14ac:dyDescent="0.25">
      <c r="M49" s="662"/>
      <c r="N49" s="18"/>
      <c r="O49" s="19"/>
      <c r="P49" s="19"/>
      <c r="Q49" s="19"/>
      <c r="R49" s="19"/>
      <c r="S49" s="19"/>
      <c r="T49" s="19"/>
      <c r="U49" s="19"/>
      <c r="V49" s="19"/>
      <c r="W49" s="19"/>
      <c r="X49" s="19"/>
      <c r="Y49" s="19"/>
      <c r="Z49" s="19"/>
      <c r="AA49" s="19"/>
      <c r="AB49" s="19"/>
      <c r="AC49" s="19"/>
      <c r="AD49" s="19"/>
    </row>
    <row r="50" spans="3:55" s="97" customFormat="1" ht="12.6" thickTop="1" x14ac:dyDescent="0.2">
      <c r="C50" s="170" t="s">
        <v>980</v>
      </c>
      <c r="D50" s="170"/>
      <c r="E50" s="171"/>
      <c r="F50" s="172"/>
      <c r="G50" s="172"/>
      <c r="H50" s="173"/>
      <c r="I50" s="172"/>
      <c r="J50" s="174"/>
      <c r="K50" s="172"/>
      <c r="L50" s="170"/>
      <c r="M50" s="663"/>
      <c r="N50" s="175"/>
      <c r="O50" s="175"/>
      <c r="P50" s="175"/>
      <c r="Q50" s="175"/>
      <c r="R50" s="175"/>
      <c r="S50" s="175"/>
      <c r="T50" s="175"/>
      <c r="U50" s="175"/>
      <c r="V50" s="175"/>
      <c r="W50" s="175"/>
      <c r="X50" s="175"/>
      <c r="Y50" s="175"/>
      <c r="Z50" s="175"/>
      <c r="AA50" s="175"/>
      <c r="AB50" s="175"/>
      <c r="AC50" s="175"/>
      <c r="AD50" s="175"/>
      <c r="AE50" s="45"/>
      <c r="AF50" s="45"/>
      <c r="AG50" s="45"/>
      <c r="AH50" s="45"/>
      <c r="AI50" s="45"/>
      <c r="AJ50" s="45"/>
      <c r="AK50" s="45"/>
      <c r="AL50" s="45"/>
      <c r="AM50" s="45"/>
      <c r="AN50" s="45"/>
      <c r="AO50" s="45"/>
      <c r="AP50" s="45"/>
      <c r="AQ50" s="46"/>
      <c r="AR50" s="46"/>
      <c r="AS50" s="46"/>
      <c r="AT50" s="46"/>
      <c r="AU50" s="46"/>
      <c r="AV50" s="46"/>
      <c r="AW50" s="46"/>
      <c r="AX50" s="46"/>
      <c r="AY50" s="46"/>
      <c r="AZ50" s="46"/>
      <c r="BA50" s="46"/>
      <c r="BB50" s="46"/>
      <c r="BC50" s="46"/>
    </row>
    <row r="51" spans="3:55" x14ac:dyDescent="0.2">
      <c r="M51" s="678" t="s">
        <v>117</v>
      </c>
      <c r="N51" s="18"/>
      <c r="O51" s="19"/>
      <c r="P51" s="25"/>
      <c r="Q51" s="25"/>
      <c r="R51" s="19"/>
      <c r="S51" s="25"/>
      <c r="T51" s="19"/>
      <c r="U51" s="19"/>
      <c r="V51" s="19"/>
      <c r="W51" s="19"/>
      <c r="X51" s="19"/>
      <c r="Y51" s="19"/>
      <c r="Z51" s="19"/>
      <c r="AA51" s="19"/>
      <c r="AB51" s="19"/>
      <c r="AC51" s="19"/>
      <c r="AD51" s="19"/>
    </row>
    <row r="52" spans="3:55" x14ac:dyDescent="0.2">
      <c r="D52" s="77" t="s">
        <v>982</v>
      </c>
      <c r="J52" s="98" t="s">
        <v>49</v>
      </c>
      <c r="L52" s="3" t="s">
        <v>983</v>
      </c>
      <c r="M52" s="660">
        <f>AVERAGE(P52:R52)</f>
        <v>0.6904915153568445</v>
      </c>
      <c r="N52" s="18"/>
      <c r="O52" s="19"/>
      <c r="P52" s="19">
        <f>-IS_Direct_Costs/IS_Revenue</f>
        <v>0.84139720502587678</v>
      </c>
      <c r="Q52" s="19">
        <f>-IS_Direct_Costs/IS_Revenue</f>
        <v>0.59300864399680131</v>
      </c>
      <c r="R52" s="19">
        <f>-IS_Direct_Costs/IS_Revenue</f>
        <v>0.63706869704785551</v>
      </c>
      <c r="S52" s="108">
        <f t="shared" ref="S52:AD54" si="7">$M52</f>
        <v>0.6904915153568445</v>
      </c>
      <c r="T52" s="108">
        <f t="shared" si="7"/>
        <v>0.6904915153568445</v>
      </c>
      <c r="U52" s="108">
        <f t="shared" si="7"/>
        <v>0.6904915153568445</v>
      </c>
      <c r="V52" s="108">
        <f t="shared" si="7"/>
        <v>0.6904915153568445</v>
      </c>
      <c r="W52" s="108">
        <f t="shared" si="7"/>
        <v>0.6904915153568445</v>
      </c>
      <c r="X52" s="108">
        <f t="shared" si="7"/>
        <v>0.6904915153568445</v>
      </c>
      <c r="Y52" s="108">
        <f t="shared" si="7"/>
        <v>0.6904915153568445</v>
      </c>
      <c r="Z52" s="108">
        <f t="shared" si="7"/>
        <v>0.6904915153568445</v>
      </c>
      <c r="AA52" s="108">
        <f t="shared" si="7"/>
        <v>0.6904915153568445</v>
      </c>
      <c r="AB52" s="108">
        <f t="shared" si="7"/>
        <v>0.6904915153568445</v>
      </c>
      <c r="AC52" s="108">
        <f t="shared" si="7"/>
        <v>0.6904915153568445</v>
      </c>
      <c r="AD52" s="108">
        <f t="shared" si="7"/>
        <v>0.6904915153568445</v>
      </c>
      <c r="AE52" s="108"/>
      <c r="AF52" s="108"/>
    </row>
    <row r="53" spans="3:55" x14ac:dyDescent="0.2">
      <c r="D53" s="77" t="s">
        <v>783</v>
      </c>
      <c r="J53" s="98" t="s">
        <v>49</v>
      </c>
      <c r="L53" s="3" t="s">
        <v>984</v>
      </c>
      <c r="M53" s="660">
        <f t="shared" ref="M53:M54" si="8">AVERAGE(P53:R53)</f>
        <v>8.6179768039755814E-2</v>
      </c>
      <c r="N53" s="18"/>
      <c r="O53" s="19"/>
      <c r="P53" s="19">
        <f>-IS_R_D/IS_Revenue</f>
        <v>0</v>
      </c>
      <c r="Q53" s="19">
        <f>-IS_R_D/IS_Revenue</f>
        <v>0.13088520888725622</v>
      </c>
      <c r="R53" s="19">
        <f>-IS_R_D/IS_Revenue</f>
        <v>0.12765409523201124</v>
      </c>
      <c r="S53" s="108">
        <f t="shared" si="7"/>
        <v>8.6179768039755814E-2</v>
      </c>
      <c r="T53" s="108">
        <f t="shared" si="7"/>
        <v>8.6179768039755814E-2</v>
      </c>
      <c r="U53" s="108">
        <f t="shared" si="7"/>
        <v>8.6179768039755814E-2</v>
      </c>
      <c r="V53" s="108">
        <v>0.09</v>
      </c>
      <c r="W53" s="108">
        <v>0.09</v>
      </c>
      <c r="X53" s="108">
        <v>0.09</v>
      </c>
      <c r="Y53" s="108">
        <v>0.09</v>
      </c>
      <c r="Z53" s="108">
        <v>0.08</v>
      </c>
      <c r="AA53" s="108">
        <v>0.08</v>
      </c>
      <c r="AB53" s="108">
        <v>0.08</v>
      </c>
      <c r="AC53" s="108">
        <v>0.08</v>
      </c>
      <c r="AD53" s="108">
        <v>0.08</v>
      </c>
      <c r="AE53" s="108"/>
      <c r="AF53" s="108"/>
    </row>
    <row r="54" spans="3:55" x14ac:dyDescent="0.2">
      <c r="D54" s="77" t="s">
        <v>780</v>
      </c>
      <c r="J54" s="98" t="s">
        <v>49</v>
      </c>
      <c r="L54" s="3" t="s">
        <v>985</v>
      </c>
      <c r="M54" s="660">
        <f t="shared" si="8"/>
        <v>0.10108376022447547</v>
      </c>
      <c r="N54" s="18"/>
      <c r="O54" s="19"/>
      <c r="P54" s="19">
        <f>-IS_SGA/IS_Revenue</f>
        <v>0</v>
      </c>
      <c r="Q54" s="19">
        <f>-IS_SGA/IS_Revenue</f>
        <v>0.14906022574293798</v>
      </c>
      <c r="R54" s="19">
        <f>-IS_SGA/IS_Revenue</f>
        <v>0.15419105493048846</v>
      </c>
      <c r="S54" s="108">
        <f t="shared" si="7"/>
        <v>0.10108376022447547</v>
      </c>
      <c r="T54" s="108">
        <f t="shared" si="7"/>
        <v>0.10108376022447547</v>
      </c>
      <c r="U54" s="108">
        <f t="shared" si="7"/>
        <v>0.10108376022447547</v>
      </c>
      <c r="V54" s="108">
        <v>0.12</v>
      </c>
      <c r="W54" s="108">
        <v>0.1</v>
      </c>
      <c r="X54" s="108">
        <v>0.1</v>
      </c>
      <c r="Y54" s="108">
        <v>0.1</v>
      </c>
      <c r="Z54" s="108">
        <v>0.1</v>
      </c>
      <c r="AA54" s="108">
        <v>0.1</v>
      </c>
      <c r="AB54" s="108">
        <v>0.1</v>
      </c>
      <c r="AC54" s="108">
        <v>0.1</v>
      </c>
      <c r="AD54" s="108">
        <v>0.1</v>
      </c>
      <c r="AE54" s="108"/>
      <c r="AF54" s="108"/>
    </row>
    <row r="55" spans="3:55" ht="12.6" thickBot="1" x14ac:dyDescent="0.25">
      <c r="N55" s="18"/>
      <c r="O55" s="19"/>
      <c r="P55" s="19"/>
      <c r="Q55" s="19"/>
      <c r="R55" s="19"/>
      <c r="S55" s="25"/>
      <c r="T55" s="25"/>
      <c r="U55" s="25"/>
      <c r="V55" s="25"/>
      <c r="W55" s="25"/>
      <c r="X55" s="25"/>
      <c r="Y55" s="25"/>
      <c r="Z55" s="25"/>
      <c r="AA55" s="25"/>
      <c r="AB55" s="25"/>
      <c r="AC55" s="25"/>
      <c r="AD55" s="25"/>
    </row>
    <row r="56" spans="3:55" s="97" customFormat="1" ht="12.6" thickTop="1" x14ac:dyDescent="0.2">
      <c r="C56" s="170" t="s">
        <v>986</v>
      </c>
      <c r="D56" s="170"/>
      <c r="E56" s="171"/>
      <c r="F56" s="172"/>
      <c r="G56" s="172"/>
      <c r="H56" s="173"/>
      <c r="I56" s="172"/>
      <c r="J56" s="174"/>
      <c r="K56" s="172"/>
      <c r="L56" s="170"/>
      <c r="M56" s="172"/>
      <c r="N56" s="175"/>
      <c r="O56" s="175"/>
      <c r="P56" s="175"/>
      <c r="Q56" s="175"/>
      <c r="R56" s="175"/>
      <c r="S56" s="175"/>
      <c r="T56" s="175"/>
      <c r="U56" s="175"/>
      <c r="V56" s="175"/>
      <c r="W56" s="175"/>
      <c r="X56" s="175"/>
      <c r="Y56" s="175"/>
      <c r="Z56" s="175"/>
      <c r="AA56" s="175"/>
      <c r="AB56" s="175"/>
      <c r="AC56" s="175"/>
      <c r="AD56" s="175"/>
      <c r="AE56" s="45"/>
      <c r="AF56" s="45"/>
      <c r="AG56" s="45"/>
      <c r="AH56" s="45"/>
      <c r="AI56" s="45"/>
      <c r="AJ56" s="45"/>
      <c r="AK56" s="45"/>
      <c r="AL56" s="45"/>
      <c r="AM56" s="45"/>
      <c r="AN56" s="45"/>
      <c r="AO56" s="45"/>
      <c r="AP56" s="45"/>
      <c r="AQ56" s="46"/>
      <c r="AR56" s="46"/>
      <c r="AS56" s="46"/>
      <c r="AT56" s="46"/>
      <c r="AU56" s="46"/>
      <c r="AV56" s="46"/>
      <c r="AW56" s="46"/>
      <c r="AX56" s="46"/>
      <c r="AY56" s="46"/>
      <c r="AZ56" s="46"/>
      <c r="BA56" s="46"/>
      <c r="BB56" s="46"/>
      <c r="BC56" s="46"/>
    </row>
    <row r="57" spans="3:55" x14ac:dyDescent="0.2">
      <c r="M57" s="678" t="s">
        <v>117</v>
      </c>
      <c r="N57" s="18"/>
      <c r="O57" s="19"/>
      <c r="P57" s="25"/>
      <c r="Q57" s="25"/>
      <c r="R57" s="19"/>
      <c r="S57" s="25"/>
      <c r="T57" s="25"/>
      <c r="U57" s="25"/>
      <c r="V57" s="25"/>
      <c r="W57" s="25"/>
      <c r="X57" s="25"/>
      <c r="Y57" s="25"/>
      <c r="Z57" s="25"/>
      <c r="AA57" s="25"/>
      <c r="AB57" s="25"/>
      <c r="AC57" s="25"/>
      <c r="AD57" s="25"/>
    </row>
    <row r="58" spans="3:55" ht="12.6" x14ac:dyDescent="0.25">
      <c r="D58" s="77" t="s">
        <v>437</v>
      </c>
      <c r="E58" s="76"/>
      <c r="F58" s="97"/>
      <c r="G58" s="101"/>
      <c r="H58" s="32"/>
      <c r="I58" s="98"/>
      <c r="J58" s="98" t="s">
        <v>49</v>
      </c>
      <c r="L58" s="99" t="s">
        <v>987</v>
      </c>
      <c r="M58" s="660">
        <v>0.05</v>
      </c>
      <c r="N58" s="18"/>
      <c r="O58" s="19"/>
      <c r="P58" s="19">
        <f>IS_Other_Income/IS_Revenue</f>
        <v>1.632986899440159E-2</v>
      </c>
      <c r="Q58" s="19">
        <f>IS_Other_Income/IS_Revenue</f>
        <v>0.17135228486886167</v>
      </c>
      <c r="R58" s="19">
        <f>IS_Other_Income/IS_Revenue</f>
        <v>0.14408373326093379</v>
      </c>
      <c r="S58" s="108">
        <f t="shared" ref="S58:AD59" si="9">$M58</f>
        <v>0.05</v>
      </c>
      <c r="T58" s="108">
        <f t="shared" si="9"/>
        <v>0.05</v>
      </c>
      <c r="U58" s="108">
        <f t="shared" si="9"/>
        <v>0.05</v>
      </c>
      <c r="V58" s="108">
        <f t="shared" si="9"/>
        <v>0.05</v>
      </c>
      <c r="W58" s="108">
        <f t="shared" si="9"/>
        <v>0.05</v>
      </c>
      <c r="X58" s="108">
        <f t="shared" si="9"/>
        <v>0.05</v>
      </c>
      <c r="Y58" s="108">
        <f t="shared" si="9"/>
        <v>0.05</v>
      </c>
      <c r="Z58" s="108">
        <f t="shared" si="9"/>
        <v>0.05</v>
      </c>
      <c r="AA58" s="108">
        <f t="shared" si="9"/>
        <v>0.05</v>
      </c>
      <c r="AB58" s="108">
        <f t="shared" si="9"/>
        <v>0.05</v>
      </c>
      <c r="AC58" s="108">
        <f t="shared" si="9"/>
        <v>0.05</v>
      </c>
      <c r="AD58" s="108">
        <f t="shared" si="9"/>
        <v>0.05</v>
      </c>
    </row>
    <row r="59" spans="3:55" ht="12.6" x14ac:dyDescent="0.25">
      <c r="D59" s="77" t="s">
        <v>963</v>
      </c>
      <c r="E59" s="76"/>
      <c r="F59" s="97"/>
      <c r="G59" s="101"/>
      <c r="H59" s="32"/>
      <c r="I59" s="98"/>
      <c r="J59" s="98" t="s">
        <v>49</v>
      </c>
      <c r="L59" s="99" t="s">
        <v>988</v>
      </c>
      <c r="M59" s="660">
        <f t="shared" ref="M59" si="10">AVERAGE(P59:R59)</f>
        <v>3.4307349375791989E-2</v>
      </c>
      <c r="N59" s="18"/>
      <c r="O59" s="19"/>
      <c r="P59" s="19">
        <f>-IS_Other_Expenses/IS_Revenue</f>
        <v>7.0833274575888769E-2</v>
      </c>
      <c r="Q59" s="19">
        <f>-IS_Other_Expenses/IS_Revenue</f>
        <v>2.2171101409605386E-2</v>
      </c>
      <c r="R59" s="19">
        <f>-IS_Other_Expenses/IS_Revenue</f>
        <v>9.9176721418818021E-3</v>
      </c>
      <c r="S59" s="108">
        <f t="shared" si="9"/>
        <v>3.4307349375791989E-2</v>
      </c>
      <c r="T59" s="108">
        <f t="shared" si="9"/>
        <v>3.4307349375791989E-2</v>
      </c>
      <c r="U59" s="108">
        <f t="shared" si="9"/>
        <v>3.4307349375791989E-2</v>
      </c>
      <c r="V59" s="108">
        <f t="shared" si="9"/>
        <v>3.4307349375791989E-2</v>
      </c>
      <c r="W59" s="108">
        <f t="shared" si="9"/>
        <v>3.4307349375791989E-2</v>
      </c>
      <c r="X59" s="108">
        <f t="shared" si="9"/>
        <v>3.4307349375791989E-2</v>
      </c>
      <c r="Y59" s="108">
        <f t="shared" si="9"/>
        <v>3.4307349375791989E-2</v>
      </c>
      <c r="Z59" s="108">
        <f t="shared" si="9"/>
        <v>3.4307349375791989E-2</v>
      </c>
      <c r="AA59" s="108">
        <f t="shared" si="9"/>
        <v>3.4307349375791989E-2</v>
      </c>
      <c r="AB59" s="108">
        <f t="shared" si="9"/>
        <v>3.4307349375791989E-2</v>
      </c>
      <c r="AC59" s="108">
        <f t="shared" si="9"/>
        <v>3.4307349375791989E-2</v>
      </c>
      <c r="AD59" s="108">
        <f t="shared" si="9"/>
        <v>3.4307349375791989E-2</v>
      </c>
    </row>
    <row r="60" spans="3:55" x14ac:dyDescent="0.2">
      <c r="N60" s="18"/>
      <c r="O60" s="19"/>
      <c r="P60" s="25"/>
      <c r="Q60" s="25"/>
      <c r="R60" s="19"/>
      <c r="S60" s="25"/>
      <c r="T60" s="25"/>
      <c r="U60" s="25"/>
      <c r="V60" s="25"/>
      <c r="W60" s="25"/>
      <c r="X60" s="25"/>
      <c r="Y60" s="25"/>
      <c r="Z60" s="25"/>
      <c r="AA60" s="25"/>
      <c r="AB60" s="25"/>
      <c r="AC60" s="25"/>
      <c r="AD60" s="25"/>
    </row>
    <row r="61" spans="3:55" ht="12.6" thickBot="1" x14ac:dyDescent="0.25">
      <c r="D61" s="80"/>
      <c r="L61" s="1"/>
      <c r="O61" s="1"/>
      <c r="P61" s="1"/>
      <c r="Q61" s="1"/>
      <c r="R61" s="1"/>
      <c r="S61" s="1"/>
      <c r="T61" s="1"/>
      <c r="U61" s="1"/>
      <c r="V61" s="1"/>
      <c r="W61" s="1"/>
      <c r="X61" s="1"/>
      <c r="Y61" s="1"/>
      <c r="Z61" s="1"/>
      <c r="AA61" s="1"/>
      <c r="AB61" s="1"/>
      <c r="AC61" s="1"/>
      <c r="AD61" s="1"/>
      <c r="AE61" s="1"/>
      <c r="AF61" s="1"/>
      <c r="AG61" s="18">
        <v>109802564.44175121</v>
      </c>
      <c r="AH61" s="18">
        <v>112790588.370362</v>
      </c>
      <c r="AI61" s="18">
        <v>115877971.40953378</v>
      </c>
    </row>
    <row r="62" spans="3:55" ht="12.6" thickTop="1" x14ac:dyDescent="0.2">
      <c r="C62" s="333" t="s">
        <v>140</v>
      </c>
      <c r="D62" s="320"/>
      <c r="E62" s="333"/>
      <c r="F62" s="321"/>
      <c r="G62" s="321"/>
      <c r="H62" s="334"/>
      <c r="I62" s="321"/>
      <c r="J62" s="322"/>
      <c r="K62" s="321"/>
      <c r="L62" s="320"/>
      <c r="M62" s="321"/>
      <c r="N62" s="335"/>
      <c r="O62" s="335"/>
      <c r="P62" s="335"/>
      <c r="Q62" s="335"/>
      <c r="R62" s="335"/>
      <c r="S62" s="335"/>
      <c r="T62" s="335"/>
      <c r="U62" s="335"/>
      <c r="V62" s="335"/>
      <c r="W62" s="335"/>
      <c r="X62" s="335"/>
      <c r="Y62" s="335"/>
      <c r="Z62" s="335"/>
      <c r="AA62" s="335"/>
      <c r="AB62" s="335"/>
      <c r="AC62" s="335"/>
      <c r="AD62" s="335"/>
      <c r="AE62" s="45"/>
      <c r="AF62" s="45"/>
    </row>
    <row r="63" spans="3:55" ht="12.6" thickBot="1" x14ac:dyDescent="0.25">
      <c r="J63" s="1"/>
      <c r="L63" s="1"/>
      <c r="O63" s="1"/>
      <c r="P63" s="1"/>
      <c r="Q63" s="1"/>
      <c r="R63" s="1"/>
      <c r="S63" s="1"/>
      <c r="T63" s="1"/>
      <c r="U63" s="1"/>
      <c r="V63" s="1"/>
      <c r="W63" s="1"/>
      <c r="X63" s="1"/>
      <c r="Y63" s="1"/>
      <c r="Z63" s="1"/>
      <c r="AA63" s="1"/>
      <c r="AB63" s="1"/>
      <c r="AC63" s="1"/>
      <c r="AD63" s="1"/>
    </row>
    <row r="64" spans="3:55" s="97" customFormat="1" ht="12.6" thickTop="1" x14ac:dyDescent="0.2">
      <c r="C64" s="170" t="s">
        <v>141</v>
      </c>
      <c r="D64" s="170"/>
      <c r="E64" s="171"/>
      <c r="F64" s="172"/>
      <c r="G64" s="172"/>
      <c r="H64" s="173"/>
      <c r="I64" s="172"/>
      <c r="J64" s="174"/>
      <c r="K64" s="172"/>
      <c r="L64" s="170"/>
      <c r="M64" s="172"/>
      <c r="N64" s="175"/>
      <c r="O64" s="175"/>
      <c r="P64" s="175"/>
      <c r="Q64" s="175"/>
      <c r="R64" s="175"/>
      <c r="S64" s="175"/>
      <c r="T64" s="175"/>
      <c r="U64" s="175"/>
      <c r="V64" s="175"/>
      <c r="W64" s="175"/>
      <c r="X64" s="175"/>
      <c r="Y64" s="175"/>
      <c r="Z64" s="175"/>
      <c r="AA64" s="175"/>
      <c r="AB64" s="175"/>
      <c r="AC64" s="175"/>
      <c r="AD64" s="175"/>
      <c r="AE64" s="45"/>
      <c r="AF64" s="45"/>
      <c r="AG64" s="45"/>
      <c r="AH64" s="45"/>
      <c r="AI64" s="45"/>
      <c r="AJ64" s="45"/>
      <c r="AK64" s="45"/>
      <c r="AL64" s="45"/>
      <c r="AM64" s="45"/>
      <c r="AN64" s="45"/>
      <c r="AO64" s="45"/>
      <c r="AP64" s="45"/>
      <c r="AQ64" s="46"/>
      <c r="AR64" s="46"/>
      <c r="AS64" s="46"/>
      <c r="AT64" s="46"/>
      <c r="AU64" s="46"/>
      <c r="AV64" s="46"/>
      <c r="AW64" s="46"/>
      <c r="AX64" s="46"/>
      <c r="AY64" s="46"/>
      <c r="AZ64" s="46"/>
      <c r="BA64" s="46"/>
      <c r="BB64" s="46"/>
      <c r="BC64" s="46"/>
    </row>
    <row r="65" spans="3:55" x14ac:dyDescent="0.2">
      <c r="J65" s="1"/>
      <c r="L65" s="1"/>
      <c r="O65" s="1"/>
      <c r="P65" s="1"/>
      <c r="Q65" s="1"/>
      <c r="R65" s="1"/>
      <c r="S65" s="1"/>
      <c r="T65" s="1"/>
      <c r="U65" s="1"/>
      <c r="V65" s="1"/>
      <c r="W65" s="1"/>
      <c r="X65" s="1"/>
      <c r="Y65" s="1"/>
      <c r="Z65" s="1"/>
      <c r="AA65" s="1"/>
      <c r="AB65" s="1"/>
      <c r="AC65" s="1"/>
      <c r="AD65" s="1"/>
    </row>
    <row r="66" spans="3:55" x14ac:dyDescent="0.2">
      <c r="D66" s="1" t="s">
        <v>440</v>
      </c>
      <c r="J66" s="2" t="s">
        <v>18</v>
      </c>
      <c r="L66" s="3" t="s">
        <v>120</v>
      </c>
      <c r="M66" s="666">
        <f t="shared" ref="M66:M73" si="11">AVERAGE(Q66:R66)</f>
        <v>62.407206833422798</v>
      </c>
      <c r="N66" s="18"/>
      <c r="P66" s="25"/>
      <c r="Q66" s="25">
        <f>'Assets Liability'!Q72</f>
        <v>67.247147973846253</v>
      </c>
      <c r="R66" s="25">
        <f>'Assets Liability'!R72</f>
        <v>57.567265692999342</v>
      </c>
      <c r="S66" s="25">
        <f>$M66</f>
        <v>62.407206833422798</v>
      </c>
      <c r="T66" s="25">
        <f t="shared" ref="T66:AD67" si="12">$M66</f>
        <v>62.407206833422798</v>
      </c>
      <c r="U66" s="25">
        <f t="shared" si="12"/>
        <v>62.407206833422798</v>
      </c>
      <c r="V66" s="25">
        <f t="shared" si="12"/>
        <v>62.407206833422798</v>
      </c>
      <c r="W66" s="25">
        <f t="shared" si="12"/>
        <v>62.407206833422798</v>
      </c>
      <c r="X66" s="25">
        <f t="shared" si="12"/>
        <v>62.407206833422798</v>
      </c>
      <c r="Y66" s="25">
        <f t="shared" si="12"/>
        <v>62.407206833422798</v>
      </c>
      <c r="Z66" s="25">
        <f t="shared" si="12"/>
        <v>62.407206833422798</v>
      </c>
      <c r="AA66" s="25">
        <f t="shared" si="12"/>
        <v>62.407206833422798</v>
      </c>
      <c r="AB66" s="25">
        <f t="shared" si="12"/>
        <v>62.407206833422798</v>
      </c>
      <c r="AC66" s="25">
        <f t="shared" si="12"/>
        <v>62.407206833422798</v>
      </c>
      <c r="AD66" s="25">
        <f t="shared" si="12"/>
        <v>62.407206833422798</v>
      </c>
    </row>
    <row r="67" spans="3:55" x14ac:dyDescent="0.2">
      <c r="D67" s="1" t="s">
        <v>1007</v>
      </c>
      <c r="J67" s="2" t="s">
        <v>18</v>
      </c>
      <c r="L67" s="3" t="s">
        <v>1008</v>
      </c>
      <c r="M67" s="666">
        <f t="shared" si="11"/>
        <v>15.178842485557077</v>
      </c>
      <c r="N67" s="18"/>
      <c r="Q67" s="25">
        <f>'Assets Liability'!Q80</f>
        <v>14.819710585062381</v>
      </c>
      <c r="R67" s="25">
        <f>'Assets Liability'!R80</f>
        <v>15.537974386051774</v>
      </c>
      <c r="S67" s="25">
        <f t="shared" ref="S67:AD73" si="13">$M67</f>
        <v>15.178842485557077</v>
      </c>
      <c r="T67" s="25">
        <f t="shared" si="12"/>
        <v>15.178842485557077</v>
      </c>
      <c r="U67" s="25">
        <f t="shared" si="12"/>
        <v>15.178842485557077</v>
      </c>
      <c r="V67" s="25">
        <f t="shared" si="12"/>
        <v>15.178842485557077</v>
      </c>
      <c r="W67" s="25">
        <f t="shared" si="12"/>
        <v>15.178842485557077</v>
      </c>
      <c r="X67" s="25">
        <f t="shared" si="12"/>
        <v>15.178842485557077</v>
      </c>
      <c r="Y67" s="25">
        <f t="shared" si="12"/>
        <v>15.178842485557077</v>
      </c>
      <c r="Z67" s="25">
        <f t="shared" si="12"/>
        <v>15.178842485557077</v>
      </c>
      <c r="AA67" s="25">
        <f t="shared" si="12"/>
        <v>15.178842485557077</v>
      </c>
      <c r="AB67" s="25">
        <f t="shared" si="12"/>
        <v>15.178842485557077</v>
      </c>
      <c r="AC67" s="25">
        <f t="shared" si="12"/>
        <v>15.178842485557077</v>
      </c>
      <c r="AD67" s="25">
        <f t="shared" si="12"/>
        <v>15.178842485557077</v>
      </c>
    </row>
    <row r="68" spans="3:55" x14ac:dyDescent="0.2">
      <c r="D68" s="1" t="s">
        <v>1010</v>
      </c>
      <c r="J68" s="2" t="s">
        <v>18</v>
      </c>
      <c r="L68" s="3" t="s">
        <v>1014</v>
      </c>
      <c r="M68" s="666">
        <f t="shared" si="11"/>
        <v>9.2741474333631739</v>
      </c>
      <c r="N68" s="18"/>
      <c r="Q68" s="25">
        <f>'Assets Liability'!Q88</f>
        <v>9.3621608424032967</v>
      </c>
      <c r="R68" s="25">
        <f>'Assets Liability'!R88</f>
        <v>9.1861340243230512</v>
      </c>
      <c r="S68" s="25">
        <f t="shared" si="13"/>
        <v>9.2741474333631739</v>
      </c>
      <c r="T68" s="25">
        <f t="shared" si="13"/>
        <v>9.2741474333631739</v>
      </c>
      <c r="U68" s="25">
        <f t="shared" si="13"/>
        <v>9.2741474333631739</v>
      </c>
      <c r="V68" s="25">
        <f t="shared" si="13"/>
        <v>9.2741474333631739</v>
      </c>
      <c r="W68" s="25">
        <f t="shared" si="13"/>
        <v>9.2741474333631739</v>
      </c>
      <c r="X68" s="25">
        <f t="shared" si="13"/>
        <v>9.2741474333631739</v>
      </c>
      <c r="Y68" s="25">
        <f t="shared" si="13"/>
        <v>9.2741474333631739</v>
      </c>
      <c r="Z68" s="25">
        <f t="shared" si="13"/>
        <v>9.2741474333631739</v>
      </c>
      <c r="AA68" s="25">
        <f t="shared" si="13"/>
        <v>9.2741474333631739</v>
      </c>
      <c r="AB68" s="25">
        <f t="shared" si="13"/>
        <v>9.2741474333631739</v>
      </c>
      <c r="AC68" s="25">
        <f t="shared" si="13"/>
        <v>9.2741474333631739</v>
      </c>
      <c r="AD68" s="25">
        <f t="shared" si="13"/>
        <v>9.2741474333631739</v>
      </c>
      <c r="AE68" s="19"/>
      <c r="AF68" s="19"/>
    </row>
    <row r="69" spans="3:55" x14ac:dyDescent="0.2">
      <c r="D69" s="1" t="s">
        <v>1015</v>
      </c>
      <c r="J69" s="2" t="s">
        <v>18</v>
      </c>
      <c r="L69" s="3" t="s">
        <v>1016</v>
      </c>
      <c r="M69" s="666">
        <f t="shared" si="11"/>
        <v>18.956460958574983</v>
      </c>
      <c r="N69" s="18"/>
      <c r="Q69" s="25">
        <f>'Assets Liability'!Q97</f>
        <v>15.758942471166144</v>
      </c>
      <c r="R69" s="25">
        <f>'Assets Liability'!R97</f>
        <v>22.153979445983822</v>
      </c>
      <c r="S69" s="25">
        <f t="shared" si="13"/>
        <v>18.956460958574983</v>
      </c>
      <c r="T69" s="25">
        <f t="shared" si="13"/>
        <v>18.956460958574983</v>
      </c>
      <c r="U69" s="25">
        <f t="shared" si="13"/>
        <v>18.956460958574983</v>
      </c>
      <c r="V69" s="25">
        <f t="shared" si="13"/>
        <v>18.956460958574983</v>
      </c>
      <c r="W69" s="25">
        <f t="shared" si="13"/>
        <v>18.956460958574983</v>
      </c>
      <c r="X69" s="25">
        <f t="shared" si="13"/>
        <v>18.956460958574983</v>
      </c>
      <c r="Y69" s="25">
        <f t="shared" si="13"/>
        <v>18.956460958574983</v>
      </c>
      <c r="Z69" s="25">
        <f t="shared" si="13"/>
        <v>18.956460958574983</v>
      </c>
      <c r="AA69" s="25">
        <f t="shared" si="13"/>
        <v>18.956460958574983</v>
      </c>
      <c r="AB69" s="25">
        <f t="shared" si="13"/>
        <v>18.956460958574983</v>
      </c>
      <c r="AC69" s="25">
        <f t="shared" si="13"/>
        <v>18.956460958574983</v>
      </c>
      <c r="AD69" s="25">
        <f t="shared" si="13"/>
        <v>18.956460958574983</v>
      </c>
      <c r="AE69" s="19"/>
      <c r="AF69" s="19"/>
    </row>
    <row r="70" spans="3:55" x14ac:dyDescent="0.2">
      <c r="D70" s="1" t="s">
        <v>439</v>
      </c>
      <c r="J70" s="2" t="s">
        <v>18</v>
      </c>
      <c r="L70" s="3" t="s">
        <v>441</v>
      </c>
      <c r="M70" s="666">
        <f t="shared" si="11"/>
        <v>45.922760257420137</v>
      </c>
      <c r="N70" s="18"/>
      <c r="Q70" s="25">
        <f>'Assets Liability'!Q122</f>
        <v>43.179692605225483</v>
      </c>
      <c r="R70" s="25">
        <f>'Assets Liability'!R122</f>
        <v>48.665827909614791</v>
      </c>
      <c r="S70" s="25">
        <f t="shared" si="13"/>
        <v>45.922760257420137</v>
      </c>
      <c r="T70" s="25">
        <f t="shared" si="13"/>
        <v>45.922760257420137</v>
      </c>
      <c r="U70" s="25">
        <f t="shared" si="13"/>
        <v>45.922760257420137</v>
      </c>
      <c r="V70" s="25">
        <f t="shared" si="13"/>
        <v>45.922760257420137</v>
      </c>
      <c r="W70" s="25">
        <f t="shared" si="13"/>
        <v>45.922760257420137</v>
      </c>
      <c r="X70" s="25">
        <f t="shared" si="13"/>
        <v>45.922760257420137</v>
      </c>
      <c r="Y70" s="25">
        <f t="shared" si="13"/>
        <v>45.922760257420137</v>
      </c>
      <c r="Z70" s="25">
        <f t="shared" si="13"/>
        <v>45.922760257420137</v>
      </c>
      <c r="AA70" s="25">
        <f t="shared" si="13"/>
        <v>45.922760257420137</v>
      </c>
      <c r="AB70" s="25">
        <f t="shared" si="13"/>
        <v>45.922760257420137</v>
      </c>
      <c r="AC70" s="25">
        <f t="shared" si="13"/>
        <v>45.922760257420137</v>
      </c>
      <c r="AD70" s="25">
        <f t="shared" si="13"/>
        <v>45.922760257420137</v>
      </c>
    </row>
    <row r="71" spans="3:55" x14ac:dyDescent="0.2">
      <c r="D71" s="1" t="s">
        <v>1019</v>
      </c>
      <c r="J71" s="2" t="s">
        <v>18</v>
      </c>
      <c r="L71" s="3" t="s">
        <v>1020</v>
      </c>
      <c r="M71" s="666">
        <f t="shared" si="11"/>
        <v>53.270988750566957</v>
      </c>
      <c r="N71" s="18"/>
      <c r="Q71" s="25">
        <f>'Assets Liability'!Q107</f>
        <v>58.103282210031871</v>
      </c>
      <c r="R71" s="25">
        <f>'Assets Liability'!R107</f>
        <v>48.438695291102043</v>
      </c>
      <c r="S71" s="25">
        <f t="shared" si="13"/>
        <v>53.270988750566957</v>
      </c>
      <c r="T71" s="25">
        <f t="shared" si="13"/>
        <v>53.270988750566957</v>
      </c>
      <c r="U71" s="25">
        <f t="shared" si="13"/>
        <v>53.270988750566957</v>
      </c>
      <c r="V71" s="25">
        <f t="shared" si="13"/>
        <v>53.270988750566957</v>
      </c>
      <c r="W71" s="25">
        <f t="shared" si="13"/>
        <v>53.270988750566957</v>
      </c>
      <c r="X71" s="25">
        <f t="shared" si="13"/>
        <v>53.270988750566957</v>
      </c>
      <c r="Y71" s="25">
        <f t="shared" si="13"/>
        <v>53.270988750566957</v>
      </c>
      <c r="Z71" s="25">
        <f t="shared" si="13"/>
        <v>53.270988750566957</v>
      </c>
      <c r="AA71" s="25">
        <f t="shared" si="13"/>
        <v>53.270988750566957</v>
      </c>
      <c r="AB71" s="25">
        <f t="shared" si="13"/>
        <v>53.270988750566957</v>
      </c>
      <c r="AC71" s="25">
        <f t="shared" si="13"/>
        <v>53.270988750566957</v>
      </c>
      <c r="AD71" s="25">
        <f t="shared" si="13"/>
        <v>53.270988750566957</v>
      </c>
    </row>
    <row r="72" spans="3:55" x14ac:dyDescent="0.2">
      <c r="D72" s="1" t="s">
        <v>1021</v>
      </c>
      <c r="J72" s="2" t="s">
        <v>18</v>
      </c>
      <c r="L72" s="3" t="s">
        <v>1024</v>
      </c>
      <c r="M72" s="666">
        <f t="shared" si="11"/>
        <v>21.985445958609706</v>
      </c>
      <c r="N72" s="18"/>
      <c r="Q72" s="25">
        <f>'Assets Liability'!Q114</f>
        <v>27.622094494855936</v>
      </c>
      <c r="R72" s="25">
        <f>'Assets Liability'!R114</f>
        <v>16.348797422363475</v>
      </c>
      <c r="S72" s="25">
        <f t="shared" si="13"/>
        <v>21.985445958609706</v>
      </c>
      <c r="T72" s="25">
        <f t="shared" si="13"/>
        <v>21.985445958609706</v>
      </c>
      <c r="U72" s="25">
        <f t="shared" si="13"/>
        <v>21.985445958609706</v>
      </c>
      <c r="V72" s="25">
        <f t="shared" si="13"/>
        <v>21.985445958609706</v>
      </c>
      <c r="W72" s="25">
        <f t="shared" si="13"/>
        <v>21.985445958609706</v>
      </c>
      <c r="X72" s="25">
        <f t="shared" si="13"/>
        <v>21.985445958609706</v>
      </c>
      <c r="Y72" s="25">
        <f t="shared" si="13"/>
        <v>21.985445958609706</v>
      </c>
      <c r="Z72" s="25">
        <f t="shared" si="13"/>
        <v>21.985445958609706</v>
      </c>
      <c r="AA72" s="25">
        <f t="shared" si="13"/>
        <v>21.985445958609706</v>
      </c>
      <c r="AB72" s="25">
        <f t="shared" si="13"/>
        <v>21.985445958609706</v>
      </c>
      <c r="AC72" s="25">
        <f t="shared" si="13"/>
        <v>21.985445958609706</v>
      </c>
      <c r="AD72" s="25">
        <f t="shared" si="13"/>
        <v>21.985445958609706</v>
      </c>
    </row>
    <row r="73" spans="3:55" x14ac:dyDescent="0.2">
      <c r="D73" s="1" t="s">
        <v>1025</v>
      </c>
      <c r="J73" s="2" t="s">
        <v>18</v>
      </c>
      <c r="L73" s="3" t="s">
        <v>1034</v>
      </c>
      <c r="M73" s="666">
        <f t="shared" si="11"/>
        <v>12.557225318546308</v>
      </c>
      <c r="N73" s="18"/>
      <c r="Q73" s="25">
        <f>'Assets Liability'!Q130</f>
        <v>10.510049570264114</v>
      </c>
      <c r="R73" s="25">
        <f>'Assets Liability'!R130</f>
        <v>14.604401066828501</v>
      </c>
      <c r="S73" s="25">
        <f t="shared" si="13"/>
        <v>12.557225318546308</v>
      </c>
      <c r="T73" s="25">
        <f t="shared" si="13"/>
        <v>12.557225318546308</v>
      </c>
      <c r="U73" s="25">
        <f t="shared" si="13"/>
        <v>12.557225318546308</v>
      </c>
      <c r="V73" s="25">
        <f t="shared" si="13"/>
        <v>12.557225318546308</v>
      </c>
      <c r="W73" s="25">
        <f t="shared" si="13"/>
        <v>12.557225318546308</v>
      </c>
      <c r="X73" s="25">
        <f t="shared" si="13"/>
        <v>12.557225318546308</v>
      </c>
      <c r="Y73" s="25">
        <f t="shared" si="13"/>
        <v>12.557225318546308</v>
      </c>
      <c r="Z73" s="25">
        <f t="shared" si="13"/>
        <v>12.557225318546308</v>
      </c>
      <c r="AA73" s="25">
        <f t="shared" si="13"/>
        <v>12.557225318546308</v>
      </c>
      <c r="AB73" s="25">
        <f t="shared" si="13"/>
        <v>12.557225318546308</v>
      </c>
      <c r="AC73" s="25">
        <f t="shared" si="13"/>
        <v>12.557225318546308</v>
      </c>
      <c r="AD73" s="25">
        <f t="shared" si="13"/>
        <v>12.557225318546308</v>
      </c>
    </row>
    <row r="74" spans="3:55" x14ac:dyDescent="0.2">
      <c r="N74" s="18"/>
      <c r="S74" s="25"/>
      <c r="T74" s="25"/>
      <c r="U74" s="25"/>
      <c r="V74" s="25"/>
      <c r="W74" s="25"/>
      <c r="X74" s="25"/>
      <c r="Y74" s="25"/>
      <c r="Z74" s="25"/>
      <c r="AA74" s="25"/>
      <c r="AB74" s="25"/>
      <c r="AC74" s="25"/>
      <c r="AD74" s="25"/>
    </row>
    <row r="75" spans="3:55" ht="12.6" thickBot="1" x14ac:dyDescent="0.25">
      <c r="L75" s="99"/>
      <c r="N75" s="18"/>
      <c r="R75" s="108"/>
      <c r="S75" s="108"/>
      <c r="T75" s="108"/>
      <c r="U75" s="108"/>
      <c r="V75" s="108"/>
      <c r="W75" s="108"/>
      <c r="X75" s="108"/>
      <c r="Y75" s="108"/>
      <c r="Z75" s="108"/>
      <c r="AA75" s="108"/>
      <c r="AB75" s="108"/>
      <c r="AC75" s="108"/>
      <c r="AD75" s="108"/>
    </row>
    <row r="76" spans="3:55" s="97" customFormat="1" ht="12.6" thickTop="1" x14ac:dyDescent="0.2">
      <c r="C76" s="170" t="s">
        <v>24</v>
      </c>
      <c r="D76" s="170"/>
      <c r="E76" s="171"/>
      <c r="F76" s="172"/>
      <c r="G76" s="172"/>
      <c r="H76" s="173"/>
      <c r="I76" s="172"/>
      <c r="J76" s="174"/>
      <c r="K76" s="172"/>
      <c r="L76" s="170"/>
      <c r="M76" s="172"/>
      <c r="N76" s="175"/>
      <c r="O76" s="175"/>
      <c r="P76" s="175"/>
      <c r="Q76" s="175"/>
      <c r="R76" s="175"/>
      <c r="S76" s="175"/>
      <c r="T76" s="175"/>
      <c r="U76" s="175"/>
      <c r="V76" s="175"/>
      <c r="W76" s="175"/>
      <c r="X76" s="175"/>
      <c r="Y76" s="175"/>
      <c r="Z76" s="175"/>
      <c r="AA76" s="175"/>
      <c r="AB76" s="175"/>
      <c r="AC76" s="175"/>
      <c r="AD76" s="175"/>
      <c r="AE76" s="45"/>
      <c r="AF76" s="45"/>
      <c r="AG76" s="45"/>
      <c r="AH76" s="45"/>
      <c r="AI76" s="45"/>
      <c r="AJ76" s="45"/>
      <c r="AK76" s="45"/>
      <c r="AL76" s="45"/>
      <c r="AM76" s="45"/>
      <c r="AN76" s="45"/>
      <c r="AO76" s="45"/>
      <c r="AP76" s="45"/>
      <c r="AQ76" s="46"/>
      <c r="AR76" s="46"/>
      <c r="AS76" s="46"/>
      <c r="AT76" s="46"/>
      <c r="AU76" s="46"/>
      <c r="AV76" s="46"/>
      <c r="AW76" s="46"/>
      <c r="AX76" s="46"/>
      <c r="AY76" s="46"/>
      <c r="AZ76" s="46"/>
      <c r="BA76" s="46"/>
      <c r="BB76" s="46"/>
      <c r="BC76" s="46"/>
    </row>
    <row r="77" spans="3:55" x14ac:dyDescent="0.2">
      <c r="J77" s="1"/>
      <c r="L77" s="1"/>
      <c r="N77" s="18"/>
      <c r="S77" s="1"/>
      <c r="T77" s="1"/>
      <c r="U77" s="1"/>
      <c r="V77" s="1"/>
      <c r="W77" s="1"/>
      <c r="X77" s="1"/>
      <c r="Y77" s="1"/>
      <c r="Z77" s="1"/>
      <c r="AA77" s="1"/>
      <c r="AB77" s="1"/>
      <c r="AC77" s="1"/>
      <c r="AD77" s="1"/>
    </row>
    <row r="78" spans="3:55" ht="12.6" x14ac:dyDescent="0.25">
      <c r="D78" s="35" t="s">
        <v>111</v>
      </c>
      <c r="N78" s="18"/>
    </row>
    <row r="79" spans="3:55" ht="12.6" x14ac:dyDescent="0.25">
      <c r="D79" s="1" t="s">
        <v>995</v>
      </c>
      <c r="E79" s="32"/>
      <c r="F79" s="97"/>
      <c r="G79" s="97"/>
      <c r="H79" s="97"/>
      <c r="I79" s="97"/>
      <c r="J79" s="98" t="s">
        <v>1205</v>
      </c>
      <c r="K79" s="97"/>
      <c r="L79" s="99" t="s">
        <v>142</v>
      </c>
      <c r="M79" s="97"/>
      <c r="N79" s="21"/>
      <c r="O79" s="21"/>
      <c r="P79" s="21"/>
      <c r="Q79" s="21"/>
      <c r="R79" s="21"/>
      <c r="S79" s="101">
        <v>-50000</v>
      </c>
      <c r="T79" s="101">
        <v>-50000</v>
      </c>
      <c r="U79" s="101">
        <v>-50000</v>
      </c>
      <c r="V79" s="101">
        <v>-50000</v>
      </c>
      <c r="W79" s="101">
        <v>-50000</v>
      </c>
      <c r="X79" s="101">
        <v>-50000</v>
      </c>
      <c r="Y79" s="101">
        <v>-50000</v>
      </c>
      <c r="Z79" s="101">
        <v>-50000</v>
      </c>
      <c r="AA79" s="101">
        <v>-50000</v>
      </c>
      <c r="AB79" s="101">
        <v>-50000</v>
      </c>
      <c r="AC79" s="101">
        <v>-50000</v>
      </c>
      <c r="AD79" s="101">
        <v>-50000</v>
      </c>
    </row>
    <row r="80" spans="3:55" x14ac:dyDescent="0.2">
      <c r="N80" s="18"/>
    </row>
    <row r="81" spans="3:55" x14ac:dyDescent="0.2">
      <c r="D81" s="1" t="s">
        <v>515</v>
      </c>
      <c r="J81" s="2" t="s">
        <v>49</v>
      </c>
      <c r="L81" s="3" t="s">
        <v>516</v>
      </c>
      <c r="N81" s="18"/>
      <c r="S81" s="179">
        <f>'Act BS'!Q71</f>
        <v>8.7411985166400696E-2</v>
      </c>
      <c r="T81" s="179">
        <f>S81</f>
        <v>8.7411985166400696E-2</v>
      </c>
      <c r="U81" s="179">
        <f t="shared" ref="U81:AD81" si="14">T81</f>
        <v>8.7411985166400696E-2</v>
      </c>
      <c r="V81" s="179">
        <f t="shared" si="14"/>
        <v>8.7411985166400696E-2</v>
      </c>
      <c r="W81" s="179">
        <f t="shared" si="14"/>
        <v>8.7411985166400696E-2</v>
      </c>
      <c r="X81" s="179">
        <f t="shared" si="14"/>
        <v>8.7411985166400696E-2</v>
      </c>
      <c r="Y81" s="179">
        <f t="shared" si="14"/>
        <v>8.7411985166400696E-2</v>
      </c>
      <c r="Z81" s="179">
        <f t="shared" si="14"/>
        <v>8.7411985166400696E-2</v>
      </c>
      <c r="AA81" s="179">
        <f t="shared" si="14"/>
        <v>8.7411985166400696E-2</v>
      </c>
      <c r="AB81" s="179">
        <f t="shared" si="14"/>
        <v>8.7411985166400696E-2</v>
      </c>
      <c r="AC81" s="179">
        <f t="shared" si="14"/>
        <v>8.7411985166400696E-2</v>
      </c>
      <c r="AD81" s="179">
        <f t="shared" si="14"/>
        <v>8.7411985166400696E-2</v>
      </c>
    </row>
    <row r="82" spans="3:55" x14ac:dyDescent="0.2">
      <c r="N82" s="18"/>
    </row>
    <row r="83" spans="3:55" x14ac:dyDescent="0.2">
      <c r="D83" s="1" t="s">
        <v>442</v>
      </c>
      <c r="J83" s="2" t="s">
        <v>1205</v>
      </c>
      <c r="L83" s="3" t="s">
        <v>443</v>
      </c>
      <c r="N83" s="18"/>
    </row>
    <row r="84" spans="3:55" x14ac:dyDescent="0.2">
      <c r="N84" s="18"/>
      <c r="S84" s="18">
        <v>0</v>
      </c>
      <c r="T84" s="18">
        <v>0</v>
      </c>
      <c r="U84" s="18">
        <v>0</v>
      </c>
      <c r="V84" s="18">
        <v>0</v>
      </c>
      <c r="W84" s="18">
        <v>0</v>
      </c>
      <c r="X84" s="18">
        <v>0</v>
      </c>
      <c r="Y84" s="18">
        <v>0</v>
      </c>
      <c r="Z84" s="18">
        <v>0</v>
      </c>
      <c r="AA84" s="18">
        <v>0</v>
      </c>
      <c r="AB84" s="18">
        <v>0</v>
      </c>
      <c r="AC84" s="18">
        <v>0</v>
      </c>
      <c r="AD84" s="18">
        <v>0</v>
      </c>
    </row>
    <row r="85" spans="3:55" x14ac:dyDescent="0.2">
      <c r="D85" s="1" t="s">
        <v>26</v>
      </c>
      <c r="N85" s="18"/>
    </row>
    <row r="86" spans="3:55" x14ac:dyDescent="0.2">
      <c r="E86" s="1" t="s">
        <v>92</v>
      </c>
      <c r="J86" s="2" t="s">
        <v>1205</v>
      </c>
      <c r="L86" s="3" t="s">
        <v>444</v>
      </c>
      <c r="N86" s="18"/>
      <c r="S86" s="101">
        <v>-10000</v>
      </c>
      <c r="T86" s="101">
        <v>-5000</v>
      </c>
      <c r="U86" s="101">
        <v>-5000</v>
      </c>
      <c r="V86" s="101">
        <v>-5000</v>
      </c>
      <c r="W86" s="101">
        <v>-5000</v>
      </c>
      <c r="X86" s="101">
        <v>-5000</v>
      </c>
      <c r="Y86" s="101">
        <v>-5000</v>
      </c>
      <c r="Z86" s="101">
        <v>-5000</v>
      </c>
      <c r="AA86" s="101">
        <v>-5000</v>
      </c>
      <c r="AB86" s="101">
        <v>-5000</v>
      </c>
      <c r="AC86" s="101">
        <v>-5000</v>
      </c>
      <c r="AD86" s="101">
        <v>-5000</v>
      </c>
    </row>
    <row r="87" spans="3:55" x14ac:dyDescent="0.2">
      <c r="E87" s="1" t="s">
        <v>113</v>
      </c>
      <c r="J87" s="2" t="s">
        <v>49</v>
      </c>
      <c r="L87" s="3" t="s">
        <v>513</v>
      </c>
      <c r="N87" s="18"/>
      <c r="S87" s="179">
        <f>'Act BS'!Q77</f>
        <v>5.668819863648937E-2</v>
      </c>
      <c r="T87" s="179">
        <f>S87</f>
        <v>5.668819863648937E-2</v>
      </c>
      <c r="U87" s="179">
        <f t="shared" ref="U87:AD87" si="15">T87</f>
        <v>5.668819863648937E-2</v>
      </c>
      <c r="V87" s="179">
        <f t="shared" si="15"/>
        <v>5.668819863648937E-2</v>
      </c>
      <c r="W87" s="179">
        <f t="shared" si="15"/>
        <v>5.668819863648937E-2</v>
      </c>
      <c r="X87" s="179">
        <f t="shared" si="15"/>
        <v>5.668819863648937E-2</v>
      </c>
      <c r="Y87" s="179">
        <f t="shared" si="15"/>
        <v>5.668819863648937E-2</v>
      </c>
      <c r="Z87" s="179">
        <f t="shared" si="15"/>
        <v>5.668819863648937E-2</v>
      </c>
      <c r="AA87" s="179">
        <f t="shared" si="15"/>
        <v>5.668819863648937E-2</v>
      </c>
      <c r="AB87" s="179">
        <f t="shared" si="15"/>
        <v>5.668819863648937E-2</v>
      </c>
      <c r="AC87" s="179">
        <f t="shared" si="15"/>
        <v>5.668819863648937E-2</v>
      </c>
      <c r="AD87" s="179">
        <f t="shared" si="15"/>
        <v>5.668819863648937E-2</v>
      </c>
    </row>
    <row r="88" spans="3:55" ht="12.6" thickBot="1" x14ac:dyDescent="0.25"/>
    <row r="89" spans="3:55" s="97" customFormat="1" ht="12.6" thickTop="1" x14ac:dyDescent="0.2">
      <c r="C89" s="170" t="s">
        <v>238</v>
      </c>
      <c r="D89" s="170"/>
      <c r="E89" s="171"/>
      <c r="F89" s="172"/>
      <c r="G89" s="172"/>
      <c r="H89" s="173"/>
      <c r="I89" s="172"/>
      <c r="J89" s="174"/>
      <c r="K89" s="172"/>
      <c r="L89" s="170"/>
      <c r="M89" s="172"/>
      <c r="N89" s="175"/>
      <c r="O89" s="175"/>
      <c r="P89" s="175"/>
      <c r="Q89" s="175"/>
      <c r="R89" s="175"/>
      <c r="S89" s="175"/>
      <c r="T89" s="175"/>
      <c r="U89" s="175"/>
      <c r="V89" s="175"/>
      <c r="W89" s="175"/>
      <c r="X89" s="175"/>
      <c r="Y89" s="175"/>
      <c r="Z89" s="175"/>
      <c r="AA89" s="175"/>
      <c r="AB89" s="175"/>
      <c r="AC89" s="175"/>
      <c r="AD89" s="175"/>
      <c r="AE89" s="45"/>
      <c r="AF89" s="45"/>
      <c r="AG89" s="45"/>
      <c r="AH89" s="45"/>
      <c r="AI89" s="45"/>
      <c r="AJ89" s="45"/>
      <c r="AK89" s="45"/>
      <c r="AL89" s="45"/>
      <c r="AM89" s="45"/>
      <c r="AN89" s="45"/>
      <c r="AO89" s="45"/>
      <c r="AP89" s="45"/>
      <c r="AQ89" s="46"/>
      <c r="AR89" s="46"/>
      <c r="AS89" s="46"/>
      <c r="AT89" s="46"/>
      <c r="AU89" s="46"/>
      <c r="AV89" s="46"/>
      <c r="AW89" s="46"/>
      <c r="AX89" s="46"/>
      <c r="AY89" s="46"/>
      <c r="AZ89" s="46"/>
      <c r="BA89" s="46"/>
      <c r="BB89" s="46"/>
      <c r="BC89" s="46"/>
    </row>
    <row r="90" spans="3:55" x14ac:dyDescent="0.2">
      <c r="N90" s="18"/>
      <c r="R90" s="101"/>
    </row>
    <row r="91" spans="3:55" x14ac:dyDescent="0.2">
      <c r="D91" s="1" t="s">
        <v>127</v>
      </c>
      <c r="J91" s="2" t="s">
        <v>49</v>
      </c>
      <c r="L91" s="3" t="s">
        <v>129</v>
      </c>
      <c r="N91" s="18"/>
      <c r="S91" s="25">
        <v>8300</v>
      </c>
      <c r="T91" s="25">
        <v>17900</v>
      </c>
      <c r="U91" s="25">
        <v>17400.000000000004</v>
      </c>
      <c r="V91" s="25">
        <v>16000</v>
      </c>
      <c r="W91" s="25">
        <v>14399.999999999998</v>
      </c>
      <c r="X91" s="25">
        <f t="shared" ref="X91:AD92" si="16">W91</f>
        <v>14399.999999999998</v>
      </c>
      <c r="Y91" s="25">
        <f t="shared" si="16"/>
        <v>14399.999999999998</v>
      </c>
      <c r="Z91" s="25">
        <f t="shared" si="16"/>
        <v>14399.999999999998</v>
      </c>
      <c r="AA91" s="25">
        <f t="shared" si="16"/>
        <v>14399.999999999998</v>
      </c>
      <c r="AB91" s="25">
        <f t="shared" si="16"/>
        <v>14399.999999999998</v>
      </c>
      <c r="AC91" s="25">
        <f t="shared" si="16"/>
        <v>14399.999999999998</v>
      </c>
      <c r="AD91" s="25">
        <f t="shared" si="16"/>
        <v>14399.999999999998</v>
      </c>
    </row>
    <row r="92" spans="3:55" x14ac:dyDescent="0.2">
      <c r="D92" s="1" t="s">
        <v>128</v>
      </c>
      <c r="J92" s="2" t="s">
        <v>49</v>
      </c>
      <c r="L92" s="3" t="s">
        <v>130</v>
      </c>
      <c r="N92" s="18"/>
      <c r="S92" s="25">
        <v>4200</v>
      </c>
      <c r="T92" s="25">
        <v>8900</v>
      </c>
      <c r="U92" s="25">
        <v>8700</v>
      </c>
      <c r="V92" s="25">
        <v>8000</v>
      </c>
      <c r="W92" s="25">
        <v>7200</v>
      </c>
      <c r="X92" s="25">
        <f>W92</f>
        <v>7200</v>
      </c>
      <c r="Y92" s="25">
        <f t="shared" si="16"/>
        <v>7200</v>
      </c>
      <c r="Z92" s="25">
        <f t="shared" si="16"/>
        <v>7200</v>
      </c>
      <c r="AA92" s="25">
        <f t="shared" si="16"/>
        <v>7200</v>
      </c>
      <c r="AB92" s="25">
        <f t="shared" si="16"/>
        <v>7200</v>
      </c>
      <c r="AC92" s="25">
        <f t="shared" si="16"/>
        <v>7200</v>
      </c>
      <c r="AD92" s="25">
        <f t="shared" si="16"/>
        <v>7200</v>
      </c>
    </row>
    <row r="93" spans="3:55" x14ac:dyDescent="0.2">
      <c r="D93" s="1" t="s">
        <v>512</v>
      </c>
      <c r="N93" s="18"/>
      <c r="S93" s="25"/>
      <c r="T93" s="158"/>
      <c r="U93" s="158"/>
      <c r="V93" s="158"/>
      <c r="W93" s="158"/>
      <c r="X93" s="158"/>
      <c r="Y93" s="158"/>
      <c r="Z93" s="158"/>
      <c r="AA93" s="158"/>
      <c r="AB93" s="158"/>
      <c r="AC93" s="158"/>
      <c r="AD93" s="158"/>
    </row>
    <row r="94" spans="3:55" x14ac:dyDescent="0.2">
      <c r="N94" s="18"/>
      <c r="S94" s="79"/>
      <c r="T94" s="158"/>
      <c r="U94" s="158"/>
      <c r="V94" s="158"/>
      <c r="W94" s="158"/>
      <c r="X94" s="158"/>
      <c r="Y94" s="158"/>
      <c r="Z94" s="158"/>
      <c r="AA94" s="158"/>
      <c r="AB94" s="158"/>
      <c r="AC94" s="158"/>
      <c r="AD94" s="158"/>
    </row>
    <row r="95" spans="3:55" ht="12.6" thickBot="1" x14ac:dyDescent="0.25">
      <c r="N95" s="18"/>
      <c r="S95" s="79"/>
      <c r="T95" s="158"/>
      <c r="U95" s="158"/>
      <c r="V95" s="158"/>
      <c r="W95" s="158"/>
      <c r="X95" s="158"/>
      <c r="Y95" s="158"/>
      <c r="Z95" s="158"/>
      <c r="AA95" s="158"/>
      <c r="AB95" s="158"/>
      <c r="AC95" s="158"/>
      <c r="AD95" s="158"/>
    </row>
    <row r="96" spans="3:55" s="97" customFormat="1" ht="12.6" thickTop="1" x14ac:dyDescent="0.2">
      <c r="C96" s="170" t="s">
        <v>242</v>
      </c>
      <c r="D96" s="170"/>
      <c r="E96" s="171"/>
      <c r="F96" s="172"/>
      <c r="G96" s="172"/>
      <c r="H96" s="173"/>
      <c r="I96" s="172"/>
      <c r="J96" s="174"/>
      <c r="K96" s="172"/>
      <c r="L96" s="170"/>
      <c r="M96" s="172"/>
      <c r="N96" s="175"/>
      <c r="O96" s="175"/>
      <c r="P96" s="175"/>
      <c r="Q96" s="175"/>
      <c r="R96" s="175"/>
      <c r="S96" s="175"/>
      <c r="T96" s="175"/>
      <c r="U96" s="175"/>
      <c r="V96" s="175"/>
      <c r="W96" s="175"/>
      <c r="X96" s="175"/>
      <c r="Y96" s="175"/>
      <c r="Z96" s="175"/>
      <c r="AA96" s="175"/>
      <c r="AB96" s="175"/>
      <c r="AC96" s="175"/>
      <c r="AD96" s="175"/>
      <c r="AE96" s="45"/>
      <c r="AF96" s="45"/>
      <c r="AG96" s="45"/>
      <c r="AH96" s="45"/>
      <c r="AI96" s="45"/>
      <c r="AJ96" s="45"/>
      <c r="AK96" s="45"/>
      <c r="AL96" s="45"/>
      <c r="AM96" s="45"/>
      <c r="AN96" s="45"/>
      <c r="AO96" s="45"/>
      <c r="AP96" s="45"/>
      <c r="AQ96" s="46"/>
      <c r="AR96" s="46"/>
      <c r="AS96" s="46"/>
      <c r="AT96" s="46"/>
      <c r="AU96" s="46"/>
      <c r="AV96" s="46"/>
      <c r="AW96" s="46"/>
      <c r="AX96" s="46"/>
      <c r="AY96" s="46"/>
      <c r="AZ96" s="46"/>
      <c r="BA96" s="46"/>
      <c r="BB96" s="46"/>
      <c r="BC96" s="46"/>
    </row>
    <row r="97" spans="4:33" x14ac:dyDescent="0.2">
      <c r="N97" s="18"/>
      <c r="S97" s="79"/>
      <c r="T97" s="158"/>
      <c r="U97" s="158"/>
      <c r="V97" s="158"/>
      <c r="W97" s="158"/>
      <c r="X97" s="158"/>
      <c r="Y97" s="158"/>
      <c r="Z97" s="158"/>
      <c r="AA97" s="158"/>
      <c r="AB97" s="158"/>
      <c r="AC97" s="158"/>
      <c r="AD97" s="158"/>
    </row>
    <row r="98" spans="4:33" ht="12.6" x14ac:dyDescent="0.25">
      <c r="D98" s="35" t="s">
        <v>1036</v>
      </c>
      <c r="N98" s="18"/>
      <c r="S98" s="79"/>
      <c r="T98" s="158"/>
      <c r="U98" s="158"/>
      <c r="V98" s="158"/>
      <c r="W98" s="158"/>
      <c r="X98" s="158"/>
      <c r="Y98" s="158"/>
      <c r="Z98" s="158"/>
      <c r="AA98" s="158"/>
      <c r="AB98" s="158"/>
      <c r="AC98" s="158"/>
      <c r="AD98" s="158"/>
    </row>
    <row r="99" spans="4:33" x14ac:dyDescent="0.2">
      <c r="E99" s="1" t="s">
        <v>173</v>
      </c>
      <c r="J99" s="2" t="s">
        <v>1205</v>
      </c>
      <c r="L99" s="3" t="s">
        <v>247</v>
      </c>
      <c r="M99" s="194">
        <v>249369</v>
      </c>
      <c r="N99" s="18"/>
      <c r="S99" s="79"/>
      <c r="T99" s="158"/>
      <c r="U99" s="158"/>
      <c r="V99" s="158"/>
      <c r="W99" s="158"/>
      <c r="X99" s="158"/>
      <c r="Y99" s="158"/>
      <c r="Z99" s="158"/>
      <c r="AA99" s="158"/>
      <c r="AB99" s="158"/>
      <c r="AC99" s="158"/>
      <c r="AD99" s="158"/>
    </row>
    <row r="100" spans="4:33" x14ac:dyDescent="0.2">
      <c r="E100" s="1" t="s">
        <v>243</v>
      </c>
      <c r="J100" s="2" t="s">
        <v>65</v>
      </c>
      <c r="L100" s="3" t="s">
        <v>248</v>
      </c>
      <c r="M100" s="190" t="s">
        <v>1035</v>
      </c>
      <c r="N100" s="18"/>
      <c r="S100" s="79"/>
      <c r="T100" s="158"/>
      <c r="U100" s="158"/>
      <c r="V100" s="158"/>
      <c r="W100" s="158"/>
      <c r="X100" s="158"/>
      <c r="Y100" s="158"/>
      <c r="Z100" s="158"/>
      <c r="AA100" s="158"/>
      <c r="AB100" s="158"/>
      <c r="AC100" s="158"/>
      <c r="AD100" s="158"/>
    </row>
    <row r="101" spans="4:33" x14ac:dyDescent="0.2">
      <c r="E101" s="1" t="s">
        <v>244</v>
      </c>
      <c r="J101" s="2" t="s">
        <v>65</v>
      </c>
      <c r="L101" s="3" t="s">
        <v>249</v>
      </c>
      <c r="M101" s="190"/>
      <c r="N101" s="18"/>
      <c r="S101" s="79"/>
      <c r="T101" s="158"/>
      <c r="U101" s="158"/>
      <c r="V101" s="158"/>
      <c r="W101" s="158"/>
      <c r="X101" s="158"/>
      <c r="Y101" s="158"/>
      <c r="Z101" s="158"/>
      <c r="AA101" s="158"/>
      <c r="AB101" s="158"/>
      <c r="AC101" s="158"/>
      <c r="AD101" s="158"/>
    </row>
    <row r="102" spans="4:33" x14ac:dyDescent="0.2">
      <c r="E102" s="1" t="s">
        <v>150</v>
      </c>
      <c r="J102" s="2" t="s">
        <v>49</v>
      </c>
      <c r="L102" s="3" t="s">
        <v>250</v>
      </c>
      <c r="M102" s="198">
        <v>0</v>
      </c>
      <c r="N102" s="18"/>
      <c r="S102" s="79"/>
      <c r="T102" s="158"/>
      <c r="U102" s="158"/>
      <c r="V102" s="158"/>
      <c r="W102" s="158"/>
      <c r="X102" s="158"/>
      <c r="Y102" s="158"/>
      <c r="Z102" s="158"/>
      <c r="AA102" s="158"/>
      <c r="AB102" s="158"/>
      <c r="AC102" s="158"/>
      <c r="AD102" s="158"/>
    </row>
    <row r="103" spans="4:33" x14ac:dyDescent="0.2">
      <c r="E103" s="1" t="s">
        <v>149</v>
      </c>
      <c r="J103" s="2" t="s">
        <v>49</v>
      </c>
      <c r="L103" s="3" t="s">
        <v>251</v>
      </c>
      <c r="M103" s="198">
        <v>0</v>
      </c>
      <c r="N103" s="18"/>
      <c r="S103" s="79"/>
      <c r="T103" s="158"/>
      <c r="U103" s="158"/>
      <c r="V103" s="158"/>
      <c r="W103" s="158"/>
      <c r="X103" s="158"/>
      <c r="Y103" s="158"/>
      <c r="Z103" s="158"/>
      <c r="AA103" s="158"/>
      <c r="AB103" s="158"/>
      <c r="AC103" s="158"/>
      <c r="AD103" s="158"/>
    </row>
    <row r="104" spans="4:33" x14ac:dyDescent="0.2">
      <c r="E104" s="1" t="s">
        <v>171</v>
      </c>
      <c r="J104" s="2" t="s">
        <v>49</v>
      </c>
      <c r="L104" s="3" t="s">
        <v>252</v>
      </c>
      <c r="N104" s="18"/>
      <c r="R104" s="199"/>
      <c r="S104" s="198">
        <f>AVERAGE(0.7%,2%)</f>
        <v>1.35E-2</v>
      </c>
      <c r="T104" s="198">
        <f t="shared" ref="T104:AD104" si="17">AVERAGE(0.7%,2%)</f>
        <v>1.35E-2</v>
      </c>
      <c r="U104" s="198">
        <f t="shared" si="17"/>
        <v>1.35E-2</v>
      </c>
      <c r="V104" s="198">
        <f t="shared" si="17"/>
        <v>1.35E-2</v>
      </c>
      <c r="W104" s="198">
        <f t="shared" si="17"/>
        <v>1.35E-2</v>
      </c>
      <c r="X104" s="198">
        <f t="shared" si="17"/>
        <v>1.35E-2</v>
      </c>
      <c r="Y104" s="198">
        <f t="shared" si="17"/>
        <v>1.35E-2</v>
      </c>
      <c r="Z104" s="198">
        <f t="shared" si="17"/>
        <v>1.35E-2</v>
      </c>
      <c r="AA104" s="198">
        <f t="shared" si="17"/>
        <v>1.35E-2</v>
      </c>
      <c r="AB104" s="198">
        <f t="shared" si="17"/>
        <v>1.35E-2</v>
      </c>
      <c r="AC104" s="198">
        <f t="shared" si="17"/>
        <v>1.35E-2</v>
      </c>
      <c r="AD104" s="198">
        <f t="shared" si="17"/>
        <v>1.35E-2</v>
      </c>
    </row>
    <row r="105" spans="4:33" x14ac:dyDescent="0.2">
      <c r="E105" s="1" t="s">
        <v>152</v>
      </c>
      <c r="J105" s="2" t="s">
        <v>20</v>
      </c>
      <c r="L105" s="3" t="s">
        <v>256</v>
      </c>
      <c r="N105" s="18"/>
      <c r="S105" s="193">
        <v>12</v>
      </c>
      <c r="T105" s="193">
        <v>12</v>
      </c>
      <c r="U105" s="193">
        <v>12</v>
      </c>
      <c r="V105" s="193">
        <v>12</v>
      </c>
      <c r="W105" s="193">
        <v>12</v>
      </c>
      <c r="X105" s="193">
        <v>12</v>
      </c>
      <c r="Y105" s="193">
        <v>12</v>
      </c>
      <c r="Z105" s="193">
        <v>12</v>
      </c>
      <c r="AA105" s="193">
        <v>12</v>
      </c>
      <c r="AB105" s="193">
        <v>12</v>
      </c>
      <c r="AC105" s="193">
        <v>12</v>
      </c>
      <c r="AD105" s="193">
        <v>12</v>
      </c>
    </row>
    <row r="106" spans="4:33" x14ac:dyDescent="0.2">
      <c r="E106" s="78"/>
      <c r="J106" s="107"/>
      <c r="N106" s="18"/>
      <c r="S106" s="61"/>
      <c r="T106" s="61"/>
      <c r="U106" s="61"/>
      <c r="V106" s="61"/>
      <c r="W106" s="61"/>
      <c r="X106" s="61"/>
      <c r="Y106" s="61"/>
      <c r="Z106" s="61"/>
      <c r="AA106" s="61"/>
      <c r="AB106" s="61"/>
      <c r="AC106" s="61"/>
      <c r="AD106" s="61"/>
    </row>
    <row r="107" spans="4:33" x14ac:dyDescent="0.2">
      <c r="E107" s="1" t="s">
        <v>245</v>
      </c>
      <c r="J107" s="2" t="s">
        <v>1205</v>
      </c>
      <c r="M107" s="25">
        <f>Inputs_Basecase_TL1_Maximum_Facility</f>
        <v>249369</v>
      </c>
      <c r="N107" s="18"/>
      <c r="S107" s="79"/>
      <c r="T107" s="158"/>
      <c r="U107" s="158"/>
      <c r="V107" s="158"/>
      <c r="W107" s="158"/>
      <c r="X107" s="158"/>
      <c r="Y107" s="158"/>
      <c r="Z107" s="158"/>
      <c r="AA107" s="158"/>
      <c r="AB107" s="158"/>
      <c r="AC107" s="158"/>
      <c r="AD107" s="158"/>
    </row>
    <row r="108" spans="4:33" x14ac:dyDescent="0.2">
      <c r="E108" s="1" t="s">
        <v>246</v>
      </c>
      <c r="J108" s="2" t="s">
        <v>49</v>
      </c>
      <c r="N108" s="18"/>
      <c r="S108" s="197">
        <v>0</v>
      </c>
      <c r="T108" s="257">
        <v>0</v>
      </c>
      <c r="U108" s="257">
        <v>0</v>
      </c>
      <c r="V108" s="257">
        <v>0</v>
      </c>
      <c r="W108" s="257">
        <v>0</v>
      </c>
      <c r="X108" s="257">
        <v>0</v>
      </c>
      <c r="Y108" s="257">
        <v>0</v>
      </c>
      <c r="Z108" s="257">
        <v>0</v>
      </c>
      <c r="AA108" s="257">
        <v>0</v>
      </c>
      <c r="AB108" s="257">
        <v>0</v>
      </c>
      <c r="AC108" s="257">
        <v>0</v>
      </c>
      <c r="AD108" s="257">
        <v>0</v>
      </c>
    </row>
    <row r="109" spans="4:33" x14ac:dyDescent="0.2">
      <c r="E109" s="1" t="s">
        <v>163</v>
      </c>
      <c r="J109" s="2" t="s">
        <v>1205</v>
      </c>
      <c r="L109" s="3" t="s">
        <v>253</v>
      </c>
      <c r="N109" s="18"/>
      <c r="S109" s="195">
        <v>0</v>
      </c>
      <c r="T109" s="195">
        <v>0</v>
      </c>
      <c r="U109" s="195">
        <v>0</v>
      </c>
      <c r="V109" s="195">
        <v>0</v>
      </c>
      <c r="W109" s="195">
        <v>0</v>
      </c>
      <c r="X109" s="195">
        <v>0</v>
      </c>
      <c r="Y109" s="195">
        <v>0</v>
      </c>
      <c r="Z109" s="195">
        <v>0</v>
      </c>
      <c r="AA109" s="195">
        <v>0</v>
      </c>
      <c r="AB109" s="195">
        <v>0</v>
      </c>
      <c r="AC109" s="195">
        <v>0</v>
      </c>
      <c r="AD109" s="195">
        <v>0</v>
      </c>
    </row>
    <row r="110" spans="4:33" x14ac:dyDescent="0.2">
      <c r="E110" s="1" t="s">
        <v>146</v>
      </c>
      <c r="J110" s="2" t="s">
        <v>49</v>
      </c>
      <c r="L110" s="3" t="s">
        <v>300</v>
      </c>
      <c r="N110" s="18"/>
      <c r="R110" s="199">
        <f>COUNT(S110:AC110)</f>
        <v>9</v>
      </c>
      <c r="S110" s="191">
        <v>0</v>
      </c>
      <c r="T110" s="191">
        <v>0.125</v>
      </c>
      <c r="U110" s="191">
        <v>0.125</v>
      </c>
      <c r="V110" s="191">
        <v>0.125</v>
      </c>
      <c r="W110" s="191">
        <v>0.125</v>
      </c>
      <c r="X110" s="191">
        <v>0.125</v>
      </c>
      <c r="Y110" s="191">
        <v>0.125</v>
      </c>
      <c r="Z110" s="191">
        <v>0.125</v>
      </c>
      <c r="AA110" s="191">
        <v>0.125</v>
      </c>
      <c r="AB110" s="191"/>
      <c r="AC110" s="191"/>
      <c r="AD110" s="191"/>
    </row>
    <row r="111" spans="4:33" x14ac:dyDescent="0.2">
      <c r="N111" s="18"/>
      <c r="S111" s="79"/>
      <c r="T111" s="158"/>
      <c r="U111" s="158"/>
      <c r="V111" s="158"/>
      <c r="W111" s="158"/>
      <c r="X111" s="158"/>
      <c r="Y111" s="158"/>
      <c r="Z111" s="158"/>
      <c r="AA111" s="158"/>
      <c r="AB111" s="158"/>
      <c r="AC111" s="158"/>
      <c r="AD111" s="158"/>
      <c r="AG111" s="18">
        <v>0.10000000000000009</v>
      </c>
    </row>
    <row r="112" spans="4:33" ht="12.6" x14ac:dyDescent="0.25">
      <c r="D112" s="35" t="s">
        <v>1037</v>
      </c>
      <c r="N112" s="18"/>
      <c r="S112" s="79"/>
      <c r="T112" s="158"/>
      <c r="U112" s="158"/>
      <c r="V112" s="158"/>
      <c r="W112" s="158"/>
      <c r="X112" s="158"/>
      <c r="Y112" s="158"/>
      <c r="Z112" s="158"/>
      <c r="AA112" s="158"/>
      <c r="AB112" s="158"/>
      <c r="AC112" s="158"/>
      <c r="AD112" s="158"/>
    </row>
    <row r="113" spans="4:41" x14ac:dyDescent="0.2">
      <c r="E113" s="1" t="s">
        <v>173</v>
      </c>
      <c r="J113" s="2" t="s">
        <v>1205</v>
      </c>
      <c r="L113" s="3" t="s">
        <v>272</v>
      </c>
      <c r="M113" s="194">
        <v>75000</v>
      </c>
      <c r="N113" s="18"/>
      <c r="S113" s="79"/>
      <c r="T113" s="158"/>
      <c r="U113" s="158"/>
      <c r="V113" s="158"/>
      <c r="W113" s="158"/>
      <c r="X113" s="158"/>
      <c r="Y113" s="158"/>
      <c r="Z113" s="158"/>
      <c r="AA113" s="158"/>
      <c r="AB113" s="158"/>
      <c r="AC113" s="158"/>
      <c r="AD113" s="158"/>
    </row>
    <row r="114" spans="4:41" x14ac:dyDescent="0.2">
      <c r="E114" s="1" t="s">
        <v>243</v>
      </c>
      <c r="J114" s="2" t="s">
        <v>65</v>
      </c>
      <c r="L114" s="3" t="s">
        <v>258</v>
      </c>
      <c r="M114" s="190" t="s">
        <v>1035</v>
      </c>
      <c r="N114" s="18"/>
      <c r="S114" s="79"/>
      <c r="T114" s="158"/>
      <c r="U114" s="158"/>
      <c r="V114" s="158"/>
      <c r="W114" s="158"/>
      <c r="X114" s="158"/>
      <c r="Y114" s="158"/>
      <c r="Z114" s="158"/>
      <c r="AA114" s="158"/>
      <c r="AB114" s="158"/>
      <c r="AC114" s="158"/>
      <c r="AD114" s="158"/>
    </row>
    <row r="115" spans="4:41" x14ac:dyDescent="0.2">
      <c r="E115" s="1" t="s">
        <v>244</v>
      </c>
      <c r="J115" s="2" t="s">
        <v>65</v>
      </c>
      <c r="L115" s="3" t="s">
        <v>259</v>
      </c>
      <c r="M115" s="190"/>
      <c r="N115" s="18"/>
      <c r="S115" s="79"/>
      <c r="T115" s="158"/>
      <c r="U115" s="158"/>
      <c r="V115" s="158"/>
      <c r="W115" s="158"/>
      <c r="X115" s="158"/>
      <c r="Y115" s="158"/>
      <c r="Z115" s="158"/>
      <c r="AA115" s="158"/>
      <c r="AB115" s="158"/>
      <c r="AC115" s="158"/>
      <c r="AD115" s="158"/>
    </row>
    <row r="116" spans="4:41" x14ac:dyDescent="0.2">
      <c r="E116" s="1" t="s">
        <v>150</v>
      </c>
      <c r="J116" s="2" t="s">
        <v>49</v>
      </c>
      <c r="L116" s="3" t="s">
        <v>260</v>
      </c>
      <c r="M116" s="198">
        <v>0</v>
      </c>
      <c r="N116" s="18"/>
      <c r="S116" s="79"/>
      <c r="T116" s="158"/>
      <c r="U116" s="158"/>
      <c r="V116" s="158"/>
      <c r="W116" s="158"/>
      <c r="X116" s="158"/>
      <c r="Y116" s="158"/>
      <c r="Z116" s="158"/>
      <c r="AA116" s="158"/>
      <c r="AB116" s="158"/>
      <c r="AC116" s="158"/>
      <c r="AD116" s="158"/>
    </row>
    <row r="117" spans="4:41" x14ac:dyDescent="0.2">
      <c r="E117" s="1" t="s">
        <v>149</v>
      </c>
      <c r="J117" s="2" t="s">
        <v>49</v>
      </c>
      <c r="L117" s="3" t="s">
        <v>261</v>
      </c>
      <c r="M117" s="198">
        <v>0</v>
      </c>
      <c r="N117" s="18"/>
      <c r="S117" s="79"/>
      <c r="T117" s="158"/>
      <c r="U117" s="158"/>
      <c r="V117" s="158"/>
      <c r="W117" s="158"/>
      <c r="X117" s="158"/>
      <c r="Y117" s="158"/>
      <c r="Z117" s="158"/>
      <c r="AA117" s="158"/>
      <c r="AB117" s="158"/>
      <c r="AC117" s="158"/>
      <c r="AD117" s="158"/>
    </row>
    <row r="118" spans="4:41" x14ac:dyDescent="0.2">
      <c r="E118" s="1" t="s">
        <v>171</v>
      </c>
      <c r="J118" s="2" t="s">
        <v>49</v>
      </c>
      <c r="L118" s="3" t="s">
        <v>262</v>
      </c>
      <c r="N118" s="18"/>
      <c r="R118" s="199"/>
      <c r="S118" s="198">
        <v>1.6E-2</v>
      </c>
      <c r="T118" s="198">
        <v>1.6E-2</v>
      </c>
      <c r="U118" s="198">
        <v>1.6E-2</v>
      </c>
      <c r="V118" s="198">
        <v>1.6E-2</v>
      </c>
      <c r="W118" s="198">
        <v>1.6E-2</v>
      </c>
      <c r="X118" s="198">
        <v>1.6E-2</v>
      </c>
      <c r="Y118" s="198">
        <v>1.6E-2</v>
      </c>
      <c r="Z118" s="198">
        <v>1.6E-2</v>
      </c>
      <c r="AA118" s="198">
        <v>1.6E-2</v>
      </c>
      <c r="AB118" s="198">
        <v>1.6E-2</v>
      </c>
      <c r="AC118" s="198">
        <v>1.6E-2</v>
      </c>
      <c r="AD118" s="198">
        <v>1.6E-2</v>
      </c>
    </row>
    <row r="119" spans="4:41" x14ac:dyDescent="0.2">
      <c r="E119" s="1" t="s">
        <v>152</v>
      </c>
      <c r="J119" s="2" t="s">
        <v>20</v>
      </c>
      <c r="L119" s="3" t="s">
        <v>263</v>
      </c>
      <c r="N119" s="18"/>
      <c r="S119" s="193">
        <v>12</v>
      </c>
      <c r="T119" s="193">
        <v>12</v>
      </c>
      <c r="U119" s="193">
        <v>12</v>
      </c>
      <c r="V119" s="193">
        <v>12</v>
      </c>
      <c r="W119" s="193">
        <v>12</v>
      </c>
      <c r="X119" s="193">
        <v>12</v>
      </c>
      <c r="Y119" s="193">
        <v>12</v>
      </c>
      <c r="Z119" s="193">
        <v>12</v>
      </c>
      <c r="AA119" s="193">
        <v>12</v>
      </c>
      <c r="AB119" s="193">
        <v>12</v>
      </c>
      <c r="AC119" s="193">
        <v>12</v>
      </c>
      <c r="AD119" s="193">
        <v>12</v>
      </c>
    </row>
    <row r="120" spans="4:41" x14ac:dyDescent="0.2">
      <c r="N120" s="18"/>
      <c r="S120" s="61"/>
      <c r="T120" s="61"/>
      <c r="U120" s="61"/>
      <c r="V120" s="61"/>
      <c r="W120" s="61"/>
      <c r="X120" s="61"/>
      <c r="Y120" s="61"/>
      <c r="Z120" s="61"/>
      <c r="AA120" s="61"/>
      <c r="AB120" s="61"/>
      <c r="AC120" s="61"/>
      <c r="AD120" s="61"/>
    </row>
    <row r="121" spans="4:41" x14ac:dyDescent="0.2">
      <c r="E121" s="1" t="s">
        <v>245</v>
      </c>
      <c r="J121" s="2" t="s">
        <v>1205</v>
      </c>
      <c r="M121" s="25">
        <f>Inputs_Basecase_TL2_Maximum_Facility</f>
        <v>75000</v>
      </c>
      <c r="N121" s="18"/>
      <c r="S121" s="79"/>
      <c r="T121" s="158"/>
      <c r="U121" s="158"/>
      <c r="V121" s="158"/>
      <c r="W121" s="158"/>
      <c r="X121" s="158"/>
      <c r="Y121" s="158"/>
      <c r="Z121" s="158"/>
      <c r="AA121" s="158"/>
      <c r="AB121" s="158"/>
      <c r="AC121" s="158"/>
      <c r="AD121" s="158"/>
    </row>
    <row r="122" spans="4:41" x14ac:dyDescent="0.2">
      <c r="E122" s="1" t="s">
        <v>246</v>
      </c>
      <c r="J122" s="2" t="s">
        <v>49</v>
      </c>
      <c r="N122" s="18"/>
      <c r="S122" s="197">
        <v>0</v>
      </c>
      <c r="T122" s="257">
        <v>0</v>
      </c>
      <c r="U122" s="257">
        <v>0</v>
      </c>
      <c r="V122" s="257">
        <v>0</v>
      </c>
      <c r="W122" s="257">
        <v>0</v>
      </c>
      <c r="X122" s="257">
        <v>0</v>
      </c>
      <c r="Y122" s="257">
        <v>0</v>
      </c>
      <c r="Z122" s="257">
        <v>0</v>
      </c>
      <c r="AA122" s="257">
        <v>0</v>
      </c>
      <c r="AB122" s="257">
        <v>0</v>
      </c>
      <c r="AC122" s="257">
        <v>0</v>
      </c>
      <c r="AD122" s="257">
        <v>0</v>
      </c>
    </row>
    <row r="123" spans="4:41" x14ac:dyDescent="0.2">
      <c r="E123" s="1" t="s">
        <v>163</v>
      </c>
      <c r="J123" s="2" t="s">
        <v>1205</v>
      </c>
      <c r="L123" s="3" t="s">
        <v>264</v>
      </c>
      <c r="N123" s="18"/>
      <c r="S123" s="195">
        <v>0</v>
      </c>
      <c r="T123" s="195">
        <v>0</v>
      </c>
      <c r="U123" s="195">
        <v>0</v>
      </c>
      <c r="V123" s="195">
        <v>0</v>
      </c>
      <c r="W123" s="195">
        <v>0</v>
      </c>
      <c r="X123" s="195">
        <v>0</v>
      </c>
      <c r="Y123" s="195">
        <v>0</v>
      </c>
      <c r="Z123" s="195">
        <v>0</v>
      </c>
      <c r="AA123" s="195">
        <v>0</v>
      </c>
      <c r="AB123" s="195">
        <v>0</v>
      </c>
      <c r="AC123" s="195">
        <v>0</v>
      </c>
      <c r="AD123" s="195">
        <v>0</v>
      </c>
    </row>
    <row r="124" spans="4:41" x14ac:dyDescent="0.2">
      <c r="E124" s="1" t="s">
        <v>146</v>
      </c>
      <c r="J124" s="2" t="s">
        <v>49</v>
      </c>
      <c r="L124" s="3" t="s">
        <v>301</v>
      </c>
      <c r="N124" s="18"/>
      <c r="R124" s="199">
        <f>COUNT(S124:AC124)</f>
        <v>7</v>
      </c>
      <c r="S124" s="191">
        <v>0</v>
      </c>
      <c r="T124" s="191">
        <v>0</v>
      </c>
      <c r="U124" s="191">
        <v>0</v>
      </c>
      <c r="V124" s="191">
        <f t="shared" ref="V124:Y124" si="18">1/4</f>
        <v>0.25</v>
      </c>
      <c r="W124" s="191">
        <f t="shared" si="18"/>
        <v>0.25</v>
      </c>
      <c r="X124" s="191">
        <f t="shared" si="18"/>
        <v>0.25</v>
      </c>
      <c r="Y124" s="191">
        <f t="shared" si="18"/>
        <v>0.25</v>
      </c>
      <c r="Z124" s="191"/>
      <c r="AA124" s="191"/>
      <c r="AB124" s="191"/>
      <c r="AC124" s="191"/>
      <c r="AD124" s="191"/>
    </row>
    <row r="125" spans="4:41" x14ac:dyDescent="0.2">
      <c r="N125" s="18"/>
      <c r="S125" s="79"/>
      <c r="T125" s="158"/>
      <c r="U125" s="158"/>
      <c r="V125" s="158"/>
      <c r="W125" s="158"/>
      <c r="X125" s="158"/>
      <c r="Y125" s="158"/>
      <c r="Z125" s="158"/>
      <c r="AA125" s="158"/>
      <c r="AB125" s="158"/>
      <c r="AC125" s="158"/>
      <c r="AD125" s="158"/>
      <c r="AE125" s="1"/>
      <c r="AF125" s="1"/>
      <c r="AG125" s="1"/>
      <c r="AH125" s="1"/>
      <c r="AI125" s="1"/>
      <c r="AJ125" s="1"/>
      <c r="AK125" s="1"/>
      <c r="AL125" s="1"/>
      <c r="AM125" s="1"/>
      <c r="AN125" s="1"/>
      <c r="AO125" s="1"/>
    </row>
    <row r="126" spans="4:41" ht="12.6" x14ac:dyDescent="0.25">
      <c r="D126" s="35" t="s">
        <v>1038</v>
      </c>
      <c r="N126" s="18"/>
      <c r="S126" s="79"/>
      <c r="T126" s="158"/>
      <c r="U126" s="158"/>
      <c r="V126" s="158"/>
      <c r="W126" s="158"/>
      <c r="X126" s="158"/>
      <c r="Y126" s="158"/>
      <c r="Z126" s="158"/>
      <c r="AA126" s="158"/>
      <c r="AB126" s="158"/>
      <c r="AC126" s="158"/>
      <c r="AD126" s="158"/>
      <c r="AE126" s="1"/>
      <c r="AF126" s="1"/>
      <c r="AG126" s="1"/>
      <c r="AH126" s="1"/>
      <c r="AI126" s="1"/>
      <c r="AJ126" s="1"/>
      <c r="AK126" s="1"/>
      <c r="AL126" s="1"/>
      <c r="AM126" s="1"/>
      <c r="AN126" s="1"/>
      <c r="AO126" s="1"/>
    </row>
    <row r="127" spans="4:41" x14ac:dyDescent="0.2">
      <c r="E127" s="1" t="s">
        <v>173</v>
      </c>
      <c r="J127" s="2" t="s">
        <v>1205</v>
      </c>
      <c r="L127" s="3" t="s">
        <v>265</v>
      </c>
      <c r="M127" s="194">
        <v>16652</v>
      </c>
      <c r="N127" s="18"/>
      <c r="S127" s="79"/>
      <c r="T127" s="158"/>
      <c r="U127" s="158"/>
      <c r="V127" s="158"/>
      <c r="W127" s="158"/>
      <c r="X127" s="158"/>
      <c r="Y127" s="158"/>
      <c r="Z127" s="158"/>
      <c r="AA127" s="158"/>
      <c r="AB127" s="158"/>
      <c r="AC127" s="158"/>
      <c r="AD127" s="158"/>
      <c r="AE127" s="1"/>
      <c r="AF127" s="1"/>
      <c r="AG127" s="1"/>
      <c r="AH127" s="1"/>
      <c r="AI127" s="1"/>
      <c r="AJ127" s="1"/>
      <c r="AK127" s="1"/>
      <c r="AL127" s="1"/>
      <c r="AM127" s="1"/>
      <c r="AN127" s="1"/>
      <c r="AO127" s="1"/>
    </row>
    <row r="128" spans="4:41" x14ac:dyDescent="0.2">
      <c r="E128" s="1" t="s">
        <v>243</v>
      </c>
      <c r="J128" s="2" t="s">
        <v>65</v>
      </c>
      <c r="L128" s="3" t="s">
        <v>266</v>
      </c>
      <c r="M128" s="190" t="s">
        <v>1035</v>
      </c>
      <c r="N128" s="18"/>
      <c r="S128" s="79"/>
      <c r="T128" s="158"/>
      <c r="U128" s="158"/>
      <c r="V128" s="158"/>
      <c r="W128" s="158"/>
      <c r="X128" s="158"/>
      <c r="Y128" s="158"/>
      <c r="Z128" s="158"/>
      <c r="AA128" s="158"/>
      <c r="AB128" s="158"/>
      <c r="AC128" s="158"/>
      <c r="AD128" s="158"/>
      <c r="AE128" s="1"/>
      <c r="AF128" s="1"/>
      <c r="AG128" s="1"/>
      <c r="AH128" s="1"/>
      <c r="AI128" s="1"/>
      <c r="AJ128" s="1"/>
      <c r="AK128" s="1"/>
      <c r="AL128" s="1"/>
      <c r="AM128" s="1"/>
      <c r="AN128" s="1"/>
      <c r="AO128" s="1"/>
    </row>
    <row r="129" spans="4:41" x14ac:dyDescent="0.2">
      <c r="E129" s="1" t="s">
        <v>244</v>
      </c>
      <c r="J129" s="2" t="s">
        <v>65</v>
      </c>
      <c r="L129" s="3" t="s">
        <v>267</v>
      </c>
      <c r="M129" s="190"/>
      <c r="N129" s="18"/>
      <c r="S129" s="79"/>
      <c r="T129" s="158"/>
      <c r="U129" s="158"/>
      <c r="V129" s="158"/>
      <c r="W129" s="158"/>
      <c r="X129" s="158"/>
      <c r="Y129" s="158"/>
      <c r="Z129" s="158"/>
      <c r="AA129" s="158"/>
      <c r="AB129" s="158"/>
      <c r="AC129" s="158"/>
      <c r="AD129" s="158"/>
      <c r="AE129" s="1"/>
      <c r="AF129" s="1"/>
      <c r="AG129" s="1"/>
      <c r="AH129" s="1"/>
      <c r="AI129" s="1"/>
      <c r="AJ129" s="1"/>
      <c r="AK129" s="1"/>
      <c r="AL129" s="1"/>
      <c r="AM129" s="1"/>
      <c r="AN129" s="1"/>
      <c r="AO129" s="1"/>
    </row>
    <row r="130" spans="4:41" x14ac:dyDescent="0.2">
      <c r="E130" s="1" t="s">
        <v>150</v>
      </c>
      <c r="J130" s="2" t="s">
        <v>49</v>
      </c>
      <c r="L130" s="3" t="s">
        <v>268</v>
      </c>
      <c r="M130" s="198">
        <v>0</v>
      </c>
      <c r="N130" s="18"/>
      <c r="S130" s="79"/>
      <c r="T130" s="158"/>
      <c r="U130" s="158"/>
      <c r="V130" s="158"/>
      <c r="W130" s="158"/>
      <c r="X130" s="158"/>
      <c r="Y130" s="158"/>
      <c r="Z130" s="158"/>
      <c r="AA130" s="158"/>
      <c r="AB130" s="158"/>
      <c r="AC130" s="158"/>
      <c r="AD130" s="158"/>
      <c r="AE130" s="1"/>
      <c r="AF130" s="1"/>
      <c r="AG130" s="1"/>
      <c r="AH130" s="1"/>
      <c r="AI130" s="1"/>
      <c r="AJ130" s="1"/>
      <c r="AK130" s="1"/>
      <c r="AL130" s="1"/>
      <c r="AM130" s="1"/>
      <c r="AN130" s="1"/>
      <c r="AO130" s="1"/>
    </row>
    <row r="131" spans="4:41" x14ac:dyDescent="0.2">
      <c r="E131" s="1" t="s">
        <v>149</v>
      </c>
      <c r="J131" s="2" t="s">
        <v>49</v>
      </c>
      <c r="L131" s="3" t="s">
        <v>269</v>
      </c>
      <c r="M131" s="198">
        <v>0</v>
      </c>
      <c r="N131" s="18"/>
      <c r="S131" s="79"/>
      <c r="T131" s="158"/>
      <c r="U131" s="158"/>
      <c r="V131" s="158"/>
      <c r="W131" s="158"/>
      <c r="X131" s="158"/>
      <c r="Y131" s="158"/>
      <c r="Z131" s="158"/>
      <c r="AA131" s="158"/>
      <c r="AB131" s="158"/>
      <c r="AC131" s="158"/>
      <c r="AD131" s="158"/>
      <c r="AE131" s="1"/>
      <c r="AF131" s="1"/>
      <c r="AG131" s="1"/>
      <c r="AH131" s="1"/>
      <c r="AI131" s="1"/>
      <c r="AJ131" s="1"/>
      <c r="AK131" s="1"/>
      <c r="AL131" s="1"/>
      <c r="AM131" s="1"/>
      <c r="AN131" s="1"/>
      <c r="AO131" s="1"/>
    </row>
    <row r="132" spans="4:41" x14ac:dyDescent="0.2">
      <c r="E132" s="1" t="s">
        <v>171</v>
      </c>
      <c r="J132" s="2" t="s">
        <v>49</v>
      </c>
      <c r="L132" s="3" t="s">
        <v>270</v>
      </c>
      <c r="N132" s="18"/>
      <c r="R132" s="199"/>
      <c r="S132" s="198">
        <v>1.2E-2</v>
      </c>
      <c r="T132" s="198">
        <v>1.2E-2</v>
      </c>
      <c r="U132" s="198">
        <v>1.2E-2</v>
      </c>
      <c r="V132" s="198">
        <v>1.2E-2</v>
      </c>
      <c r="W132" s="198">
        <v>1.2E-2</v>
      </c>
      <c r="X132" s="198">
        <v>1.2E-2</v>
      </c>
      <c r="Y132" s="198">
        <v>1.2E-2</v>
      </c>
      <c r="Z132" s="198">
        <v>1.2E-2</v>
      </c>
      <c r="AA132" s="198">
        <v>1.2E-2</v>
      </c>
      <c r="AB132" s="198">
        <v>1.2E-2</v>
      </c>
      <c r="AC132" s="198">
        <v>1.2E-2</v>
      </c>
      <c r="AD132" s="198">
        <v>1.2E-2</v>
      </c>
      <c r="AE132" s="1"/>
      <c r="AF132" s="1"/>
      <c r="AG132" s="1"/>
      <c r="AH132" s="1"/>
      <c r="AI132" s="1"/>
      <c r="AJ132" s="1"/>
      <c r="AK132" s="1"/>
      <c r="AL132" s="1"/>
      <c r="AM132" s="1"/>
      <c r="AN132" s="1"/>
      <c r="AO132" s="1"/>
    </row>
    <row r="133" spans="4:41" x14ac:dyDescent="0.2">
      <c r="E133" s="1" t="s">
        <v>152</v>
      </c>
      <c r="J133" s="2" t="s">
        <v>20</v>
      </c>
      <c r="L133" s="3" t="s">
        <v>271</v>
      </c>
      <c r="N133" s="18"/>
      <c r="S133" s="193">
        <v>12</v>
      </c>
      <c r="T133" s="193">
        <v>12</v>
      </c>
      <c r="U133" s="193">
        <v>12</v>
      </c>
      <c r="V133" s="193">
        <v>12</v>
      </c>
      <c r="W133" s="193">
        <v>12</v>
      </c>
      <c r="X133" s="193">
        <v>12</v>
      </c>
      <c r="Y133" s="193">
        <v>12</v>
      </c>
      <c r="Z133" s="193">
        <v>12</v>
      </c>
      <c r="AA133" s="193">
        <v>12</v>
      </c>
      <c r="AB133" s="193">
        <v>12</v>
      </c>
      <c r="AC133" s="193">
        <v>12</v>
      </c>
      <c r="AD133" s="193">
        <v>12</v>
      </c>
      <c r="AE133" s="1"/>
      <c r="AF133" s="1"/>
      <c r="AG133" s="1"/>
      <c r="AH133" s="1"/>
      <c r="AI133" s="1"/>
      <c r="AJ133" s="1"/>
      <c r="AK133" s="1"/>
      <c r="AL133" s="1"/>
      <c r="AM133" s="1"/>
      <c r="AN133" s="1"/>
      <c r="AO133" s="1"/>
    </row>
    <row r="134" spans="4:41" x14ac:dyDescent="0.2">
      <c r="N134" s="18"/>
      <c r="S134" s="79"/>
      <c r="T134" s="158"/>
      <c r="U134" s="158"/>
      <c r="V134" s="158"/>
      <c r="W134" s="158"/>
      <c r="X134" s="158"/>
      <c r="Y134" s="158"/>
      <c r="Z134" s="158"/>
      <c r="AA134" s="158"/>
      <c r="AB134" s="158"/>
      <c r="AC134" s="158"/>
      <c r="AD134" s="158"/>
      <c r="AE134" s="1"/>
      <c r="AF134" s="1"/>
      <c r="AG134" s="1"/>
      <c r="AH134" s="1"/>
      <c r="AI134" s="1"/>
      <c r="AJ134" s="1"/>
      <c r="AK134" s="1"/>
      <c r="AL134" s="1"/>
      <c r="AM134" s="1"/>
      <c r="AN134" s="1"/>
      <c r="AO134" s="1"/>
    </row>
    <row r="135" spans="4:41" x14ac:dyDescent="0.2">
      <c r="E135" s="1" t="s">
        <v>245</v>
      </c>
      <c r="J135" s="2" t="s">
        <v>1205</v>
      </c>
      <c r="M135" s="25">
        <f>Inputs_Basecase_TL3_Maximum_Facility</f>
        <v>16652</v>
      </c>
      <c r="N135" s="18"/>
      <c r="S135" s="79"/>
      <c r="T135" s="158"/>
      <c r="U135" s="158"/>
      <c r="V135" s="158"/>
      <c r="W135" s="158"/>
      <c r="X135" s="158"/>
      <c r="Y135" s="158"/>
      <c r="Z135" s="158"/>
      <c r="AA135" s="158"/>
      <c r="AB135" s="158"/>
      <c r="AC135" s="158"/>
      <c r="AD135" s="158"/>
      <c r="AE135" s="1"/>
      <c r="AF135" s="1"/>
      <c r="AG135" s="1"/>
      <c r="AH135" s="1"/>
      <c r="AI135" s="1"/>
      <c r="AJ135" s="1"/>
      <c r="AK135" s="1"/>
      <c r="AL135" s="1"/>
      <c r="AM135" s="1"/>
      <c r="AN135" s="1"/>
      <c r="AO135" s="1"/>
    </row>
    <row r="136" spans="4:41" x14ac:dyDescent="0.2">
      <c r="E136" s="1" t="s">
        <v>246</v>
      </c>
      <c r="J136" s="2" t="s">
        <v>49</v>
      </c>
      <c r="N136" s="18"/>
      <c r="S136" s="197">
        <v>0</v>
      </c>
      <c r="T136" s="257">
        <v>0</v>
      </c>
      <c r="U136" s="257">
        <v>0</v>
      </c>
      <c r="V136" s="257">
        <v>0</v>
      </c>
      <c r="W136" s="257">
        <v>0</v>
      </c>
      <c r="X136" s="257">
        <v>0</v>
      </c>
      <c r="Y136" s="257">
        <v>0</v>
      </c>
      <c r="Z136" s="257">
        <v>0</v>
      </c>
      <c r="AA136" s="257">
        <v>0</v>
      </c>
      <c r="AB136" s="257">
        <v>0</v>
      </c>
      <c r="AC136" s="257">
        <v>0</v>
      </c>
      <c r="AD136" s="257">
        <v>0</v>
      </c>
      <c r="AE136" s="1"/>
      <c r="AF136" s="1"/>
      <c r="AG136" s="1"/>
      <c r="AH136" s="1"/>
      <c r="AI136" s="1"/>
      <c r="AJ136" s="1"/>
      <c r="AK136" s="1"/>
      <c r="AL136" s="1"/>
      <c r="AM136" s="1"/>
      <c r="AN136" s="1"/>
      <c r="AO136" s="1"/>
    </row>
    <row r="137" spans="4:41" x14ac:dyDescent="0.2">
      <c r="E137" s="1" t="s">
        <v>163</v>
      </c>
      <c r="J137" s="2" t="s">
        <v>1205</v>
      </c>
      <c r="L137" s="3" t="s">
        <v>273</v>
      </c>
      <c r="N137" s="18"/>
      <c r="S137" s="195">
        <v>0</v>
      </c>
      <c r="T137" s="195">
        <v>0</v>
      </c>
      <c r="U137" s="195">
        <v>0</v>
      </c>
      <c r="V137" s="195">
        <v>0</v>
      </c>
      <c r="W137" s="195">
        <v>0</v>
      </c>
      <c r="X137" s="195">
        <v>0</v>
      </c>
      <c r="Y137" s="195">
        <v>0</v>
      </c>
      <c r="Z137" s="195">
        <v>0</v>
      </c>
      <c r="AA137" s="195">
        <v>0</v>
      </c>
      <c r="AB137" s="195">
        <v>0</v>
      </c>
      <c r="AC137" s="195">
        <v>0</v>
      </c>
      <c r="AD137" s="195">
        <v>0</v>
      </c>
      <c r="AE137" s="1"/>
      <c r="AF137" s="1"/>
      <c r="AG137" s="1"/>
      <c r="AH137" s="1"/>
      <c r="AI137" s="1"/>
      <c r="AJ137" s="1"/>
      <c r="AK137" s="1"/>
      <c r="AL137" s="1"/>
      <c r="AM137" s="1"/>
      <c r="AN137" s="1"/>
      <c r="AO137" s="1"/>
    </row>
    <row r="138" spans="4:41" x14ac:dyDescent="0.2">
      <c r="E138" s="1" t="s">
        <v>146</v>
      </c>
      <c r="J138" s="2" t="s">
        <v>49</v>
      </c>
      <c r="L138" s="3" t="s">
        <v>302</v>
      </c>
      <c r="N138" s="18"/>
      <c r="R138" s="199">
        <f>COUNT(S138:AC138)</f>
        <v>1</v>
      </c>
      <c r="S138" s="191">
        <v>1</v>
      </c>
      <c r="T138" s="191"/>
      <c r="U138" s="191"/>
      <c r="V138" s="191"/>
      <c r="W138" s="191"/>
      <c r="X138" s="191"/>
      <c r="Y138" s="191"/>
      <c r="Z138" s="191"/>
      <c r="AA138" s="191"/>
      <c r="AB138" s="191"/>
      <c r="AC138" s="191"/>
      <c r="AD138" s="191"/>
      <c r="AE138" s="1"/>
      <c r="AF138" s="1"/>
      <c r="AG138" s="1"/>
      <c r="AH138" s="1"/>
      <c r="AI138" s="1"/>
      <c r="AJ138" s="1"/>
      <c r="AK138" s="1"/>
      <c r="AL138" s="1"/>
      <c r="AM138" s="1"/>
      <c r="AN138" s="1"/>
      <c r="AO138" s="1"/>
    </row>
    <row r="139" spans="4:41" x14ac:dyDescent="0.2">
      <c r="N139" s="18"/>
      <c r="S139" s="79"/>
      <c r="T139" s="158"/>
      <c r="U139" s="158"/>
      <c r="V139" s="158"/>
      <c r="W139" s="158"/>
      <c r="X139" s="158"/>
      <c r="Y139" s="158"/>
      <c r="Z139" s="158"/>
      <c r="AA139" s="158"/>
      <c r="AB139" s="158"/>
      <c r="AC139" s="158"/>
      <c r="AD139" s="158"/>
      <c r="AE139" s="1"/>
      <c r="AF139" s="1"/>
      <c r="AG139" s="1"/>
      <c r="AH139" s="1"/>
      <c r="AI139" s="1"/>
      <c r="AJ139" s="1"/>
      <c r="AK139" s="1"/>
      <c r="AL139" s="1"/>
      <c r="AM139" s="1"/>
      <c r="AN139" s="1"/>
      <c r="AO139" s="1"/>
    </row>
    <row r="140" spans="4:41" ht="12.6" x14ac:dyDescent="0.25">
      <c r="D140" s="35" t="s">
        <v>1045</v>
      </c>
      <c r="N140" s="18"/>
      <c r="S140" s="79"/>
      <c r="T140" s="158"/>
      <c r="U140" s="158"/>
      <c r="V140" s="158"/>
      <c r="W140" s="158"/>
      <c r="X140" s="158"/>
      <c r="Y140" s="158"/>
      <c r="Z140" s="158"/>
      <c r="AA140" s="158"/>
      <c r="AB140" s="158"/>
      <c r="AC140" s="158"/>
      <c r="AD140" s="158"/>
      <c r="AE140" s="1"/>
      <c r="AF140" s="1"/>
      <c r="AG140" s="1"/>
      <c r="AH140" s="1"/>
      <c r="AI140" s="1"/>
      <c r="AJ140" s="1"/>
      <c r="AK140" s="1"/>
      <c r="AL140" s="1"/>
      <c r="AM140" s="1"/>
      <c r="AN140" s="1"/>
      <c r="AO140" s="1"/>
    </row>
    <row r="141" spans="4:41" x14ac:dyDescent="0.2">
      <c r="E141" s="1" t="s">
        <v>173</v>
      </c>
      <c r="J141" s="2" t="s">
        <v>1205</v>
      </c>
      <c r="L141" s="3" t="s">
        <v>274</v>
      </c>
      <c r="M141" s="194">
        <f>5000+178+212</f>
        <v>5390</v>
      </c>
      <c r="N141" s="18"/>
      <c r="S141" s="79"/>
      <c r="T141" s="158"/>
      <c r="U141" s="158"/>
      <c r="V141" s="158"/>
      <c r="W141" s="158"/>
      <c r="X141" s="158"/>
      <c r="Y141" s="158"/>
      <c r="Z141" s="158"/>
      <c r="AA141" s="158"/>
      <c r="AB141" s="158"/>
      <c r="AC141" s="158"/>
      <c r="AD141" s="158"/>
      <c r="AE141" s="1"/>
      <c r="AF141" s="1"/>
      <c r="AG141" s="1"/>
      <c r="AH141" s="1"/>
      <c r="AI141" s="1"/>
      <c r="AJ141" s="1"/>
      <c r="AK141" s="1"/>
      <c r="AL141" s="1"/>
      <c r="AM141" s="1"/>
      <c r="AN141" s="1"/>
      <c r="AO141" s="1"/>
    </row>
    <row r="142" spans="4:41" x14ac:dyDescent="0.2">
      <c r="E142" s="1" t="s">
        <v>243</v>
      </c>
      <c r="J142" s="2" t="s">
        <v>65</v>
      </c>
      <c r="L142" s="3" t="s">
        <v>275</v>
      </c>
      <c r="M142" s="190">
        <v>43466</v>
      </c>
      <c r="N142" s="18"/>
      <c r="S142" s="79"/>
      <c r="T142" s="158"/>
      <c r="U142" s="158"/>
      <c r="V142" s="158"/>
      <c r="W142" s="158"/>
      <c r="X142" s="158"/>
      <c r="Y142" s="158"/>
      <c r="Z142" s="158"/>
      <c r="AA142" s="158"/>
      <c r="AB142" s="158"/>
      <c r="AC142" s="158"/>
      <c r="AD142" s="158"/>
      <c r="AE142" s="1"/>
      <c r="AF142" s="1"/>
      <c r="AG142" s="1"/>
      <c r="AH142" s="1"/>
      <c r="AI142" s="1"/>
      <c r="AJ142" s="1"/>
      <c r="AK142" s="1"/>
      <c r="AL142" s="1"/>
      <c r="AM142" s="1"/>
      <c r="AN142" s="1"/>
      <c r="AO142" s="1"/>
    </row>
    <row r="143" spans="4:41" x14ac:dyDescent="0.2">
      <c r="E143" s="1" t="s">
        <v>244</v>
      </c>
      <c r="J143" s="2" t="s">
        <v>65</v>
      </c>
      <c r="L143" s="3" t="s">
        <v>276</v>
      </c>
      <c r="M143" s="190"/>
      <c r="N143" s="18"/>
      <c r="S143" s="79"/>
      <c r="T143" s="158"/>
      <c r="U143" s="158"/>
      <c r="V143" s="158"/>
      <c r="W143" s="158"/>
      <c r="X143" s="158"/>
      <c r="Y143" s="158"/>
      <c r="Z143" s="158"/>
      <c r="AA143" s="158"/>
      <c r="AB143" s="158"/>
      <c r="AC143" s="158"/>
      <c r="AD143" s="158"/>
      <c r="AE143" s="1"/>
      <c r="AF143" s="1"/>
      <c r="AG143" s="1"/>
      <c r="AH143" s="1"/>
      <c r="AI143" s="1"/>
      <c r="AJ143" s="1"/>
      <c r="AK143" s="1"/>
      <c r="AL143" s="1"/>
      <c r="AM143" s="1"/>
      <c r="AN143" s="1"/>
      <c r="AO143" s="1"/>
    </row>
    <row r="144" spans="4:41" x14ac:dyDescent="0.2">
      <c r="E144" s="1" t="s">
        <v>150</v>
      </c>
      <c r="J144" s="2" t="s">
        <v>49</v>
      </c>
      <c r="L144" s="3" t="s">
        <v>277</v>
      </c>
      <c r="M144" s="191">
        <v>0</v>
      </c>
      <c r="N144" s="18"/>
      <c r="S144" s="79"/>
      <c r="T144" s="158"/>
      <c r="U144" s="158"/>
      <c r="V144" s="158"/>
      <c r="W144" s="158"/>
      <c r="X144" s="158"/>
      <c r="Y144" s="158"/>
      <c r="Z144" s="158"/>
      <c r="AA144" s="158"/>
      <c r="AB144" s="158"/>
      <c r="AC144" s="158"/>
      <c r="AD144" s="158"/>
      <c r="AE144" s="1"/>
      <c r="AF144" s="1"/>
      <c r="AG144" s="1"/>
      <c r="AH144" s="1"/>
      <c r="AI144" s="1"/>
      <c r="AJ144" s="1"/>
      <c r="AK144" s="1"/>
      <c r="AL144" s="1"/>
      <c r="AM144" s="1"/>
      <c r="AN144" s="1"/>
      <c r="AO144" s="1"/>
    </row>
    <row r="145" spans="4:41" x14ac:dyDescent="0.2">
      <c r="E145" s="1" t="s">
        <v>149</v>
      </c>
      <c r="J145" s="2" t="s">
        <v>49</v>
      </c>
      <c r="L145" s="3" t="s">
        <v>278</v>
      </c>
      <c r="M145" s="191">
        <v>0</v>
      </c>
      <c r="N145" s="18"/>
      <c r="S145" s="79"/>
      <c r="T145" s="158"/>
      <c r="U145" s="158"/>
      <c r="V145" s="158"/>
      <c r="W145" s="158"/>
      <c r="X145" s="158"/>
      <c r="Y145" s="158"/>
      <c r="Z145" s="158"/>
      <c r="AA145" s="158"/>
      <c r="AB145" s="158"/>
      <c r="AC145" s="158"/>
      <c r="AD145" s="158"/>
      <c r="AE145" s="1"/>
      <c r="AF145" s="1"/>
      <c r="AG145" s="1"/>
      <c r="AH145" s="1"/>
      <c r="AI145" s="1"/>
      <c r="AJ145" s="1"/>
      <c r="AK145" s="1"/>
      <c r="AL145" s="1"/>
      <c r="AM145" s="1"/>
      <c r="AN145" s="1"/>
      <c r="AO145" s="1"/>
    </row>
    <row r="146" spans="4:41" x14ac:dyDescent="0.2">
      <c r="E146" s="1" t="s">
        <v>171</v>
      </c>
      <c r="J146" s="2" t="s">
        <v>49</v>
      </c>
      <c r="L146" s="3" t="s">
        <v>279</v>
      </c>
      <c r="N146" s="18"/>
      <c r="R146" s="199"/>
      <c r="S146" s="198">
        <f>AVERAGE(1.28%,1.25%,1.5%)</f>
        <v>1.3433333333333334E-2</v>
      </c>
      <c r="T146" s="198">
        <f t="shared" ref="T146:AD146" si="19">AVERAGE(1.28%,1.25%,1.5%)</f>
        <v>1.3433333333333334E-2</v>
      </c>
      <c r="U146" s="198">
        <f t="shared" si="19"/>
        <v>1.3433333333333334E-2</v>
      </c>
      <c r="V146" s="198">
        <f t="shared" si="19"/>
        <v>1.3433333333333334E-2</v>
      </c>
      <c r="W146" s="198">
        <f t="shared" si="19"/>
        <v>1.3433333333333334E-2</v>
      </c>
      <c r="X146" s="198">
        <f t="shared" si="19"/>
        <v>1.3433333333333334E-2</v>
      </c>
      <c r="Y146" s="198">
        <f t="shared" si="19"/>
        <v>1.3433333333333334E-2</v>
      </c>
      <c r="Z146" s="198">
        <f t="shared" si="19"/>
        <v>1.3433333333333334E-2</v>
      </c>
      <c r="AA146" s="198">
        <f t="shared" si="19"/>
        <v>1.3433333333333334E-2</v>
      </c>
      <c r="AB146" s="198">
        <f t="shared" si="19"/>
        <v>1.3433333333333334E-2</v>
      </c>
      <c r="AC146" s="198">
        <f t="shared" si="19"/>
        <v>1.3433333333333334E-2</v>
      </c>
      <c r="AD146" s="198">
        <f t="shared" si="19"/>
        <v>1.3433333333333334E-2</v>
      </c>
      <c r="AE146" s="1"/>
      <c r="AF146" s="1"/>
      <c r="AG146" s="1"/>
      <c r="AH146" s="1"/>
      <c r="AI146" s="1"/>
      <c r="AJ146" s="1"/>
      <c r="AK146" s="1"/>
      <c r="AL146" s="1"/>
      <c r="AM146" s="1"/>
      <c r="AN146" s="1"/>
      <c r="AO146" s="1"/>
    </row>
    <row r="147" spans="4:41" x14ac:dyDescent="0.2">
      <c r="E147" s="1" t="s">
        <v>152</v>
      </c>
      <c r="J147" s="2" t="s">
        <v>20</v>
      </c>
      <c r="L147" s="3" t="s">
        <v>280</v>
      </c>
      <c r="N147" s="18"/>
      <c r="S147" s="193">
        <v>12</v>
      </c>
      <c r="T147" s="193">
        <v>12</v>
      </c>
      <c r="U147" s="193">
        <v>12</v>
      </c>
      <c r="V147" s="193">
        <v>12</v>
      </c>
      <c r="W147" s="193">
        <v>12</v>
      </c>
      <c r="X147" s="193">
        <v>12</v>
      </c>
      <c r="Y147" s="193">
        <v>12</v>
      </c>
      <c r="Z147" s="193">
        <v>12</v>
      </c>
      <c r="AA147" s="193">
        <v>12</v>
      </c>
      <c r="AB147" s="193">
        <v>12</v>
      </c>
      <c r="AC147" s="193">
        <v>12</v>
      </c>
      <c r="AD147" s="193">
        <v>12</v>
      </c>
      <c r="AE147" s="1"/>
      <c r="AF147" s="1"/>
      <c r="AG147" s="1"/>
      <c r="AH147" s="1"/>
      <c r="AI147" s="1"/>
      <c r="AJ147" s="1"/>
      <c r="AK147" s="1"/>
      <c r="AL147" s="1"/>
      <c r="AM147" s="1"/>
      <c r="AN147" s="1"/>
      <c r="AO147" s="1"/>
    </row>
    <row r="148" spans="4:41" x14ac:dyDescent="0.2">
      <c r="N148" s="18"/>
      <c r="S148" s="79"/>
      <c r="T148" s="158"/>
      <c r="U148" s="158"/>
      <c r="V148" s="158"/>
      <c r="W148" s="158"/>
      <c r="X148" s="158"/>
      <c r="Y148" s="158"/>
      <c r="Z148" s="158"/>
      <c r="AA148" s="158"/>
      <c r="AB148" s="158"/>
      <c r="AC148" s="158"/>
      <c r="AD148" s="158"/>
      <c r="AE148" s="1"/>
      <c r="AF148" s="1"/>
      <c r="AG148" s="1"/>
      <c r="AH148" s="1"/>
      <c r="AI148" s="1"/>
      <c r="AJ148" s="1"/>
      <c r="AK148" s="1"/>
      <c r="AL148" s="1"/>
      <c r="AM148" s="1"/>
      <c r="AN148" s="1"/>
      <c r="AO148" s="1"/>
    </row>
    <row r="149" spans="4:41" x14ac:dyDescent="0.2">
      <c r="E149" s="1" t="s">
        <v>245</v>
      </c>
      <c r="J149" s="2" t="s">
        <v>1205</v>
      </c>
      <c r="M149" s="25">
        <f>Inputs_Basecase_TL4_Maximum_Facility</f>
        <v>5390</v>
      </c>
      <c r="N149" s="18"/>
      <c r="S149" s="79"/>
      <c r="T149" s="158"/>
      <c r="U149" s="158"/>
      <c r="V149" s="158"/>
      <c r="W149" s="158"/>
      <c r="X149" s="158"/>
      <c r="Y149" s="158"/>
      <c r="Z149" s="158"/>
      <c r="AA149" s="158"/>
      <c r="AB149" s="158"/>
      <c r="AC149" s="158"/>
      <c r="AD149" s="158"/>
      <c r="AE149" s="1"/>
      <c r="AF149" s="1"/>
      <c r="AG149" s="1"/>
      <c r="AH149" s="1"/>
      <c r="AI149" s="1"/>
      <c r="AJ149" s="1"/>
      <c r="AK149" s="1"/>
      <c r="AL149" s="1"/>
      <c r="AM149" s="1"/>
      <c r="AN149" s="1"/>
      <c r="AO149" s="1"/>
    </row>
    <row r="150" spans="4:41" x14ac:dyDescent="0.2">
      <c r="E150" s="1" t="s">
        <v>246</v>
      </c>
      <c r="J150" s="2" t="s">
        <v>49</v>
      </c>
      <c r="N150" s="18"/>
      <c r="S150" s="197">
        <v>0</v>
      </c>
      <c r="T150" s="257">
        <v>0</v>
      </c>
      <c r="U150" s="257">
        <v>0</v>
      </c>
      <c r="V150" s="257">
        <v>0</v>
      </c>
      <c r="W150" s="257">
        <v>0</v>
      </c>
      <c r="X150" s="257">
        <v>0</v>
      </c>
      <c r="Y150" s="257">
        <v>0</v>
      </c>
      <c r="Z150" s="257">
        <v>0</v>
      </c>
      <c r="AA150" s="257">
        <v>0</v>
      </c>
      <c r="AB150" s="257">
        <v>0</v>
      </c>
      <c r="AC150" s="257">
        <v>0</v>
      </c>
      <c r="AD150" s="257">
        <v>0</v>
      </c>
      <c r="AE150" s="1"/>
      <c r="AF150" s="1"/>
      <c r="AG150" s="1"/>
      <c r="AH150" s="1"/>
      <c r="AI150" s="1"/>
      <c r="AJ150" s="1"/>
      <c r="AK150" s="1"/>
      <c r="AL150" s="1"/>
      <c r="AM150" s="1"/>
      <c r="AN150" s="1"/>
      <c r="AO150" s="1"/>
    </row>
    <row r="151" spans="4:41" x14ac:dyDescent="0.2">
      <c r="E151" s="1" t="s">
        <v>163</v>
      </c>
      <c r="J151" s="2" t="s">
        <v>1205</v>
      </c>
      <c r="L151" s="3" t="s">
        <v>281</v>
      </c>
      <c r="N151" s="18"/>
      <c r="S151" s="195">
        <v>0</v>
      </c>
      <c r="T151" s="195">
        <v>0</v>
      </c>
      <c r="U151" s="195">
        <v>0</v>
      </c>
      <c r="V151" s="195">
        <v>0</v>
      </c>
      <c r="W151" s="195">
        <v>0</v>
      </c>
      <c r="X151" s="195">
        <v>0</v>
      </c>
      <c r="Y151" s="195">
        <v>0</v>
      </c>
      <c r="Z151" s="195">
        <v>0</v>
      </c>
      <c r="AA151" s="195">
        <v>0</v>
      </c>
      <c r="AB151" s="195">
        <v>0</v>
      </c>
      <c r="AC151" s="195">
        <v>0</v>
      </c>
      <c r="AD151" s="195">
        <v>0</v>
      </c>
      <c r="AE151" s="1"/>
      <c r="AF151" s="1"/>
      <c r="AG151" s="1"/>
      <c r="AH151" s="1"/>
      <c r="AI151" s="1"/>
      <c r="AJ151" s="1"/>
      <c r="AK151" s="1"/>
      <c r="AL151" s="1"/>
      <c r="AM151" s="1"/>
      <c r="AN151" s="1"/>
      <c r="AO151" s="1"/>
    </row>
    <row r="152" spans="4:41" x14ac:dyDescent="0.2">
      <c r="E152" s="1" t="s">
        <v>146</v>
      </c>
      <c r="J152" s="2" t="s">
        <v>49</v>
      </c>
      <c r="L152" s="3" t="s">
        <v>303</v>
      </c>
      <c r="N152" s="18"/>
      <c r="R152" s="199">
        <f>COUNT(S152:AC152)</f>
        <v>5</v>
      </c>
      <c r="S152" s="191">
        <f>1/5</f>
        <v>0.2</v>
      </c>
      <c r="T152" s="191">
        <f t="shared" ref="T152:W152" si="20">1/5</f>
        <v>0.2</v>
      </c>
      <c r="U152" s="191">
        <f t="shared" si="20"/>
        <v>0.2</v>
      </c>
      <c r="V152" s="191">
        <f t="shared" si="20"/>
        <v>0.2</v>
      </c>
      <c r="W152" s="191">
        <f t="shared" si="20"/>
        <v>0.2</v>
      </c>
      <c r="X152" s="191"/>
      <c r="Y152" s="191"/>
      <c r="Z152" s="191"/>
      <c r="AA152" s="191"/>
      <c r="AB152" s="191"/>
      <c r="AC152" s="191"/>
      <c r="AD152" s="191"/>
      <c r="AE152" s="1"/>
      <c r="AF152" s="1"/>
      <c r="AG152" s="1"/>
      <c r="AH152" s="1"/>
      <c r="AI152" s="1"/>
      <c r="AJ152" s="1"/>
      <c r="AK152" s="1"/>
      <c r="AL152" s="1"/>
      <c r="AM152" s="1"/>
      <c r="AN152" s="1"/>
      <c r="AO152" s="1"/>
    </row>
    <row r="153" spans="4:41" x14ac:dyDescent="0.2">
      <c r="N153" s="18"/>
      <c r="S153" s="79"/>
      <c r="T153" s="158"/>
      <c r="U153" s="158"/>
      <c r="V153" s="158"/>
      <c r="W153" s="158"/>
      <c r="X153" s="158"/>
      <c r="Y153" s="158"/>
      <c r="Z153" s="158"/>
      <c r="AA153" s="158"/>
      <c r="AB153" s="158"/>
      <c r="AC153" s="158"/>
      <c r="AD153" s="158"/>
      <c r="AE153" s="1"/>
      <c r="AF153" s="1"/>
      <c r="AG153" s="1"/>
      <c r="AH153" s="1"/>
      <c r="AI153" s="1"/>
      <c r="AJ153" s="1"/>
      <c r="AK153" s="1"/>
      <c r="AL153" s="1"/>
      <c r="AM153" s="1"/>
      <c r="AN153" s="1"/>
      <c r="AO153" s="1"/>
    </row>
    <row r="154" spans="4:41" ht="12.6" x14ac:dyDescent="0.25">
      <c r="D154" s="35" t="s">
        <v>1047</v>
      </c>
      <c r="N154" s="18"/>
      <c r="S154" s="79"/>
      <c r="T154" s="158"/>
      <c r="U154" s="158"/>
      <c r="V154" s="158"/>
      <c r="W154" s="158"/>
      <c r="X154" s="158"/>
      <c r="Y154" s="158"/>
      <c r="Z154" s="158"/>
      <c r="AA154" s="158"/>
      <c r="AB154" s="158"/>
      <c r="AC154" s="158"/>
      <c r="AD154" s="158"/>
      <c r="AE154" s="1"/>
      <c r="AF154" s="1"/>
      <c r="AG154" s="1"/>
      <c r="AH154" s="1"/>
      <c r="AI154" s="1"/>
      <c r="AJ154" s="1"/>
      <c r="AK154" s="1"/>
      <c r="AL154" s="1"/>
      <c r="AM154" s="1"/>
      <c r="AN154" s="1"/>
      <c r="AO154" s="1"/>
    </row>
    <row r="155" spans="4:41" x14ac:dyDescent="0.2">
      <c r="E155" s="1" t="s">
        <v>173</v>
      </c>
      <c r="J155" s="2" t="s">
        <v>1205</v>
      </c>
      <c r="L155" s="3" t="s">
        <v>282</v>
      </c>
      <c r="M155" s="194">
        <f>IF(Scenarios!$O$29=1,Scenarios!$N$31,0)</f>
        <v>0</v>
      </c>
      <c r="N155" s="18"/>
      <c r="S155" s="79"/>
      <c r="T155" s="158"/>
      <c r="U155" s="158"/>
      <c r="V155" s="158"/>
      <c r="W155" s="158"/>
      <c r="X155" s="158"/>
      <c r="Y155" s="158"/>
      <c r="Z155" s="158"/>
      <c r="AA155" s="158"/>
      <c r="AB155" s="158"/>
      <c r="AC155" s="158"/>
      <c r="AD155" s="158"/>
      <c r="AE155" s="1"/>
      <c r="AF155" s="1"/>
      <c r="AG155" s="1"/>
      <c r="AH155" s="1"/>
      <c r="AI155" s="1"/>
      <c r="AJ155" s="1"/>
      <c r="AK155" s="1"/>
      <c r="AL155" s="1"/>
      <c r="AM155" s="1"/>
      <c r="AN155" s="1"/>
      <c r="AO155" s="1"/>
    </row>
    <row r="156" spans="4:41" x14ac:dyDescent="0.2">
      <c r="E156" s="1" t="s">
        <v>243</v>
      </c>
      <c r="J156" s="2" t="s">
        <v>65</v>
      </c>
      <c r="L156" s="3" t="s">
        <v>283</v>
      </c>
      <c r="M156" s="190">
        <v>44197</v>
      </c>
      <c r="N156" s="18"/>
      <c r="S156" s="79"/>
      <c r="T156" s="158"/>
      <c r="U156" s="158"/>
      <c r="V156" s="158"/>
      <c r="W156" s="158"/>
      <c r="X156" s="158"/>
      <c r="Y156" s="158"/>
      <c r="Z156" s="158"/>
      <c r="AA156" s="158"/>
      <c r="AB156" s="158"/>
      <c r="AC156" s="158"/>
      <c r="AD156" s="158"/>
      <c r="AE156" s="1"/>
      <c r="AF156" s="1"/>
      <c r="AG156" s="1"/>
      <c r="AH156" s="1"/>
      <c r="AI156" s="1"/>
      <c r="AJ156" s="1"/>
      <c r="AK156" s="1"/>
      <c r="AL156" s="1"/>
      <c r="AM156" s="1"/>
      <c r="AN156" s="1"/>
      <c r="AO156" s="1"/>
    </row>
    <row r="157" spans="4:41" x14ac:dyDescent="0.2">
      <c r="E157" s="1" t="s">
        <v>244</v>
      </c>
      <c r="J157" s="2" t="s">
        <v>65</v>
      </c>
      <c r="L157" s="3" t="s">
        <v>284</v>
      </c>
      <c r="M157" s="190"/>
      <c r="N157" s="18"/>
      <c r="S157" s="79"/>
      <c r="T157" s="158"/>
      <c r="U157" s="158"/>
      <c r="V157" s="158"/>
      <c r="W157" s="158"/>
      <c r="X157" s="158"/>
      <c r="Y157" s="158"/>
      <c r="Z157" s="158"/>
      <c r="AA157" s="158"/>
      <c r="AB157" s="158"/>
      <c r="AC157" s="158"/>
      <c r="AD157" s="158"/>
      <c r="AE157" s="1"/>
      <c r="AF157" s="1"/>
      <c r="AG157" s="1"/>
      <c r="AH157" s="1"/>
      <c r="AI157" s="1"/>
      <c r="AJ157" s="1"/>
      <c r="AK157" s="1"/>
      <c r="AL157" s="1"/>
      <c r="AM157" s="1"/>
      <c r="AN157" s="1"/>
      <c r="AO157" s="1"/>
    </row>
    <row r="158" spans="4:41" x14ac:dyDescent="0.2">
      <c r="E158" s="1" t="s">
        <v>150</v>
      </c>
      <c r="J158" s="2" t="s">
        <v>49</v>
      </c>
      <c r="L158" s="3" t="s">
        <v>285</v>
      </c>
      <c r="M158" s="191">
        <v>0.01</v>
      </c>
      <c r="N158" s="18"/>
      <c r="S158" s="79"/>
      <c r="T158" s="158"/>
      <c r="U158" s="158"/>
      <c r="V158" s="158"/>
      <c r="W158" s="158"/>
      <c r="X158" s="158"/>
      <c r="Y158" s="158"/>
      <c r="Z158" s="158"/>
      <c r="AA158" s="158"/>
      <c r="AB158" s="158"/>
      <c r="AC158" s="158"/>
      <c r="AD158" s="158"/>
      <c r="AE158" s="1"/>
      <c r="AF158" s="1"/>
      <c r="AG158" s="1"/>
      <c r="AH158" s="1"/>
      <c r="AI158" s="1"/>
      <c r="AJ158" s="1"/>
      <c r="AK158" s="1"/>
      <c r="AL158" s="1"/>
      <c r="AM158" s="1"/>
      <c r="AN158" s="1"/>
      <c r="AO158" s="1"/>
    </row>
    <row r="159" spans="4:41" x14ac:dyDescent="0.2">
      <c r="E159" s="1" t="s">
        <v>149</v>
      </c>
      <c r="J159" s="2" t="s">
        <v>49</v>
      </c>
      <c r="L159" s="3" t="s">
        <v>286</v>
      </c>
      <c r="M159" s="191">
        <v>0</v>
      </c>
      <c r="N159" s="18"/>
      <c r="S159" s="79"/>
      <c r="T159" s="158"/>
      <c r="U159" s="158"/>
      <c r="V159" s="158"/>
      <c r="W159" s="158"/>
      <c r="X159" s="158"/>
      <c r="Y159" s="158"/>
      <c r="Z159" s="158"/>
      <c r="AA159" s="158"/>
      <c r="AB159" s="158"/>
      <c r="AC159" s="158"/>
      <c r="AD159" s="158"/>
      <c r="AE159" s="1"/>
      <c r="AF159" s="1"/>
      <c r="AG159" s="1"/>
      <c r="AH159" s="1"/>
      <c r="AI159" s="1"/>
      <c r="AJ159" s="1"/>
      <c r="AK159" s="1"/>
      <c r="AL159" s="1"/>
      <c r="AM159" s="1"/>
      <c r="AN159" s="1"/>
      <c r="AO159" s="1"/>
    </row>
    <row r="160" spans="4:41" x14ac:dyDescent="0.2">
      <c r="E160" s="1" t="s">
        <v>171</v>
      </c>
      <c r="J160" s="2" t="s">
        <v>49</v>
      </c>
      <c r="L160" s="3" t="s">
        <v>287</v>
      </c>
      <c r="N160" s="18"/>
      <c r="R160" s="199"/>
      <c r="S160" s="198">
        <v>1.4999999999999999E-2</v>
      </c>
      <c r="T160" s="198">
        <v>1.4999999999999999E-2</v>
      </c>
      <c r="U160" s="198">
        <v>1.4999999999999999E-2</v>
      </c>
      <c r="V160" s="198">
        <v>1.4999999999999999E-2</v>
      </c>
      <c r="W160" s="198">
        <v>1.4999999999999999E-2</v>
      </c>
      <c r="X160" s="198">
        <v>1.4999999999999999E-2</v>
      </c>
      <c r="Y160" s="198">
        <v>1.4999999999999999E-2</v>
      </c>
      <c r="Z160" s="198">
        <v>1.4999999999999999E-2</v>
      </c>
      <c r="AA160" s="198">
        <v>1.4999999999999999E-2</v>
      </c>
      <c r="AB160" s="198">
        <v>1.4999999999999999E-2</v>
      </c>
      <c r="AC160" s="198">
        <v>1.4999999999999999E-2</v>
      </c>
      <c r="AD160" s="198">
        <v>1.4999999999999999E-2</v>
      </c>
      <c r="AE160" s="192"/>
      <c r="AF160" s="192"/>
      <c r="AG160" s="1"/>
      <c r="AH160" s="1"/>
      <c r="AI160" s="1"/>
      <c r="AJ160" s="1"/>
      <c r="AK160" s="1"/>
      <c r="AL160" s="1"/>
      <c r="AM160" s="1"/>
      <c r="AN160" s="1"/>
      <c r="AO160" s="1"/>
    </row>
    <row r="161" spans="4:41" x14ac:dyDescent="0.2">
      <c r="E161" s="1" t="s">
        <v>152</v>
      </c>
      <c r="J161" s="2" t="s">
        <v>20</v>
      </c>
      <c r="L161" s="3" t="s">
        <v>288</v>
      </c>
      <c r="N161" s="18"/>
      <c r="S161" s="193">
        <v>12</v>
      </c>
      <c r="T161" s="193">
        <v>12</v>
      </c>
      <c r="U161" s="193">
        <v>12</v>
      </c>
      <c r="V161" s="193">
        <v>12</v>
      </c>
      <c r="W161" s="193">
        <v>12</v>
      </c>
      <c r="X161" s="193">
        <v>12</v>
      </c>
      <c r="Y161" s="193">
        <v>12</v>
      </c>
      <c r="Z161" s="193">
        <v>12</v>
      </c>
      <c r="AA161" s="193">
        <v>12</v>
      </c>
      <c r="AB161" s="193">
        <v>12</v>
      </c>
      <c r="AC161" s="193">
        <v>12</v>
      </c>
      <c r="AD161" s="193">
        <v>12</v>
      </c>
      <c r="AE161" s="1"/>
      <c r="AF161" s="1"/>
      <c r="AG161" s="1"/>
      <c r="AH161" s="1"/>
      <c r="AI161" s="1"/>
      <c r="AJ161" s="1"/>
      <c r="AK161" s="1"/>
      <c r="AL161" s="1"/>
      <c r="AM161" s="1"/>
      <c r="AN161" s="1"/>
      <c r="AO161" s="1"/>
    </row>
    <row r="162" spans="4:41" x14ac:dyDescent="0.2">
      <c r="N162" s="18"/>
      <c r="S162" s="79"/>
      <c r="T162" s="158"/>
      <c r="U162" s="158"/>
      <c r="V162" s="158"/>
      <c r="W162" s="158"/>
      <c r="X162" s="158"/>
      <c r="Y162" s="158"/>
      <c r="Z162" s="158"/>
      <c r="AA162" s="158"/>
      <c r="AB162" s="158"/>
      <c r="AC162" s="158"/>
      <c r="AD162" s="158"/>
      <c r="AE162" s="1"/>
      <c r="AF162" s="1"/>
      <c r="AG162" s="1"/>
      <c r="AH162" s="1"/>
      <c r="AI162" s="1"/>
      <c r="AJ162" s="1"/>
      <c r="AK162" s="1"/>
      <c r="AL162" s="1"/>
      <c r="AM162" s="1"/>
      <c r="AN162" s="1"/>
      <c r="AO162" s="1"/>
    </row>
    <row r="163" spans="4:41" x14ac:dyDescent="0.2">
      <c r="E163" s="1" t="s">
        <v>245</v>
      </c>
      <c r="J163" s="2" t="s">
        <v>1205</v>
      </c>
      <c r="M163" s="25">
        <f>Inputs_Basecase_TL5_Maximum_Facility</f>
        <v>0</v>
      </c>
      <c r="N163" s="18"/>
      <c r="S163" s="79"/>
      <c r="T163" s="158"/>
      <c r="U163" s="158"/>
      <c r="V163" s="158"/>
      <c r="W163" s="158"/>
      <c r="X163" s="158"/>
      <c r="Y163" s="158"/>
      <c r="Z163" s="158"/>
      <c r="AA163" s="158"/>
      <c r="AB163" s="158"/>
      <c r="AC163" s="158"/>
      <c r="AD163" s="158"/>
      <c r="AE163" s="1"/>
      <c r="AF163" s="1"/>
      <c r="AG163" s="1"/>
      <c r="AH163" s="1"/>
      <c r="AI163" s="1"/>
      <c r="AJ163" s="1"/>
      <c r="AK163" s="1"/>
      <c r="AL163" s="1"/>
      <c r="AM163" s="1"/>
      <c r="AN163" s="1"/>
      <c r="AO163" s="1"/>
    </row>
    <row r="164" spans="4:41" x14ac:dyDescent="0.2">
      <c r="E164" s="1" t="s">
        <v>246</v>
      </c>
      <c r="J164" s="2" t="s">
        <v>49</v>
      </c>
      <c r="N164" s="18"/>
      <c r="S164" s="197">
        <v>1</v>
      </c>
      <c r="T164" s="257">
        <v>0</v>
      </c>
      <c r="U164" s="257">
        <v>0</v>
      </c>
      <c r="V164" s="257">
        <v>0</v>
      </c>
      <c r="W164" s="257">
        <v>0</v>
      </c>
      <c r="X164" s="257">
        <v>0</v>
      </c>
      <c r="Y164" s="257">
        <v>0</v>
      </c>
      <c r="Z164" s="257">
        <v>0</v>
      </c>
      <c r="AA164" s="257">
        <v>0</v>
      </c>
      <c r="AB164" s="257">
        <v>0</v>
      </c>
      <c r="AC164" s="257">
        <v>0</v>
      </c>
      <c r="AD164" s="257">
        <v>0</v>
      </c>
      <c r="AE164" s="1"/>
      <c r="AF164" s="1"/>
      <c r="AG164" s="1"/>
      <c r="AH164" s="1"/>
      <c r="AI164" s="1"/>
      <c r="AJ164" s="1"/>
      <c r="AK164" s="1"/>
      <c r="AL164" s="1"/>
      <c r="AM164" s="1"/>
      <c r="AN164" s="1"/>
      <c r="AO164" s="1"/>
    </row>
    <row r="165" spans="4:41" x14ac:dyDescent="0.2">
      <c r="E165" s="1" t="s">
        <v>163</v>
      </c>
      <c r="J165" s="2" t="s">
        <v>1205</v>
      </c>
      <c r="L165" s="3" t="s">
        <v>289</v>
      </c>
      <c r="N165" s="18"/>
      <c r="S165" s="25">
        <f t="shared" ref="S165:AD165" si="21">S164*Inputs_Basecase_TL5_Maximum_Facility</f>
        <v>0</v>
      </c>
      <c r="T165" s="195">
        <f t="shared" si="21"/>
        <v>0</v>
      </c>
      <c r="U165" s="195">
        <f t="shared" si="21"/>
        <v>0</v>
      </c>
      <c r="V165" s="195">
        <f t="shared" si="21"/>
        <v>0</v>
      </c>
      <c r="W165" s="195">
        <f t="shared" si="21"/>
        <v>0</v>
      </c>
      <c r="X165" s="195">
        <f t="shared" si="21"/>
        <v>0</v>
      </c>
      <c r="Y165" s="195">
        <f t="shared" si="21"/>
        <v>0</v>
      </c>
      <c r="Z165" s="195">
        <f t="shared" si="21"/>
        <v>0</v>
      </c>
      <c r="AA165" s="195">
        <f t="shared" si="21"/>
        <v>0</v>
      </c>
      <c r="AB165" s="195">
        <f t="shared" si="21"/>
        <v>0</v>
      </c>
      <c r="AC165" s="195">
        <f t="shared" si="21"/>
        <v>0</v>
      </c>
      <c r="AD165" s="195">
        <f t="shared" si="21"/>
        <v>0</v>
      </c>
      <c r="AE165" s="1"/>
      <c r="AF165" s="1"/>
      <c r="AG165" s="1"/>
      <c r="AH165" s="1"/>
      <c r="AI165" s="1"/>
      <c r="AJ165" s="1"/>
      <c r="AK165" s="1"/>
      <c r="AL165" s="1"/>
      <c r="AM165" s="1"/>
      <c r="AN165" s="1"/>
      <c r="AO165" s="1"/>
    </row>
    <row r="166" spans="4:41" x14ac:dyDescent="0.2">
      <c r="E166" s="1" t="s">
        <v>146</v>
      </c>
      <c r="J166" s="2" t="s">
        <v>49</v>
      </c>
      <c r="L166" s="3" t="s">
        <v>304</v>
      </c>
      <c r="N166" s="18"/>
      <c r="R166" s="199">
        <f>COUNT(S166:AC166)</f>
        <v>9</v>
      </c>
      <c r="S166" s="191">
        <v>0</v>
      </c>
      <c r="T166" s="191">
        <v>0.08</v>
      </c>
      <c r="U166" s="191">
        <v>0.08</v>
      </c>
      <c r="V166" s="191">
        <f t="shared" ref="V166:Y166" si="22">1/8</f>
        <v>0.125</v>
      </c>
      <c r="W166" s="191">
        <f t="shared" si="22"/>
        <v>0.125</v>
      </c>
      <c r="X166" s="191">
        <f t="shared" si="22"/>
        <v>0.125</v>
      </c>
      <c r="Y166" s="191">
        <f t="shared" si="22"/>
        <v>0.125</v>
      </c>
      <c r="Z166" s="191">
        <f>(1/8)+1.5%</f>
        <v>0.14000000000000001</v>
      </c>
      <c r="AA166" s="191">
        <v>0.2</v>
      </c>
      <c r="AB166" s="191"/>
      <c r="AC166" s="191"/>
      <c r="AD166" s="191"/>
      <c r="AE166" s="1"/>
      <c r="AF166" s="1"/>
      <c r="AG166" s="1"/>
      <c r="AH166" s="1"/>
      <c r="AI166" s="1"/>
      <c r="AJ166" s="1"/>
      <c r="AK166" s="1"/>
      <c r="AL166" s="1"/>
      <c r="AM166" s="1"/>
      <c r="AN166" s="1"/>
      <c r="AO166" s="1"/>
    </row>
    <row r="167" spans="4:41" x14ac:dyDescent="0.2">
      <c r="N167" s="18"/>
      <c r="S167" s="206"/>
      <c r="T167" s="206"/>
      <c r="U167" s="206"/>
      <c r="V167" s="206"/>
      <c r="W167" s="206"/>
      <c r="X167" s="206"/>
      <c r="Y167" s="206"/>
      <c r="Z167" s="206"/>
      <c r="AA167" s="206"/>
      <c r="AB167" s="206"/>
      <c r="AC167" s="206"/>
      <c r="AD167" s="206"/>
      <c r="AE167" s="1"/>
      <c r="AF167" s="1"/>
      <c r="AG167" s="1"/>
      <c r="AH167" s="1"/>
      <c r="AI167" s="1"/>
      <c r="AJ167" s="1"/>
      <c r="AK167" s="1"/>
      <c r="AL167" s="1"/>
      <c r="AM167" s="1"/>
      <c r="AN167" s="1"/>
      <c r="AO167" s="1"/>
    </row>
    <row r="168" spans="4:41" ht="12.6" x14ac:dyDescent="0.25">
      <c r="D168" s="35" t="s">
        <v>1048</v>
      </c>
      <c r="N168" s="18"/>
      <c r="S168" s="79"/>
      <c r="T168" s="158"/>
      <c r="U168" s="158"/>
      <c r="V168" s="158"/>
      <c r="W168" s="158"/>
      <c r="X168" s="158"/>
      <c r="Y168" s="158"/>
      <c r="Z168" s="158"/>
      <c r="AA168" s="158"/>
      <c r="AB168" s="158"/>
      <c r="AC168" s="158"/>
      <c r="AD168" s="158"/>
      <c r="AE168" s="1"/>
      <c r="AF168" s="1"/>
      <c r="AG168" s="1"/>
      <c r="AH168" s="1"/>
      <c r="AI168" s="1"/>
      <c r="AJ168" s="1"/>
      <c r="AK168" s="1"/>
      <c r="AL168" s="1"/>
      <c r="AM168" s="1"/>
      <c r="AN168" s="1"/>
      <c r="AO168" s="1"/>
    </row>
    <row r="169" spans="4:41" x14ac:dyDescent="0.2">
      <c r="E169" s="1" t="s">
        <v>173</v>
      </c>
      <c r="J169" s="2" t="s">
        <v>1205</v>
      </c>
      <c r="L169" s="3" t="s">
        <v>326</v>
      </c>
      <c r="M169" s="194">
        <v>0</v>
      </c>
      <c r="N169" s="18"/>
      <c r="S169" s="79"/>
      <c r="T169" s="158"/>
      <c r="U169" s="158"/>
      <c r="V169" s="158"/>
      <c r="W169" s="158"/>
      <c r="X169" s="158"/>
      <c r="Y169" s="158"/>
      <c r="Z169" s="158"/>
      <c r="AA169" s="158"/>
      <c r="AB169" s="158"/>
      <c r="AC169" s="158"/>
      <c r="AD169" s="158"/>
      <c r="AE169" s="1"/>
      <c r="AF169" s="1"/>
      <c r="AG169" s="1"/>
      <c r="AH169" s="1"/>
      <c r="AI169" s="1"/>
      <c r="AJ169" s="1"/>
      <c r="AK169" s="1"/>
      <c r="AL169" s="1"/>
      <c r="AM169" s="1"/>
      <c r="AN169" s="1"/>
      <c r="AO169" s="1"/>
    </row>
    <row r="170" spans="4:41" x14ac:dyDescent="0.2">
      <c r="E170" s="1" t="s">
        <v>243</v>
      </c>
      <c r="J170" s="2" t="s">
        <v>65</v>
      </c>
      <c r="L170" s="3" t="s">
        <v>327</v>
      </c>
      <c r="M170" s="190">
        <v>44197</v>
      </c>
      <c r="N170" s="18"/>
      <c r="S170" s="79"/>
      <c r="T170" s="158"/>
      <c r="U170" s="158"/>
      <c r="V170" s="158"/>
      <c r="W170" s="158"/>
      <c r="X170" s="158"/>
      <c r="Y170" s="158"/>
      <c r="Z170" s="158"/>
      <c r="AA170" s="158"/>
      <c r="AB170" s="158"/>
      <c r="AC170" s="158"/>
      <c r="AD170" s="158"/>
      <c r="AE170" s="1"/>
      <c r="AF170" s="1"/>
      <c r="AG170" s="1"/>
      <c r="AH170" s="1"/>
      <c r="AI170" s="1"/>
      <c r="AJ170" s="1"/>
      <c r="AK170" s="1"/>
      <c r="AL170" s="1"/>
      <c r="AM170" s="1"/>
      <c r="AN170" s="1"/>
      <c r="AO170" s="1"/>
    </row>
    <row r="171" spans="4:41" x14ac:dyDescent="0.2">
      <c r="E171" s="1" t="s">
        <v>244</v>
      </c>
      <c r="J171" s="2" t="s">
        <v>65</v>
      </c>
      <c r="L171" s="3" t="s">
        <v>328</v>
      </c>
      <c r="M171" s="190" t="s">
        <v>445</v>
      </c>
      <c r="N171" s="18"/>
      <c r="S171" s="79"/>
      <c r="T171" s="158"/>
      <c r="U171" s="158"/>
      <c r="V171" s="158"/>
      <c r="W171" s="158"/>
      <c r="X171" s="158"/>
      <c r="Y171" s="158"/>
      <c r="Z171" s="158"/>
      <c r="AA171" s="158"/>
      <c r="AB171" s="158"/>
      <c r="AC171" s="158"/>
      <c r="AD171" s="158"/>
      <c r="AE171" s="1"/>
      <c r="AF171" s="1"/>
      <c r="AG171" s="1"/>
      <c r="AH171" s="1"/>
      <c r="AI171" s="1"/>
      <c r="AJ171" s="1"/>
      <c r="AK171" s="1"/>
      <c r="AL171" s="1"/>
      <c r="AM171" s="1"/>
      <c r="AN171" s="1"/>
      <c r="AO171" s="1"/>
    </row>
    <row r="172" spans="4:41" x14ac:dyDescent="0.2">
      <c r="E172" s="1" t="s">
        <v>150</v>
      </c>
      <c r="J172" s="2" t="s">
        <v>49</v>
      </c>
      <c r="L172" s="3" t="s">
        <v>329</v>
      </c>
      <c r="M172" s="191">
        <v>0.01</v>
      </c>
      <c r="N172" s="18"/>
      <c r="S172" s="79"/>
      <c r="T172" s="158"/>
      <c r="U172" s="158"/>
      <c r="V172" s="158"/>
      <c r="W172" s="158"/>
      <c r="X172" s="158"/>
      <c r="Y172" s="158"/>
      <c r="Z172" s="158"/>
      <c r="AA172" s="158"/>
      <c r="AB172" s="158"/>
      <c r="AC172" s="158"/>
      <c r="AD172" s="158"/>
      <c r="AE172" s="1"/>
      <c r="AF172" s="1"/>
      <c r="AG172" s="1"/>
      <c r="AH172" s="1"/>
      <c r="AI172" s="1"/>
      <c r="AJ172" s="1"/>
      <c r="AK172" s="1"/>
      <c r="AL172" s="1"/>
      <c r="AM172" s="1"/>
      <c r="AN172" s="1"/>
      <c r="AO172" s="1"/>
    </row>
    <row r="173" spans="4:41" x14ac:dyDescent="0.2">
      <c r="E173" s="1" t="s">
        <v>149</v>
      </c>
      <c r="J173" s="2" t="s">
        <v>49</v>
      </c>
      <c r="L173" s="3" t="s">
        <v>330</v>
      </c>
      <c r="M173" s="191">
        <v>0</v>
      </c>
      <c r="N173" s="18"/>
      <c r="S173" s="79"/>
      <c r="T173" s="158"/>
      <c r="U173" s="158"/>
      <c r="V173" s="158"/>
      <c r="W173" s="158"/>
      <c r="X173" s="158"/>
      <c r="Y173" s="158"/>
      <c r="Z173" s="158"/>
      <c r="AA173" s="158"/>
      <c r="AB173" s="158"/>
      <c r="AC173" s="158"/>
      <c r="AD173" s="158"/>
      <c r="AE173" s="1"/>
      <c r="AF173" s="1"/>
      <c r="AG173" s="1"/>
      <c r="AH173" s="1"/>
      <c r="AI173" s="1"/>
      <c r="AJ173" s="1"/>
      <c r="AK173" s="1"/>
      <c r="AL173" s="1"/>
      <c r="AM173" s="1"/>
      <c r="AN173" s="1"/>
      <c r="AO173" s="1"/>
    </row>
    <row r="174" spans="4:41" x14ac:dyDescent="0.2">
      <c r="E174" s="1" t="s">
        <v>171</v>
      </c>
      <c r="J174" s="2" t="s">
        <v>49</v>
      </c>
      <c r="L174" s="3" t="s">
        <v>331</v>
      </c>
      <c r="N174" s="18"/>
      <c r="S174" s="192">
        <v>0.02</v>
      </c>
      <c r="T174" s="192">
        <v>0.02</v>
      </c>
      <c r="U174" s="192">
        <v>0.02</v>
      </c>
      <c r="V174" s="192">
        <v>0.02</v>
      </c>
      <c r="W174" s="192">
        <v>0.02</v>
      </c>
      <c r="X174" s="192"/>
      <c r="Y174" s="192"/>
      <c r="Z174" s="192"/>
      <c r="AA174" s="192"/>
      <c r="AB174" s="192"/>
      <c r="AC174" s="192"/>
      <c r="AD174" s="192"/>
      <c r="AE174" s="1"/>
      <c r="AF174" s="1"/>
      <c r="AG174" s="1"/>
      <c r="AH174" s="1"/>
      <c r="AI174" s="1"/>
      <c r="AJ174" s="1"/>
      <c r="AK174" s="1"/>
      <c r="AL174" s="1"/>
      <c r="AM174" s="1"/>
      <c r="AN174" s="1"/>
      <c r="AO174" s="1"/>
    </row>
    <row r="175" spans="4:41" x14ac:dyDescent="0.2">
      <c r="E175" s="1" t="s">
        <v>152</v>
      </c>
      <c r="J175" s="2" t="s">
        <v>20</v>
      </c>
      <c r="L175" s="3" t="s">
        <v>332</v>
      </c>
      <c r="N175" s="18"/>
      <c r="S175" s="193">
        <v>12</v>
      </c>
      <c r="T175" s="193">
        <v>12</v>
      </c>
      <c r="U175" s="193">
        <v>12</v>
      </c>
      <c r="V175" s="193">
        <v>12</v>
      </c>
      <c r="W175" s="193">
        <v>12</v>
      </c>
      <c r="X175" s="193">
        <v>12</v>
      </c>
      <c r="Y175" s="193">
        <v>12</v>
      </c>
      <c r="Z175" s="193">
        <v>12</v>
      </c>
      <c r="AA175" s="193">
        <v>12</v>
      </c>
      <c r="AB175" s="193">
        <v>12</v>
      </c>
      <c r="AC175" s="193">
        <v>12</v>
      </c>
      <c r="AD175" s="193">
        <v>12</v>
      </c>
      <c r="AE175" s="1"/>
      <c r="AF175" s="1"/>
      <c r="AG175" s="1"/>
      <c r="AH175" s="1"/>
      <c r="AI175" s="1"/>
      <c r="AJ175" s="1"/>
      <c r="AK175" s="1"/>
      <c r="AL175" s="1"/>
      <c r="AM175" s="1"/>
      <c r="AN175" s="1"/>
      <c r="AO175" s="1"/>
    </row>
    <row r="176" spans="4:41" x14ac:dyDescent="0.2">
      <c r="N176" s="18"/>
      <c r="S176" s="61"/>
      <c r="T176" s="61"/>
      <c r="U176" s="61"/>
      <c r="V176" s="61"/>
      <c r="W176" s="61"/>
      <c r="X176" s="61"/>
      <c r="Y176" s="61"/>
      <c r="Z176" s="61"/>
      <c r="AA176" s="61"/>
      <c r="AB176" s="61"/>
      <c r="AC176" s="61"/>
      <c r="AD176" s="61"/>
      <c r="AE176" s="1"/>
      <c r="AF176" s="1"/>
      <c r="AG176" s="1"/>
      <c r="AH176" s="1"/>
      <c r="AI176" s="1"/>
      <c r="AJ176" s="1"/>
      <c r="AK176" s="1"/>
      <c r="AL176" s="1"/>
      <c r="AM176" s="1"/>
      <c r="AN176" s="1"/>
      <c r="AO176" s="1"/>
    </row>
    <row r="177" spans="4:41" x14ac:dyDescent="0.2">
      <c r="E177" s="1" t="s">
        <v>245</v>
      </c>
      <c r="J177" s="2" t="s">
        <v>1205</v>
      </c>
      <c r="M177" s="25">
        <f>Inputs_TL6_Maximum_Facility</f>
        <v>0</v>
      </c>
      <c r="N177" s="18"/>
      <c r="S177" s="79"/>
      <c r="T177" s="158"/>
      <c r="U177" s="158"/>
      <c r="V177" s="158"/>
      <c r="W177" s="158"/>
      <c r="X177" s="158"/>
      <c r="Y177" s="158"/>
      <c r="Z177" s="158"/>
      <c r="AA177" s="158"/>
      <c r="AB177" s="158"/>
      <c r="AC177" s="158"/>
      <c r="AD177" s="158"/>
      <c r="AE177" s="1"/>
      <c r="AF177" s="1"/>
      <c r="AG177" s="1"/>
      <c r="AH177" s="1"/>
      <c r="AI177" s="1"/>
      <c r="AJ177" s="1"/>
      <c r="AK177" s="1"/>
      <c r="AL177" s="1"/>
      <c r="AM177" s="1"/>
      <c r="AN177" s="1"/>
      <c r="AO177" s="1"/>
    </row>
    <row r="178" spans="4:41" x14ac:dyDescent="0.2">
      <c r="E178" s="1" t="s">
        <v>246</v>
      </c>
      <c r="J178" s="2" t="s">
        <v>49</v>
      </c>
      <c r="N178" s="18"/>
      <c r="S178" s="257">
        <v>0.57824798984341941</v>
      </c>
      <c r="T178" s="197">
        <v>0.42175201015658065</v>
      </c>
      <c r="U178" s="257">
        <v>0</v>
      </c>
      <c r="V178" s="257">
        <v>0</v>
      </c>
      <c r="W178" s="257">
        <v>0</v>
      </c>
      <c r="X178" s="257">
        <v>0</v>
      </c>
      <c r="Y178" s="257">
        <v>0</v>
      </c>
      <c r="Z178" s="257">
        <v>0</v>
      </c>
      <c r="AA178" s="257">
        <v>0</v>
      </c>
      <c r="AB178" s="257">
        <v>0</v>
      </c>
      <c r="AC178" s="257">
        <v>0</v>
      </c>
      <c r="AD178" s="257">
        <v>0</v>
      </c>
      <c r="AE178" s="1"/>
      <c r="AF178" s="1"/>
      <c r="AG178" s="1"/>
      <c r="AH178" s="1"/>
      <c r="AI178" s="1"/>
      <c r="AJ178" s="1"/>
      <c r="AK178" s="1"/>
      <c r="AL178" s="1"/>
      <c r="AM178" s="1"/>
      <c r="AN178" s="1"/>
      <c r="AO178" s="1"/>
    </row>
    <row r="179" spans="4:41" x14ac:dyDescent="0.2">
      <c r="E179" s="1" t="s">
        <v>163</v>
      </c>
      <c r="J179" s="2" t="s">
        <v>1205</v>
      </c>
      <c r="L179" s="3" t="s">
        <v>333</v>
      </c>
      <c r="N179" s="18"/>
      <c r="S179" s="25"/>
      <c r="T179" s="25"/>
      <c r="U179" s="25"/>
      <c r="V179" s="25"/>
      <c r="W179" s="25"/>
      <c r="X179" s="25"/>
      <c r="Y179" s="25"/>
      <c r="Z179" s="25"/>
      <c r="AA179" s="25"/>
      <c r="AB179" s="25"/>
      <c r="AC179" s="25"/>
      <c r="AD179" s="25"/>
      <c r="AE179" s="1"/>
      <c r="AF179" s="1"/>
      <c r="AG179" s="1"/>
      <c r="AH179" s="1"/>
      <c r="AI179" s="1"/>
      <c r="AJ179" s="1"/>
      <c r="AK179" s="1"/>
      <c r="AL179" s="1"/>
      <c r="AM179" s="1"/>
      <c r="AN179" s="1"/>
      <c r="AO179" s="1"/>
    </row>
    <row r="180" spans="4:41" x14ac:dyDescent="0.2">
      <c r="E180" s="1" t="s">
        <v>146</v>
      </c>
      <c r="J180" s="2" t="s">
        <v>49</v>
      </c>
      <c r="L180" s="3" t="s">
        <v>334</v>
      </c>
      <c r="N180" s="18"/>
      <c r="R180" s="199">
        <f>COUNT(S180:AC180)</f>
        <v>7</v>
      </c>
      <c r="S180" s="191">
        <v>0</v>
      </c>
      <c r="T180" s="191">
        <v>0</v>
      </c>
      <c r="U180" s="191">
        <f t="shared" ref="U180:Y180" si="23">1/5</f>
        <v>0.2</v>
      </c>
      <c r="V180" s="191">
        <f t="shared" si="23"/>
        <v>0.2</v>
      </c>
      <c r="W180" s="191">
        <f t="shared" si="23"/>
        <v>0.2</v>
      </c>
      <c r="X180" s="191">
        <f t="shared" si="23"/>
        <v>0.2</v>
      </c>
      <c r="Y180" s="191">
        <f t="shared" si="23"/>
        <v>0.2</v>
      </c>
      <c r="Z180" s="191"/>
      <c r="AA180" s="191"/>
      <c r="AB180" s="191"/>
      <c r="AC180" s="191"/>
      <c r="AD180" s="191"/>
      <c r="AE180" s="1"/>
      <c r="AF180" s="1"/>
      <c r="AG180" s="1"/>
      <c r="AH180" s="1"/>
      <c r="AI180" s="1"/>
      <c r="AJ180" s="1"/>
      <c r="AK180" s="1"/>
      <c r="AL180" s="1"/>
      <c r="AM180" s="1"/>
      <c r="AN180" s="1"/>
      <c r="AO180" s="1"/>
    </row>
    <row r="181" spans="4:41" x14ac:dyDescent="0.2">
      <c r="N181" s="18"/>
      <c r="S181" s="206"/>
      <c r="T181" s="206"/>
      <c r="U181" s="206"/>
      <c r="V181" s="206"/>
      <c r="W181" s="206"/>
      <c r="X181" s="206"/>
      <c r="Y181" s="206"/>
      <c r="Z181" s="206"/>
      <c r="AA181" s="206"/>
      <c r="AB181" s="206"/>
      <c r="AC181" s="206"/>
      <c r="AD181" s="206"/>
      <c r="AE181" s="1"/>
      <c r="AF181" s="1"/>
      <c r="AG181" s="1"/>
      <c r="AH181" s="1"/>
      <c r="AI181" s="1"/>
      <c r="AJ181" s="1"/>
      <c r="AK181" s="1"/>
      <c r="AL181" s="1"/>
      <c r="AM181" s="1"/>
      <c r="AN181" s="1"/>
      <c r="AO181" s="1"/>
    </row>
    <row r="182" spans="4:41" ht="12.6" x14ac:dyDescent="0.25">
      <c r="D182" s="35" t="s">
        <v>1048</v>
      </c>
      <c r="N182" s="18"/>
      <c r="S182" s="79"/>
      <c r="T182" s="158"/>
      <c r="U182" s="158"/>
      <c r="V182" s="158"/>
      <c r="W182" s="158"/>
      <c r="X182" s="158"/>
      <c r="Y182" s="158"/>
      <c r="Z182" s="158"/>
      <c r="AA182" s="158"/>
      <c r="AB182" s="158"/>
      <c r="AC182" s="158"/>
      <c r="AD182" s="158"/>
      <c r="AE182" s="1"/>
      <c r="AF182" s="1"/>
      <c r="AG182" s="1"/>
      <c r="AH182" s="1"/>
      <c r="AI182" s="1"/>
      <c r="AJ182" s="1"/>
      <c r="AK182" s="1"/>
      <c r="AL182" s="1"/>
      <c r="AM182" s="1"/>
      <c r="AN182" s="1"/>
      <c r="AO182" s="1"/>
    </row>
    <row r="183" spans="4:41" x14ac:dyDescent="0.2">
      <c r="E183" s="1" t="s">
        <v>173</v>
      </c>
      <c r="J183" s="2" t="s">
        <v>1205</v>
      </c>
      <c r="L183" s="3" t="s">
        <v>335</v>
      </c>
      <c r="M183" s="194">
        <v>0</v>
      </c>
      <c r="N183" s="18"/>
      <c r="S183" s="79"/>
      <c r="T183" s="158"/>
      <c r="U183" s="158"/>
      <c r="V183" s="158"/>
      <c r="W183" s="158"/>
      <c r="X183" s="158"/>
      <c r="Y183" s="158"/>
      <c r="Z183" s="158"/>
      <c r="AA183" s="158"/>
      <c r="AB183" s="158"/>
      <c r="AC183" s="158"/>
      <c r="AD183" s="158"/>
      <c r="AE183" s="1"/>
      <c r="AF183" s="1"/>
      <c r="AG183" s="1"/>
      <c r="AH183" s="1"/>
      <c r="AI183" s="1"/>
      <c r="AJ183" s="1"/>
      <c r="AK183" s="1"/>
      <c r="AL183" s="1"/>
      <c r="AM183" s="1"/>
      <c r="AN183" s="1"/>
      <c r="AO183" s="1"/>
    </row>
    <row r="184" spans="4:41" x14ac:dyDescent="0.2">
      <c r="E184" s="1" t="s">
        <v>243</v>
      </c>
      <c r="J184" s="2" t="s">
        <v>65</v>
      </c>
      <c r="L184" s="3" t="s">
        <v>336</v>
      </c>
      <c r="M184" s="190">
        <v>43831</v>
      </c>
      <c r="N184" s="18"/>
      <c r="S184" s="79"/>
      <c r="T184" s="158"/>
      <c r="U184" s="158"/>
      <c r="V184" s="158"/>
      <c r="W184" s="158"/>
      <c r="X184" s="158"/>
      <c r="Y184" s="158"/>
      <c r="Z184" s="158"/>
      <c r="AA184" s="158"/>
      <c r="AB184" s="158"/>
      <c r="AC184" s="158"/>
      <c r="AD184" s="158"/>
      <c r="AE184" s="1"/>
      <c r="AF184" s="1"/>
      <c r="AG184" s="1"/>
      <c r="AH184" s="1"/>
      <c r="AI184" s="1"/>
      <c r="AJ184" s="1"/>
      <c r="AK184" s="1"/>
      <c r="AL184" s="1"/>
      <c r="AM184" s="1"/>
      <c r="AN184" s="1"/>
      <c r="AO184" s="1"/>
    </row>
    <row r="185" spans="4:41" x14ac:dyDescent="0.2">
      <c r="E185" s="1" t="s">
        <v>244</v>
      </c>
      <c r="J185" s="2" t="s">
        <v>65</v>
      </c>
      <c r="L185" s="3" t="s">
        <v>337</v>
      </c>
      <c r="M185" s="190">
        <v>44196</v>
      </c>
      <c r="N185" s="18"/>
      <c r="S185" s="79"/>
      <c r="T185" s="158"/>
      <c r="U185" s="158"/>
      <c r="V185" s="158"/>
      <c r="W185" s="158"/>
      <c r="X185" s="158"/>
      <c r="Y185" s="158"/>
      <c r="Z185" s="158"/>
      <c r="AA185" s="158"/>
      <c r="AB185" s="158"/>
      <c r="AC185" s="158"/>
      <c r="AD185" s="158"/>
      <c r="AE185" s="1"/>
      <c r="AF185" s="1"/>
      <c r="AG185" s="1"/>
      <c r="AH185" s="1"/>
      <c r="AI185" s="1"/>
      <c r="AJ185" s="1"/>
      <c r="AK185" s="1"/>
      <c r="AL185" s="1"/>
      <c r="AM185" s="1"/>
      <c r="AN185" s="1"/>
      <c r="AO185" s="1"/>
    </row>
    <row r="186" spans="4:41" x14ac:dyDescent="0.2">
      <c r="E186" s="1" t="s">
        <v>150</v>
      </c>
      <c r="J186" s="2" t="s">
        <v>49</v>
      </c>
      <c r="L186" s="3" t="s">
        <v>338</v>
      </c>
      <c r="M186" s="191">
        <v>5.0000000000000001E-3</v>
      </c>
      <c r="N186" s="18"/>
      <c r="S186" s="79"/>
      <c r="T186" s="158"/>
      <c r="U186" s="158"/>
      <c r="V186" s="158"/>
      <c r="W186" s="158"/>
      <c r="X186" s="158"/>
      <c r="Y186" s="158"/>
      <c r="Z186" s="158"/>
      <c r="AA186" s="158"/>
      <c r="AB186" s="158"/>
      <c r="AC186" s="158"/>
      <c r="AD186" s="158"/>
      <c r="AE186" s="1"/>
      <c r="AF186" s="1"/>
      <c r="AG186" s="1"/>
      <c r="AH186" s="1"/>
      <c r="AI186" s="1"/>
      <c r="AJ186" s="1"/>
      <c r="AK186" s="1"/>
      <c r="AL186" s="1"/>
      <c r="AM186" s="1"/>
      <c r="AN186" s="1"/>
      <c r="AO186" s="1"/>
    </row>
    <row r="187" spans="4:41" x14ac:dyDescent="0.2">
      <c r="E187" s="1" t="s">
        <v>149</v>
      </c>
      <c r="J187" s="2" t="s">
        <v>49</v>
      </c>
      <c r="L187" s="3" t="s">
        <v>339</v>
      </c>
      <c r="M187" s="191">
        <v>0</v>
      </c>
      <c r="N187" s="18"/>
      <c r="S187" s="79"/>
      <c r="T187" s="158"/>
      <c r="U187" s="158"/>
      <c r="V187" s="158"/>
      <c r="W187" s="158"/>
      <c r="X187" s="158"/>
      <c r="Y187" s="158"/>
      <c r="Z187" s="158"/>
      <c r="AA187" s="158"/>
      <c r="AB187" s="158"/>
      <c r="AC187" s="158"/>
      <c r="AD187" s="158"/>
      <c r="AE187" s="1"/>
      <c r="AF187" s="1"/>
      <c r="AG187" s="1"/>
      <c r="AH187" s="1"/>
      <c r="AI187" s="1"/>
      <c r="AJ187" s="1"/>
      <c r="AK187" s="1"/>
      <c r="AL187" s="1"/>
      <c r="AM187" s="1"/>
      <c r="AN187" s="1"/>
      <c r="AO187" s="1"/>
    </row>
    <row r="188" spans="4:41" x14ac:dyDescent="0.2">
      <c r="E188" s="1" t="s">
        <v>171</v>
      </c>
      <c r="J188" s="2" t="s">
        <v>49</v>
      </c>
      <c r="L188" s="3" t="s">
        <v>340</v>
      </c>
      <c r="N188" s="18"/>
      <c r="S188" s="198">
        <v>8.9999999999999993E-3</v>
      </c>
      <c r="T188" s="198">
        <v>8.9999999999999993E-3</v>
      </c>
      <c r="U188" s="198">
        <v>8.9999999999999993E-3</v>
      </c>
      <c r="V188" s="198">
        <v>8.9999999999999993E-3</v>
      </c>
      <c r="W188" s="198">
        <v>8.9999999999999993E-3</v>
      </c>
      <c r="X188" s="198">
        <v>0.01</v>
      </c>
      <c r="Y188" s="198">
        <v>0.01</v>
      </c>
      <c r="Z188" s="198">
        <v>0.01</v>
      </c>
      <c r="AA188" s="198">
        <v>0.01</v>
      </c>
      <c r="AB188" s="198">
        <v>0.01</v>
      </c>
      <c r="AC188" s="198">
        <v>1.0999999999999999E-2</v>
      </c>
      <c r="AD188" s="198">
        <v>1.0999999999999999E-2</v>
      </c>
      <c r="AE188" s="1"/>
      <c r="AF188" s="1"/>
      <c r="AG188" s="1"/>
      <c r="AH188" s="1"/>
      <c r="AI188" s="1"/>
      <c r="AJ188" s="1"/>
      <c r="AK188" s="1"/>
      <c r="AL188" s="1"/>
      <c r="AM188" s="1"/>
      <c r="AN188" s="1"/>
      <c r="AO188" s="1"/>
    </row>
    <row r="189" spans="4:41" x14ac:dyDescent="0.2">
      <c r="E189" s="1" t="s">
        <v>152</v>
      </c>
      <c r="J189" s="2" t="s">
        <v>20</v>
      </c>
      <c r="L189" s="3" t="s">
        <v>341</v>
      </c>
      <c r="N189" s="18"/>
      <c r="S189" s="193">
        <v>12</v>
      </c>
      <c r="T189" s="193">
        <v>12</v>
      </c>
      <c r="U189" s="193">
        <v>12</v>
      </c>
      <c r="V189" s="193">
        <v>12</v>
      </c>
      <c r="W189" s="193">
        <v>12</v>
      </c>
      <c r="X189" s="193">
        <v>12</v>
      </c>
      <c r="Y189" s="193">
        <v>12</v>
      </c>
      <c r="Z189" s="193">
        <v>12</v>
      </c>
      <c r="AA189" s="193">
        <v>12</v>
      </c>
      <c r="AB189" s="193">
        <v>12</v>
      </c>
      <c r="AC189" s="193">
        <v>12</v>
      </c>
      <c r="AD189" s="193">
        <v>12</v>
      </c>
    </row>
    <row r="190" spans="4:41" x14ac:dyDescent="0.2">
      <c r="N190" s="18"/>
      <c r="S190" s="193"/>
      <c r="T190" s="193"/>
      <c r="U190" s="193"/>
      <c r="V190" s="193"/>
      <c r="W190" s="193"/>
      <c r="X190" s="193"/>
      <c r="Y190" s="193"/>
      <c r="Z190" s="193"/>
      <c r="AA190" s="193"/>
      <c r="AB190" s="193"/>
      <c r="AC190" s="193"/>
      <c r="AD190" s="193"/>
    </row>
    <row r="191" spans="4:41" x14ac:dyDescent="0.2">
      <c r="E191" s="1" t="s">
        <v>245</v>
      </c>
      <c r="J191" s="2" t="s">
        <v>1205</v>
      </c>
      <c r="M191" s="25">
        <f>Inputs_TL7_Maximum_Facility</f>
        <v>0</v>
      </c>
      <c r="N191" s="18"/>
      <c r="S191" s="79"/>
      <c r="T191" s="158"/>
      <c r="U191" s="158"/>
      <c r="V191" s="158"/>
      <c r="W191" s="158"/>
      <c r="X191" s="158"/>
      <c r="Y191" s="158"/>
      <c r="Z191" s="158"/>
      <c r="AA191" s="158"/>
      <c r="AB191" s="158"/>
      <c r="AC191" s="158"/>
      <c r="AD191" s="158"/>
    </row>
    <row r="192" spans="4:41" x14ac:dyDescent="0.2">
      <c r="E192" s="1" t="s">
        <v>246</v>
      </c>
      <c r="J192" s="2" t="s">
        <v>49</v>
      </c>
      <c r="N192" s="18"/>
      <c r="S192" s="158">
        <v>0</v>
      </c>
      <c r="T192" s="197">
        <v>1</v>
      </c>
      <c r="U192" s="158">
        <v>0</v>
      </c>
      <c r="V192" s="158">
        <v>0</v>
      </c>
      <c r="W192" s="158">
        <v>0</v>
      </c>
      <c r="X192" s="158">
        <v>0</v>
      </c>
      <c r="Y192" s="158">
        <v>0</v>
      </c>
      <c r="Z192" s="158">
        <v>0</v>
      </c>
      <c r="AA192" s="158">
        <v>0</v>
      </c>
      <c r="AB192" s="158">
        <v>0</v>
      </c>
      <c r="AC192" s="158">
        <v>0</v>
      </c>
      <c r="AD192" s="158">
        <v>0</v>
      </c>
    </row>
    <row r="193" spans="4:41" x14ac:dyDescent="0.2">
      <c r="E193" s="1" t="s">
        <v>163</v>
      </c>
      <c r="J193" s="2" t="s">
        <v>1205</v>
      </c>
      <c r="L193" s="3" t="s">
        <v>342</v>
      </c>
      <c r="N193" s="18"/>
      <c r="S193" s="25">
        <f>S192*$M191</f>
        <v>0</v>
      </c>
      <c r="T193" s="25">
        <f>T192*$M191</f>
        <v>0</v>
      </c>
      <c r="U193" s="25">
        <f t="shared" ref="U193:AD193" si="24">U192*$M191</f>
        <v>0</v>
      </c>
      <c r="V193" s="25">
        <f t="shared" si="24"/>
        <v>0</v>
      </c>
      <c r="W193" s="25">
        <f t="shared" si="24"/>
        <v>0</v>
      </c>
      <c r="X193" s="25">
        <f t="shared" si="24"/>
        <v>0</v>
      </c>
      <c r="Y193" s="25">
        <f t="shared" si="24"/>
        <v>0</v>
      </c>
      <c r="Z193" s="25">
        <f t="shared" si="24"/>
        <v>0</v>
      </c>
      <c r="AA193" s="25">
        <f t="shared" si="24"/>
        <v>0</v>
      </c>
      <c r="AB193" s="25">
        <f t="shared" si="24"/>
        <v>0</v>
      </c>
      <c r="AC193" s="25">
        <f t="shared" si="24"/>
        <v>0</v>
      </c>
      <c r="AD193" s="25">
        <f t="shared" si="24"/>
        <v>0</v>
      </c>
    </row>
    <row r="194" spans="4:41" x14ac:dyDescent="0.2">
      <c r="E194" s="1" t="s">
        <v>146</v>
      </c>
      <c r="J194" s="2" t="s">
        <v>49</v>
      </c>
      <c r="L194" s="3" t="s">
        <v>343</v>
      </c>
      <c r="N194" s="18"/>
      <c r="S194" s="191">
        <v>0</v>
      </c>
      <c r="T194" s="191">
        <v>0</v>
      </c>
      <c r="U194" s="191">
        <v>0</v>
      </c>
      <c r="V194" s="191">
        <v>0</v>
      </c>
      <c r="W194" s="191">
        <v>0</v>
      </c>
      <c r="X194" s="191">
        <v>0</v>
      </c>
      <c r="Y194" s="191">
        <v>0</v>
      </c>
      <c r="Z194" s="191">
        <v>0</v>
      </c>
      <c r="AA194" s="191">
        <v>0</v>
      </c>
      <c r="AB194" s="191">
        <v>0</v>
      </c>
      <c r="AC194" s="191">
        <v>0</v>
      </c>
      <c r="AD194" s="191">
        <v>0</v>
      </c>
    </row>
    <row r="195" spans="4:41" x14ac:dyDescent="0.2">
      <c r="N195" s="18"/>
      <c r="S195" s="206"/>
      <c r="T195" s="206"/>
      <c r="U195" s="206"/>
      <c r="V195" s="206"/>
      <c r="W195" s="206"/>
      <c r="X195" s="206"/>
      <c r="Y195" s="206"/>
      <c r="Z195" s="206"/>
      <c r="AA195" s="206"/>
      <c r="AB195" s="206"/>
      <c r="AC195" s="206"/>
      <c r="AD195" s="206"/>
    </row>
    <row r="196" spans="4:41" ht="12.6" x14ac:dyDescent="0.25">
      <c r="D196" s="35" t="s">
        <v>1048</v>
      </c>
      <c r="N196" s="18"/>
      <c r="S196" s="79"/>
      <c r="T196" s="158"/>
      <c r="U196" s="158"/>
      <c r="V196" s="158"/>
      <c r="W196" s="158"/>
      <c r="X196" s="158"/>
      <c r="Y196" s="158"/>
      <c r="Z196" s="158"/>
      <c r="AA196" s="158"/>
      <c r="AB196" s="158"/>
      <c r="AC196" s="158"/>
      <c r="AD196" s="158"/>
    </row>
    <row r="197" spans="4:41" x14ac:dyDescent="0.2">
      <c r="E197" s="1" t="s">
        <v>173</v>
      </c>
      <c r="J197" s="2" t="s">
        <v>1205</v>
      </c>
      <c r="L197" s="3" t="s">
        <v>344</v>
      </c>
      <c r="M197" s="194">
        <v>0</v>
      </c>
      <c r="N197" s="18"/>
      <c r="S197" s="79"/>
      <c r="T197" s="158"/>
      <c r="U197" s="158"/>
      <c r="V197" s="158"/>
      <c r="W197" s="158"/>
      <c r="X197" s="158"/>
      <c r="Y197" s="158"/>
      <c r="Z197" s="158"/>
      <c r="AA197" s="158"/>
      <c r="AB197" s="158"/>
      <c r="AC197" s="158"/>
      <c r="AD197" s="158"/>
    </row>
    <row r="198" spans="4:41" x14ac:dyDescent="0.2">
      <c r="E198" s="1" t="s">
        <v>243</v>
      </c>
      <c r="J198" s="2" t="s">
        <v>65</v>
      </c>
      <c r="L198" s="3" t="s">
        <v>345</v>
      </c>
      <c r="M198" s="190">
        <v>43831</v>
      </c>
      <c r="N198" s="18"/>
      <c r="S198" s="79"/>
      <c r="T198" s="158"/>
      <c r="U198" s="158"/>
      <c r="V198" s="158"/>
      <c r="W198" s="158"/>
      <c r="X198" s="158"/>
      <c r="Y198" s="158"/>
      <c r="Z198" s="158"/>
      <c r="AA198" s="158"/>
      <c r="AB198" s="158"/>
      <c r="AC198" s="158"/>
      <c r="AD198" s="158"/>
    </row>
    <row r="199" spans="4:41" x14ac:dyDescent="0.2">
      <c r="E199" s="1" t="s">
        <v>244</v>
      </c>
      <c r="J199" s="2" t="s">
        <v>65</v>
      </c>
      <c r="L199" s="3" t="s">
        <v>346</v>
      </c>
      <c r="M199" s="190">
        <v>44196</v>
      </c>
      <c r="N199" s="18"/>
      <c r="S199" s="79"/>
      <c r="T199" s="158"/>
      <c r="U199" s="158"/>
      <c r="V199" s="158"/>
      <c r="W199" s="158"/>
      <c r="X199" s="158"/>
      <c r="Y199" s="158"/>
      <c r="Z199" s="158"/>
      <c r="AA199" s="158"/>
      <c r="AB199" s="158"/>
      <c r="AC199" s="158"/>
      <c r="AD199" s="158"/>
    </row>
    <row r="200" spans="4:41" x14ac:dyDescent="0.2">
      <c r="E200" s="1" t="s">
        <v>150</v>
      </c>
      <c r="J200" s="2" t="s">
        <v>49</v>
      </c>
      <c r="L200" s="3" t="s">
        <v>347</v>
      </c>
      <c r="M200" s="191">
        <v>5.0000000000000001E-3</v>
      </c>
      <c r="N200" s="18"/>
      <c r="S200" s="79"/>
      <c r="T200" s="158"/>
      <c r="U200" s="158"/>
      <c r="V200" s="158"/>
      <c r="W200" s="158"/>
      <c r="X200" s="158"/>
      <c r="Y200" s="158"/>
      <c r="Z200" s="158"/>
      <c r="AA200" s="158"/>
      <c r="AB200" s="158"/>
      <c r="AC200" s="158"/>
      <c r="AD200" s="158"/>
    </row>
    <row r="201" spans="4:41" x14ac:dyDescent="0.2">
      <c r="E201" s="1" t="s">
        <v>149</v>
      </c>
      <c r="J201" s="2" t="s">
        <v>49</v>
      </c>
      <c r="L201" s="3" t="s">
        <v>348</v>
      </c>
      <c r="M201" s="191">
        <v>0</v>
      </c>
      <c r="N201" s="18"/>
      <c r="S201" s="79"/>
      <c r="T201" s="158"/>
      <c r="U201" s="158"/>
      <c r="V201" s="158"/>
      <c r="W201" s="158"/>
      <c r="X201" s="158"/>
      <c r="Y201" s="158"/>
      <c r="Z201" s="158"/>
      <c r="AA201" s="158"/>
      <c r="AB201" s="158"/>
      <c r="AC201" s="158"/>
      <c r="AD201" s="158"/>
      <c r="AE201" s="1"/>
      <c r="AF201" s="1"/>
      <c r="AG201" s="1"/>
      <c r="AH201" s="1"/>
      <c r="AI201" s="1"/>
      <c r="AJ201" s="1"/>
      <c r="AK201" s="1"/>
      <c r="AL201" s="1"/>
      <c r="AM201" s="1"/>
      <c r="AN201" s="1"/>
      <c r="AO201" s="1"/>
    </row>
    <row r="202" spans="4:41" x14ac:dyDescent="0.2">
      <c r="E202" s="1" t="s">
        <v>171</v>
      </c>
      <c r="J202" s="2" t="s">
        <v>49</v>
      </c>
      <c r="L202" s="3" t="s">
        <v>349</v>
      </c>
      <c r="N202" s="18"/>
      <c r="S202" s="198">
        <v>8.9999999999999993E-3</v>
      </c>
      <c r="T202" s="198">
        <v>8.9999999999999993E-3</v>
      </c>
      <c r="U202" s="198">
        <v>8.9999999999999993E-3</v>
      </c>
      <c r="V202" s="198">
        <v>8.9999999999999993E-3</v>
      </c>
      <c r="W202" s="198">
        <v>8.9999999999999993E-3</v>
      </c>
      <c r="X202" s="198">
        <v>0.01</v>
      </c>
      <c r="Y202" s="198">
        <v>0.01</v>
      </c>
      <c r="Z202" s="198">
        <v>0.01</v>
      </c>
      <c r="AA202" s="198">
        <v>0.01</v>
      </c>
      <c r="AB202" s="198">
        <v>0.01</v>
      </c>
      <c r="AC202" s="198">
        <v>1.0999999999999999E-2</v>
      </c>
      <c r="AD202" s="198">
        <v>1.0999999999999999E-2</v>
      </c>
      <c r="AE202" s="1"/>
      <c r="AF202" s="1"/>
      <c r="AG202" s="1"/>
      <c r="AH202" s="1"/>
      <c r="AI202" s="1"/>
      <c r="AJ202" s="1"/>
      <c r="AK202" s="1"/>
      <c r="AL202" s="1"/>
      <c r="AM202" s="1"/>
      <c r="AN202" s="1"/>
      <c r="AO202" s="1"/>
    </row>
    <row r="203" spans="4:41" x14ac:dyDescent="0.2">
      <c r="E203" s="1" t="s">
        <v>152</v>
      </c>
      <c r="J203" s="2" t="s">
        <v>20</v>
      </c>
      <c r="L203" s="3" t="s">
        <v>350</v>
      </c>
      <c r="N203" s="18"/>
      <c r="S203" s="193">
        <v>12</v>
      </c>
      <c r="T203" s="193">
        <v>12</v>
      </c>
      <c r="U203" s="193">
        <v>12</v>
      </c>
      <c r="V203" s="193">
        <v>12</v>
      </c>
      <c r="W203" s="193">
        <v>12</v>
      </c>
      <c r="X203" s="193">
        <v>12</v>
      </c>
      <c r="Y203" s="193">
        <v>12</v>
      </c>
      <c r="Z203" s="193">
        <v>12</v>
      </c>
      <c r="AA203" s="193">
        <v>12</v>
      </c>
      <c r="AB203" s="193">
        <v>12</v>
      </c>
      <c r="AC203" s="193">
        <v>12</v>
      </c>
      <c r="AD203" s="193">
        <v>12</v>
      </c>
      <c r="AE203" s="1"/>
      <c r="AF203" s="1"/>
      <c r="AG203" s="1"/>
      <c r="AH203" s="1"/>
      <c r="AI203" s="1"/>
      <c r="AJ203" s="1"/>
      <c r="AK203" s="1"/>
      <c r="AL203" s="1"/>
      <c r="AM203" s="1"/>
      <c r="AN203" s="1"/>
      <c r="AO203" s="1"/>
    </row>
    <row r="204" spans="4:41" x14ac:dyDescent="0.2">
      <c r="N204" s="18"/>
      <c r="S204" s="79"/>
      <c r="T204" s="158"/>
      <c r="U204" s="158"/>
      <c r="V204" s="158"/>
      <c r="W204" s="158"/>
      <c r="X204" s="158"/>
      <c r="Y204" s="158"/>
      <c r="Z204" s="158"/>
      <c r="AA204" s="158"/>
      <c r="AB204" s="158"/>
      <c r="AC204" s="158"/>
      <c r="AD204" s="158"/>
      <c r="AE204" s="1"/>
      <c r="AF204" s="1"/>
      <c r="AG204" s="1"/>
      <c r="AH204" s="1"/>
      <c r="AI204" s="1"/>
      <c r="AJ204" s="1"/>
      <c r="AK204" s="1"/>
      <c r="AL204" s="1"/>
      <c r="AM204" s="1"/>
      <c r="AN204" s="1"/>
      <c r="AO204" s="1"/>
    </row>
    <row r="205" spans="4:41" x14ac:dyDescent="0.2">
      <c r="E205" s="1" t="s">
        <v>245</v>
      </c>
      <c r="J205" s="2" t="s">
        <v>1205</v>
      </c>
      <c r="M205" s="25">
        <f>Inputs_TL8_Maximum_Facility</f>
        <v>0</v>
      </c>
      <c r="N205" s="18"/>
      <c r="S205" s="79"/>
      <c r="T205" s="158"/>
      <c r="U205" s="158"/>
      <c r="V205" s="158"/>
      <c r="W205" s="158"/>
      <c r="X205" s="158"/>
      <c r="Y205" s="158"/>
      <c r="Z205" s="158"/>
      <c r="AA205" s="158"/>
      <c r="AB205" s="158"/>
      <c r="AC205" s="158"/>
      <c r="AD205" s="158"/>
      <c r="AE205" s="1"/>
      <c r="AF205" s="1"/>
      <c r="AG205" s="1"/>
      <c r="AH205" s="1"/>
      <c r="AI205" s="1"/>
      <c r="AJ205" s="1"/>
      <c r="AK205" s="1"/>
      <c r="AL205" s="1"/>
      <c r="AM205" s="1"/>
      <c r="AN205" s="1"/>
      <c r="AO205" s="1"/>
    </row>
    <row r="206" spans="4:41" x14ac:dyDescent="0.2">
      <c r="E206" s="1" t="s">
        <v>246</v>
      </c>
      <c r="J206" s="2" t="s">
        <v>49</v>
      </c>
      <c r="N206" s="18"/>
      <c r="S206" s="158">
        <v>0</v>
      </c>
      <c r="T206" s="197">
        <v>1</v>
      </c>
      <c r="U206" s="158">
        <v>0</v>
      </c>
      <c r="V206" s="158">
        <v>0</v>
      </c>
      <c r="W206" s="158">
        <v>0</v>
      </c>
      <c r="X206" s="158">
        <v>0</v>
      </c>
      <c r="Y206" s="158">
        <v>0</v>
      </c>
      <c r="Z206" s="158">
        <v>0</v>
      </c>
      <c r="AA206" s="158">
        <v>0</v>
      </c>
      <c r="AB206" s="158">
        <v>0</v>
      </c>
      <c r="AC206" s="158">
        <v>0</v>
      </c>
      <c r="AD206" s="158">
        <v>0</v>
      </c>
      <c r="AE206" s="1"/>
      <c r="AF206" s="1"/>
      <c r="AG206" s="1"/>
      <c r="AH206" s="1"/>
      <c r="AI206" s="1"/>
      <c r="AJ206" s="1"/>
      <c r="AK206" s="1"/>
      <c r="AL206" s="1"/>
      <c r="AM206" s="1"/>
      <c r="AN206" s="1"/>
      <c r="AO206" s="1"/>
    </row>
    <row r="207" spans="4:41" x14ac:dyDescent="0.2">
      <c r="E207" s="1" t="s">
        <v>163</v>
      </c>
      <c r="J207" s="2" t="s">
        <v>1205</v>
      </c>
      <c r="L207" s="3" t="s">
        <v>351</v>
      </c>
      <c r="N207" s="18"/>
      <c r="S207" s="25">
        <f>S206*$M205</f>
        <v>0</v>
      </c>
      <c r="T207" s="25">
        <f t="shared" ref="T207:AD207" si="25">T206*$M205</f>
        <v>0</v>
      </c>
      <c r="U207" s="25">
        <f t="shared" si="25"/>
        <v>0</v>
      </c>
      <c r="V207" s="25">
        <f t="shared" si="25"/>
        <v>0</v>
      </c>
      <c r="W207" s="25">
        <f t="shared" si="25"/>
        <v>0</v>
      </c>
      <c r="X207" s="25">
        <f t="shared" si="25"/>
        <v>0</v>
      </c>
      <c r="Y207" s="25">
        <f t="shared" si="25"/>
        <v>0</v>
      </c>
      <c r="Z207" s="25">
        <f t="shared" si="25"/>
        <v>0</v>
      </c>
      <c r="AA207" s="25">
        <f t="shared" si="25"/>
        <v>0</v>
      </c>
      <c r="AB207" s="25">
        <f t="shared" si="25"/>
        <v>0</v>
      </c>
      <c r="AC207" s="25">
        <f t="shared" si="25"/>
        <v>0</v>
      </c>
      <c r="AD207" s="25">
        <f t="shared" si="25"/>
        <v>0</v>
      </c>
      <c r="AE207" s="1"/>
      <c r="AF207" s="1"/>
      <c r="AG207" s="1"/>
      <c r="AH207" s="1"/>
      <c r="AI207" s="1"/>
      <c r="AJ207" s="1"/>
      <c r="AK207" s="1"/>
      <c r="AL207" s="1"/>
      <c r="AM207" s="1"/>
      <c r="AN207" s="1"/>
      <c r="AO207" s="1"/>
    </row>
    <row r="208" spans="4:41" x14ac:dyDescent="0.2">
      <c r="E208" s="1" t="s">
        <v>146</v>
      </c>
      <c r="J208" s="2" t="s">
        <v>49</v>
      </c>
      <c r="L208" s="3" t="s">
        <v>352</v>
      </c>
      <c r="N208" s="18"/>
      <c r="S208" s="191">
        <v>0</v>
      </c>
      <c r="T208" s="191">
        <v>0</v>
      </c>
      <c r="U208" s="191">
        <v>0</v>
      </c>
      <c r="V208" s="191">
        <v>0</v>
      </c>
      <c r="W208" s="191">
        <v>0</v>
      </c>
      <c r="X208" s="191">
        <v>0</v>
      </c>
      <c r="Y208" s="191">
        <v>0</v>
      </c>
      <c r="Z208" s="191">
        <v>0</v>
      </c>
      <c r="AA208" s="191">
        <v>0</v>
      </c>
      <c r="AB208" s="191">
        <v>0</v>
      </c>
      <c r="AC208" s="191">
        <v>0</v>
      </c>
      <c r="AD208" s="191">
        <v>0</v>
      </c>
      <c r="AE208" s="1"/>
      <c r="AF208" s="1"/>
      <c r="AG208" s="1"/>
      <c r="AH208" s="1"/>
      <c r="AI208" s="1"/>
      <c r="AJ208" s="1"/>
      <c r="AK208" s="1"/>
      <c r="AL208" s="1"/>
      <c r="AM208" s="1"/>
      <c r="AN208" s="1"/>
      <c r="AO208" s="1"/>
    </row>
    <row r="209" spans="4:41" x14ac:dyDescent="0.2">
      <c r="E209" s="1" t="s">
        <v>254</v>
      </c>
      <c r="J209" s="2" t="s">
        <v>49</v>
      </c>
      <c r="N209" s="18"/>
      <c r="S209" s="191">
        <v>0</v>
      </c>
      <c r="T209" s="191">
        <v>0</v>
      </c>
      <c r="U209" s="191">
        <v>0</v>
      </c>
      <c r="V209" s="191">
        <v>0</v>
      </c>
      <c r="W209" s="191">
        <v>0</v>
      </c>
      <c r="X209" s="191">
        <v>0</v>
      </c>
      <c r="Y209" s="191">
        <v>0</v>
      </c>
      <c r="Z209" s="191">
        <v>0</v>
      </c>
      <c r="AA209" s="191">
        <v>0</v>
      </c>
      <c r="AB209" s="191">
        <v>0</v>
      </c>
      <c r="AC209" s="191">
        <v>0</v>
      </c>
      <c r="AD209" s="191">
        <v>0</v>
      </c>
      <c r="AE209" s="1"/>
      <c r="AF209" s="1"/>
      <c r="AG209" s="1"/>
      <c r="AH209" s="1"/>
      <c r="AI209" s="1"/>
      <c r="AJ209" s="1"/>
      <c r="AK209" s="1"/>
      <c r="AL209" s="1"/>
      <c r="AM209" s="1"/>
      <c r="AN209" s="1"/>
      <c r="AO209" s="1"/>
    </row>
    <row r="210" spans="4:41" x14ac:dyDescent="0.2">
      <c r="E210" s="1" t="s">
        <v>255</v>
      </c>
      <c r="J210" s="2" t="s">
        <v>49</v>
      </c>
      <c r="N210" s="18"/>
      <c r="S210" s="191">
        <v>0</v>
      </c>
      <c r="T210" s="191">
        <v>0</v>
      </c>
      <c r="U210" s="191">
        <v>0</v>
      </c>
      <c r="V210" s="191">
        <v>0</v>
      </c>
      <c r="W210" s="191">
        <v>0.03</v>
      </c>
      <c r="X210" s="191">
        <v>0.03</v>
      </c>
      <c r="Y210" s="191">
        <v>7.0000000000000007E-2</v>
      </c>
      <c r="Z210" s="191">
        <v>7.0000000000000007E-2</v>
      </c>
      <c r="AA210" s="191">
        <v>7.0000000000000007E-2</v>
      </c>
      <c r="AB210" s="191">
        <v>7.0000000000000007E-2</v>
      </c>
      <c r="AC210" s="191">
        <v>7.0000000000000007E-2</v>
      </c>
      <c r="AD210" s="191">
        <v>0.112</v>
      </c>
      <c r="AE210" s="1"/>
      <c r="AF210" s="1"/>
      <c r="AG210" s="1">
        <v>0.14200000000000002</v>
      </c>
      <c r="AH210" s="1"/>
      <c r="AI210" s="1"/>
      <c r="AJ210" s="1"/>
      <c r="AK210" s="1"/>
      <c r="AL210" s="1"/>
      <c r="AM210" s="1"/>
      <c r="AN210" s="1"/>
      <c r="AO210" s="1"/>
    </row>
    <row r="211" spans="4:41" x14ac:dyDescent="0.2">
      <c r="N211" s="18"/>
      <c r="S211" s="191">
        <v>0</v>
      </c>
      <c r="T211" s="191">
        <v>0</v>
      </c>
      <c r="U211" s="191">
        <v>0</v>
      </c>
      <c r="V211" s="191">
        <v>0</v>
      </c>
      <c r="W211" s="191">
        <v>0</v>
      </c>
      <c r="X211" s="191">
        <v>0</v>
      </c>
      <c r="Y211" s="191">
        <v>0</v>
      </c>
      <c r="Z211" s="191">
        <v>0</v>
      </c>
      <c r="AA211" s="191">
        <v>0</v>
      </c>
      <c r="AB211" s="191">
        <v>0</v>
      </c>
      <c r="AC211" s="191">
        <v>0</v>
      </c>
      <c r="AD211" s="191">
        <v>0</v>
      </c>
      <c r="AE211" s="1"/>
      <c r="AF211" s="1"/>
      <c r="AG211" s="1"/>
      <c r="AH211" s="1"/>
      <c r="AI211" s="1"/>
      <c r="AJ211" s="1"/>
      <c r="AK211" s="1"/>
      <c r="AL211" s="1"/>
      <c r="AM211" s="1"/>
      <c r="AN211" s="1"/>
      <c r="AO211" s="1"/>
    </row>
    <row r="212" spans="4:41" x14ac:dyDescent="0.2">
      <c r="N212" s="18"/>
      <c r="S212" s="206"/>
      <c r="T212" s="206"/>
      <c r="U212" s="206"/>
      <c r="V212" s="206"/>
      <c r="W212" s="206"/>
      <c r="X212" s="206"/>
      <c r="Y212" s="206"/>
      <c r="Z212" s="206"/>
      <c r="AA212" s="206"/>
      <c r="AB212" s="206"/>
      <c r="AC212" s="206"/>
      <c r="AD212" s="206"/>
      <c r="AE212" s="1"/>
      <c r="AF212" s="1"/>
      <c r="AG212" s="1"/>
      <c r="AH212" s="1"/>
      <c r="AI212" s="1"/>
      <c r="AJ212" s="1"/>
      <c r="AK212" s="1"/>
      <c r="AL212" s="1"/>
      <c r="AM212" s="1"/>
      <c r="AN212" s="1"/>
      <c r="AO212" s="1"/>
    </row>
    <row r="213" spans="4:41" ht="12.6" x14ac:dyDescent="0.25">
      <c r="D213" s="35" t="s">
        <v>1048</v>
      </c>
      <c r="N213" s="18"/>
      <c r="S213" s="79"/>
      <c r="T213" s="158"/>
      <c r="U213" s="158"/>
      <c r="V213" s="158"/>
      <c r="W213" s="158"/>
      <c r="X213" s="158"/>
      <c r="Y213" s="158"/>
      <c r="Z213" s="158"/>
      <c r="AA213" s="158"/>
      <c r="AB213" s="158"/>
      <c r="AC213" s="158"/>
      <c r="AD213" s="158"/>
      <c r="AE213" s="1"/>
      <c r="AF213" s="1"/>
      <c r="AG213" s="1"/>
      <c r="AH213" s="1"/>
      <c r="AI213" s="1"/>
      <c r="AJ213" s="1"/>
      <c r="AK213" s="1"/>
      <c r="AL213" s="1"/>
      <c r="AM213" s="1"/>
      <c r="AN213" s="1"/>
      <c r="AO213" s="1"/>
    </row>
    <row r="214" spans="4:41" x14ac:dyDescent="0.2">
      <c r="E214" s="1" t="s">
        <v>173</v>
      </c>
      <c r="J214" s="2" t="s">
        <v>1205</v>
      </c>
      <c r="L214" s="3" t="s">
        <v>356</v>
      </c>
      <c r="M214" s="194">
        <v>0</v>
      </c>
      <c r="N214" s="18"/>
      <c r="S214" s="79"/>
      <c r="T214" s="158"/>
      <c r="U214" s="158"/>
      <c r="V214" s="158"/>
      <c r="W214" s="158"/>
      <c r="X214" s="158"/>
      <c r="Y214" s="158"/>
      <c r="Z214" s="158"/>
      <c r="AA214" s="158"/>
      <c r="AB214" s="158"/>
      <c r="AC214" s="158"/>
      <c r="AD214" s="158"/>
      <c r="AE214" s="1"/>
      <c r="AF214" s="1"/>
      <c r="AG214" s="1"/>
      <c r="AH214" s="1"/>
      <c r="AI214" s="1"/>
      <c r="AJ214" s="1"/>
      <c r="AK214" s="1"/>
      <c r="AL214" s="1"/>
      <c r="AM214" s="1"/>
      <c r="AN214" s="1"/>
      <c r="AO214" s="1"/>
    </row>
    <row r="215" spans="4:41" x14ac:dyDescent="0.2">
      <c r="E215" s="1" t="s">
        <v>243</v>
      </c>
      <c r="J215" s="2" t="s">
        <v>65</v>
      </c>
      <c r="L215" s="3" t="s">
        <v>357</v>
      </c>
      <c r="M215" s="190">
        <v>43831</v>
      </c>
      <c r="N215" s="18"/>
      <c r="S215" s="79"/>
      <c r="T215" s="158"/>
      <c r="U215" s="158"/>
      <c r="V215" s="158"/>
      <c r="W215" s="158"/>
      <c r="X215" s="158"/>
      <c r="Y215" s="158"/>
      <c r="Z215" s="158"/>
      <c r="AA215" s="158"/>
      <c r="AB215" s="158"/>
      <c r="AC215" s="158"/>
      <c r="AD215" s="158"/>
      <c r="AE215" s="1"/>
      <c r="AF215" s="1"/>
      <c r="AG215" s="1"/>
      <c r="AH215" s="1"/>
      <c r="AI215" s="1"/>
      <c r="AJ215" s="1"/>
      <c r="AK215" s="1"/>
      <c r="AL215" s="1"/>
      <c r="AM215" s="1"/>
      <c r="AN215" s="1"/>
      <c r="AO215" s="1"/>
    </row>
    <row r="216" spans="4:41" x14ac:dyDescent="0.2">
      <c r="E216" s="1" t="s">
        <v>244</v>
      </c>
      <c r="J216" s="2" t="s">
        <v>65</v>
      </c>
      <c r="L216" s="3" t="s">
        <v>358</v>
      </c>
      <c r="M216" s="190">
        <v>44196</v>
      </c>
      <c r="N216" s="18"/>
      <c r="S216" s="79"/>
      <c r="T216" s="158"/>
      <c r="U216" s="158"/>
      <c r="V216" s="158"/>
      <c r="W216" s="158"/>
      <c r="X216" s="158"/>
      <c r="Y216" s="158"/>
      <c r="Z216" s="158"/>
      <c r="AA216" s="158"/>
      <c r="AB216" s="158"/>
      <c r="AC216" s="158"/>
      <c r="AD216" s="158"/>
      <c r="AE216" s="1"/>
      <c r="AF216" s="1"/>
      <c r="AG216" s="1"/>
      <c r="AH216" s="1"/>
      <c r="AI216" s="1"/>
      <c r="AJ216" s="1"/>
      <c r="AK216" s="1"/>
      <c r="AL216" s="1"/>
      <c r="AM216" s="1"/>
      <c r="AN216" s="1"/>
      <c r="AO216" s="1"/>
    </row>
    <row r="217" spans="4:41" x14ac:dyDescent="0.2">
      <c r="E217" s="1" t="s">
        <v>150</v>
      </c>
      <c r="J217" s="2" t="s">
        <v>49</v>
      </c>
      <c r="L217" s="3" t="s">
        <v>359</v>
      </c>
      <c r="M217" s="191">
        <v>5.0000000000000001E-3</v>
      </c>
      <c r="N217" s="18"/>
      <c r="S217" s="79"/>
      <c r="T217" s="158"/>
      <c r="U217" s="158"/>
      <c r="V217" s="158"/>
      <c r="W217" s="158"/>
      <c r="X217" s="158"/>
      <c r="Y217" s="158"/>
      <c r="Z217" s="158"/>
      <c r="AA217" s="158"/>
      <c r="AB217" s="158"/>
      <c r="AC217" s="158"/>
      <c r="AD217" s="158"/>
      <c r="AE217" s="1"/>
      <c r="AF217" s="1"/>
      <c r="AG217" s="1"/>
      <c r="AH217" s="1"/>
      <c r="AI217" s="1"/>
      <c r="AJ217" s="1"/>
      <c r="AK217" s="1"/>
      <c r="AL217" s="1"/>
      <c r="AM217" s="1"/>
      <c r="AN217" s="1"/>
      <c r="AO217" s="1"/>
    </row>
    <row r="218" spans="4:41" x14ac:dyDescent="0.2">
      <c r="E218" s="1" t="s">
        <v>149</v>
      </c>
      <c r="J218" s="2" t="s">
        <v>49</v>
      </c>
      <c r="L218" s="3" t="s">
        <v>360</v>
      </c>
      <c r="M218" s="191">
        <v>5.0000000000000001E-3</v>
      </c>
      <c r="N218" s="18"/>
      <c r="S218" s="79"/>
      <c r="T218" s="158"/>
      <c r="U218" s="158"/>
      <c r="V218" s="158"/>
      <c r="W218" s="158"/>
      <c r="X218" s="158"/>
      <c r="Y218" s="158"/>
      <c r="Z218" s="158"/>
      <c r="AA218" s="158"/>
      <c r="AB218" s="158"/>
      <c r="AC218" s="158"/>
      <c r="AD218" s="158"/>
      <c r="AE218" s="1"/>
      <c r="AF218" s="1"/>
      <c r="AG218" s="1"/>
      <c r="AH218" s="1"/>
      <c r="AI218" s="1"/>
      <c r="AJ218" s="1"/>
      <c r="AK218" s="1"/>
      <c r="AL218" s="1"/>
      <c r="AM218" s="1"/>
      <c r="AN218" s="1"/>
      <c r="AO218" s="1"/>
    </row>
    <row r="219" spans="4:41" x14ac:dyDescent="0.2">
      <c r="E219" s="1" t="s">
        <v>171</v>
      </c>
      <c r="J219" s="2" t="s">
        <v>49</v>
      </c>
      <c r="L219" s="3" t="s">
        <v>361</v>
      </c>
      <c r="N219" s="18"/>
      <c r="S219" s="198">
        <v>8.9999999999999993E-3</v>
      </c>
      <c r="T219" s="198">
        <v>8.9999999999999993E-3</v>
      </c>
      <c r="U219" s="198">
        <v>8.9999999999999993E-3</v>
      </c>
      <c r="V219" s="198">
        <v>8.9999999999999993E-3</v>
      </c>
      <c r="W219" s="198">
        <v>8.9999999999999993E-3</v>
      </c>
      <c r="X219" s="198">
        <v>0.01</v>
      </c>
      <c r="Y219" s="198">
        <v>0.01</v>
      </c>
      <c r="Z219" s="198">
        <v>0.01</v>
      </c>
      <c r="AA219" s="198">
        <v>0.01</v>
      </c>
      <c r="AB219" s="198">
        <v>0.01</v>
      </c>
      <c r="AC219" s="198">
        <v>1.0999999999999999E-2</v>
      </c>
      <c r="AD219" s="198">
        <v>1.0999999999999999E-2</v>
      </c>
      <c r="AE219" s="1"/>
      <c r="AF219" s="1"/>
      <c r="AG219" s="1"/>
      <c r="AH219" s="1"/>
      <c r="AI219" s="1"/>
      <c r="AJ219" s="1"/>
      <c r="AK219" s="1"/>
      <c r="AL219" s="1"/>
      <c r="AM219" s="1"/>
      <c r="AN219" s="1"/>
      <c r="AO219" s="1"/>
    </row>
    <row r="220" spans="4:41" x14ac:dyDescent="0.2">
      <c r="E220" s="1" t="s">
        <v>152</v>
      </c>
      <c r="J220" s="2" t="s">
        <v>20</v>
      </c>
      <c r="L220" s="3" t="s">
        <v>362</v>
      </c>
      <c r="N220" s="18"/>
      <c r="S220" s="193">
        <v>12</v>
      </c>
      <c r="T220" s="193">
        <v>12</v>
      </c>
      <c r="U220" s="193">
        <v>12</v>
      </c>
      <c r="V220" s="193">
        <v>12</v>
      </c>
      <c r="W220" s="193">
        <v>12</v>
      </c>
      <c r="X220" s="193">
        <v>12</v>
      </c>
      <c r="Y220" s="193">
        <v>12</v>
      </c>
      <c r="Z220" s="193">
        <v>12</v>
      </c>
      <c r="AA220" s="193">
        <v>12</v>
      </c>
      <c r="AB220" s="193">
        <v>12</v>
      </c>
      <c r="AC220" s="193">
        <v>12</v>
      </c>
      <c r="AD220" s="193">
        <v>12</v>
      </c>
      <c r="AE220" s="1"/>
      <c r="AF220" s="1"/>
      <c r="AG220" s="1"/>
      <c r="AH220" s="1"/>
      <c r="AI220" s="1"/>
      <c r="AJ220" s="1"/>
      <c r="AK220" s="1"/>
      <c r="AL220" s="1"/>
      <c r="AM220" s="1"/>
      <c r="AN220" s="1"/>
      <c r="AO220" s="1"/>
    </row>
    <row r="221" spans="4:41" x14ac:dyDescent="0.2">
      <c r="N221" s="18"/>
      <c r="S221" s="79"/>
      <c r="T221" s="158"/>
      <c r="U221" s="158"/>
      <c r="V221" s="158"/>
      <c r="W221" s="158"/>
      <c r="X221" s="158"/>
      <c r="Y221" s="158"/>
      <c r="Z221" s="158"/>
      <c r="AA221" s="158"/>
      <c r="AB221" s="158"/>
      <c r="AC221" s="158"/>
      <c r="AD221" s="158"/>
      <c r="AE221" s="1"/>
      <c r="AF221" s="1"/>
      <c r="AG221" s="1"/>
      <c r="AH221" s="1"/>
      <c r="AI221" s="1"/>
      <c r="AJ221" s="1"/>
      <c r="AK221" s="1"/>
      <c r="AL221" s="1"/>
      <c r="AM221" s="1"/>
      <c r="AN221" s="1"/>
      <c r="AO221" s="1"/>
    </row>
    <row r="222" spans="4:41" x14ac:dyDescent="0.2">
      <c r="E222" s="1" t="s">
        <v>245</v>
      </c>
      <c r="J222" s="2" t="s">
        <v>1205</v>
      </c>
      <c r="M222" s="25">
        <f>Inputs_TL9_Maximum_Facility</f>
        <v>0</v>
      </c>
      <c r="N222" s="18"/>
      <c r="S222" s="79"/>
      <c r="T222" s="158"/>
      <c r="U222" s="158"/>
      <c r="V222" s="158"/>
      <c r="W222" s="158"/>
      <c r="X222" s="158"/>
      <c r="Y222" s="158"/>
      <c r="Z222" s="158"/>
      <c r="AA222" s="158"/>
      <c r="AB222" s="158"/>
      <c r="AC222" s="158"/>
      <c r="AD222" s="158"/>
      <c r="AE222" s="1"/>
      <c r="AF222" s="1"/>
      <c r="AG222" s="1"/>
      <c r="AH222" s="1"/>
      <c r="AI222" s="1"/>
      <c r="AJ222" s="1"/>
      <c r="AK222" s="1"/>
      <c r="AL222" s="1"/>
      <c r="AM222" s="1"/>
      <c r="AN222" s="1"/>
      <c r="AO222" s="1"/>
    </row>
    <row r="223" spans="4:41" x14ac:dyDescent="0.2">
      <c r="E223" s="1" t="s">
        <v>246</v>
      </c>
      <c r="J223" s="2" t="s">
        <v>49</v>
      </c>
      <c r="N223" s="18"/>
      <c r="S223" s="158">
        <v>0</v>
      </c>
      <c r="T223" s="197">
        <v>1</v>
      </c>
      <c r="U223" s="158">
        <v>0</v>
      </c>
      <c r="V223" s="158">
        <v>0</v>
      </c>
      <c r="W223" s="158">
        <v>0</v>
      </c>
      <c r="X223" s="158">
        <v>0</v>
      </c>
      <c r="Y223" s="158">
        <v>0</v>
      </c>
      <c r="Z223" s="158">
        <v>0</v>
      </c>
      <c r="AA223" s="158">
        <v>0</v>
      </c>
      <c r="AB223" s="158">
        <v>0</v>
      </c>
      <c r="AC223" s="158">
        <v>0</v>
      </c>
      <c r="AD223" s="158">
        <v>0</v>
      </c>
      <c r="AE223" s="1"/>
      <c r="AF223" s="1"/>
      <c r="AG223" s="1"/>
      <c r="AH223" s="1"/>
      <c r="AI223" s="1"/>
      <c r="AJ223" s="1"/>
      <c r="AK223" s="1"/>
      <c r="AL223" s="1"/>
      <c r="AM223" s="1"/>
      <c r="AN223" s="1"/>
      <c r="AO223" s="1"/>
    </row>
    <row r="224" spans="4:41" x14ac:dyDescent="0.2">
      <c r="E224" s="1" t="s">
        <v>163</v>
      </c>
      <c r="J224" s="2" t="s">
        <v>1205</v>
      </c>
      <c r="L224" s="3" t="s">
        <v>363</v>
      </c>
      <c r="N224" s="18"/>
      <c r="S224" s="25">
        <f>S223*$M222</f>
        <v>0</v>
      </c>
      <c r="T224" s="25">
        <f t="shared" ref="T224:AD224" si="26">T223*$M222</f>
        <v>0</v>
      </c>
      <c r="U224" s="25">
        <f t="shared" si="26"/>
        <v>0</v>
      </c>
      <c r="V224" s="25">
        <f t="shared" si="26"/>
        <v>0</v>
      </c>
      <c r="W224" s="25">
        <f t="shared" si="26"/>
        <v>0</v>
      </c>
      <c r="X224" s="25">
        <f t="shared" si="26"/>
        <v>0</v>
      </c>
      <c r="Y224" s="25">
        <f t="shared" si="26"/>
        <v>0</v>
      </c>
      <c r="Z224" s="25">
        <f t="shared" si="26"/>
        <v>0</v>
      </c>
      <c r="AA224" s="25">
        <f t="shared" si="26"/>
        <v>0</v>
      </c>
      <c r="AB224" s="25">
        <f t="shared" si="26"/>
        <v>0</v>
      </c>
      <c r="AC224" s="25">
        <f t="shared" si="26"/>
        <v>0</v>
      </c>
      <c r="AD224" s="25">
        <f t="shared" si="26"/>
        <v>0</v>
      </c>
      <c r="AE224" s="1"/>
      <c r="AF224" s="1"/>
      <c r="AG224" s="1"/>
      <c r="AH224" s="1"/>
      <c r="AI224" s="1"/>
      <c r="AJ224" s="1"/>
      <c r="AK224" s="1"/>
      <c r="AL224" s="1"/>
      <c r="AM224" s="1"/>
      <c r="AN224" s="1"/>
      <c r="AO224" s="1"/>
    </row>
    <row r="225" spans="4:41" x14ac:dyDescent="0.2">
      <c r="E225" s="1" t="s">
        <v>146</v>
      </c>
      <c r="J225" s="2" t="s">
        <v>49</v>
      </c>
      <c r="L225" s="3" t="s">
        <v>364</v>
      </c>
      <c r="N225" s="18"/>
      <c r="S225" s="191">
        <v>0</v>
      </c>
      <c r="T225" s="191">
        <v>0</v>
      </c>
      <c r="U225" s="191">
        <v>0</v>
      </c>
      <c r="V225" s="191">
        <v>0</v>
      </c>
      <c r="W225" s="191">
        <v>0</v>
      </c>
      <c r="X225" s="191">
        <v>0</v>
      </c>
      <c r="Y225" s="191">
        <v>0</v>
      </c>
      <c r="Z225" s="191">
        <v>0</v>
      </c>
      <c r="AA225" s="191">
        <v>0</v>
      </c>
      <c r="AB225" s="191">
        <v>0</v>
      </c>
      <c r="AC225" s="191">
        <v>0</v>
      </c>
      <c r="AD225" s="191">
        <v>0</v>
      </c>
      <c r="AE225" s="1"/>
      <c r="AF225" s="1"/>
      <c r="AG225" s="1"/>
      <c r="AH225" s="1"/>
      <c r="AI225" s="1"/>
      <c r="AJ225" s="1"/>
      <c r="AK225" s="1"/>
      <c r="AL225" s="1"/>
      <c r="AM225" s="1"/>
      <c r="AN225" s="1"/>
      <c r="AO225" s="1"/>
    </row>
    <row r="226" spans="4:41" x14ac:dyDescent="0.2">
      <c r="N226" s="18"/>
      <c r="S226" s="206"/>
      <c r="T226" s="206"/>
      <c r="U226" s="206"/>
      <c r="V226" s="206"/>
      <c r="W226" s="206"/>
      <c r="X226" s="206"/>
      <c r="Y226" s="206"/>
      <c r="Z226" s="206"/>
      <c r="AA226" s="206"/>
      <c r="AB226" s="206"/>
      <c r="AC226" s="206"/>
      <c r="AD226" s="206"/>
      <c r="AE226" s="1"/>
      <c r="AF226" s="1"/>
      <c r="AG226" s="1"/>
      <c r="AH226" s="1"/>
      <c r="AI226" s="1"/>
      <c r="AJ226" s="1"/>
      <c r="AK226" s="1"/>
      <c r="AL226" s="1"/>
      <c r="AM226" s="1"/>
      <c r="AN226" s="1"/>
      <c r="AO226" s="1"/>
    </row>
    <row r="227" spans="4:41" ht="12.6" x14ac:dyDescent="0.25">
      <c r="D227" s="35" t="s">
        <v>1048</v>
      </c>
      <c r="N227" s="18"/>
      <c r="S227" s="79"/>
      <c r="T227" s="158"/>
      <c r="U227" s="158"/>
      <c r="V227" s="158"/>
      <c r="W227" s="158"/>
      <c r="X227" s="158"/>
      <c r="Y227" s="158"/>
      <c r="Z227" s="158"/>
      <c r="AA227" s="158"/>
      <c r="AB227" s="158"/>
      <c r="AC227" s="158"/>
      <c r="AD227" s="158"/>
      <c r="AE227" s="1"/>
      <c r="AF227" s="1"/>
      <c r="AG227" s="1"/>
      <c r="AH227" s="1"/>
      <c r="AI227" s="1"/>
      <c r="AJ227" s="1"/>
      <c r="AK227" s="1"/>
      <c r="AL227" s="1"/>
      <c r="AM227" s="1"/>
      <c r="AN227" s="1"/>
      <c r="AO227" s="1"/>
    </row>
    <row r="228" spans="4:41" x14ac:dyDescent="0.2">
      <c r="E228" s="1" t="s">
        <v>173</v>
      </c>
      <c r="J228" s="2" t="s">
        <v>1205</v>
      </c>
      <c r="L228" s="3" t="s">
        <v>365</v>
      </c>
      <c r="M228" s="194">
        <v>0</v>
      </c>
      <c r="N228" s="18"/>
      <c r="S228" s="79"/>
      <c r="T228" s="158"/>
      <c r="U228" s="158"/>
      <c r="V228" s="158"/>
      <c r="W228" s="158"/>
      <c r="X228" s="158"/>
      <c r="Y228" s="158"/>
      <c r="Z228" s="158"/>
      <c r="AA228" s="158"/>
      <c r="AB228" s="158"/>
      <c r="AC228" s="158"/>
      <c r="AD228" s="158"/>
      <c r="AE228" s="1"/>
      <c r="AF228" s="1"/>
      <c r="AG228" s="1"/>
      <c r="AH228" s="1"/>
      <c r="AI228" s="1"/>
      <c r="AJ228" s="1"/>
      <c r="AK228" s="1"/>
      <c r="AL228" s="1"/>
      <c r="AM228" s="1"/>
      <c r="AN228" s="1"/>
      <c r="AO228" s="1"/>
    </row>
    <row r="229" spans="4:41" x14ac:dyDescent="0.2">
      <c r="E229" s="1" t="s">
        <v>243</v>
      </c>
      <c r="J229" s="2" t="s">
        <v>65</v>
      </c>
      <c r="L229" s="3" t="s">
        <v>366</v>
      </c>
      <c r="M229" s="190">
        <v>43831</v>
      </c>
      <c r="N229" s="18"/>
      <c r="S229" s="79"/>
      <c r="T229" s="158"/>
      <c r="U229" s="158"/>
      <c r="V229" s="158"/>
      <c r="W229" s="158"/>
      <c r="X229" s="158"/>
      <c r="Y229" s="158"/>
      <c r="Z229" s="158"/>
      <c r="AA229" s="158"/>
      <c r="AB229" s="158"/>
      <c r="AC229" s="158"/>
      <c r="AD229" s="158"/>
      <c r="AE229" s="1"/>
      <c r="AF229" s="1"/>
      <c r="AG229" s="1"/>
      <c r="AH229" s="1"/>
      <c r="AI229" s="1"/>
      <c r="AJ229" s="1"/>
      <c r="AK229" s="1"/>
      <c r="AL229" s="1"/>
      <c r="AM229" s="1"/>
      <c r="AN229" s="1"/>
      <c r="AO229" s="1"/>
    </row>
    <row r="230" spans="4:41" x14ac:dyDescent="0.2">
      <c r="E230" s="1" t="s">
        <v>244</v>
      </c>
      <c r="J230" s="2" t="s">
        <v>65</v>
      </c>
      <c r="L230" s="3" t="s">
        <v>367</v>
      </c>
      <c r="M230" s="190">
        <v>44196</v>
      </c>
      <c r="N230" s="18"/>
      <c r="S230" s="79"/>
      <c r="T230" s="158"/>
      <c r="U230" s="158"/>
      <c r="V230" s="158"/>
      <c r="W230" s="158"/>
      <c r="X230" s="158"/>
      <c r="Y230" s="158"/>
      <c r="Z230" s="158"/>
      <c r="AA230" s="158"/>
      <c r="AB230" s="158"/>
      <c r="AC230" s="158"/>
      <c r="AD230" s="158"/>
      <c r="AE230" s="1"/>
      <c r="AF230" s="1"/>
      <c r="AG230" s="1"/>
      <c r="AH230" s="1"/>
      <c r="AI230" s="1"/>
      <c r="AJ230" s="1"/>
      <c r="AK230" s="1"/>
      <c r="AL230" s="1"/>
      <c r="AM230" s="1"/>
      <c r="AN230" s="1"/>
      <c r="AO230" s="1"/>
    </row>
    <row r="231" spans="4:41" x14ac:dyDescent="0.2">
      <c r="E231" s="1" t="s">
        <v>150</v>
      </c>
      <c r="J231" s="2" t="s">
        <v>49</v>
      </c>
      <c r="L231" s="3" t="s">
        <v>368</v>
      </c>
      <c r="M231" s="191">
        <v>5.0000000000000001E-3</v>
      </c>
      <c r="N231" s="18"/>
      <c r="S231" s="79"/>
      <c r="T231" s="158"/>
      <c r="U231" s="158"/>
      <c r="V231" s="158"/>
      <c r="W231" s="158"/>
      <c r="X231" s="158"/>
      <c r="Y231" s="158"/>
      <c r="Z231" s="158"/>
      <c r="AA231" s="158"/>
      <c r="AB231" s="158"/>
      <c r="AC231" s="158"/>
      <c r="AD231" s="158"/>
      <c r="AE231" s="1"/>
      <c r="AF231" s="1"/>
      <c r="AG231" s="1"/>
      <c r="AH231" s="1"/>
      <c r="AI231" s="1"/>
      <c r="AJ231" s="1"/>
      <c r="AK231" s="1"/>
      <c r="AL231" s="1"/>
      <c r="AM231" s="1"/>
      <c r="AN231" s="1"/>
      <c r="AO231" s="1"/>
    </row>
    <row r="232" spans="4:41" x14ac:dyDescent="0.2">
      <c r="E232" s="1" t="s">
        <v>149</v>
      </c>
      <c r="J232" s="2" t="s">
        <v>49</v>
      </c>
      <c r="L232" s="3" t="s">
        <v>369</v>
      </c>
      <c r="M232" s="191">
        <v>0</v>
      </c>
      <c r="N232" s="18"/>
      <c r="S232" s="79"/>
      <c r="T232" s="158"/>
      <c r="U232" s="158"/>
      <c r="V232" s="158"/>
      <c r="W232" s="158"/>
      <c r="X232" s="158"/>
      <c r="Y232" s="158"/>
      <c r="Z232" s="158"/>
      <c r="AA232" s="158"/>
      <c r="AB232" s="158"/>
      <c r="AC232" s="158"/>
      <c r="AD232" s="158"/>
      <c r="AE232" s="1"/>
      <c r="AF232" s="1"/>
      <c r="AG232" s="1"/>
      <c r="AH232" s="1"/>
      <c r="AI232" s="1"/>
      <c r="AJ232" s="1"/>
      <c r="AK232" s="1"/>
      <c r="AL232" s="1"/>
      <c r="AM232" s="1"/>
      <c r="AN232" s="1"/>
      <c r="AO232" s="1"/>
    </row>
    <row r="233" spans="4:41" x14ac:dyDescent="0.2">
      <c r="E233" s="1" t="s">
        <v>171</v>
      </c>
      <c r="J233" s="2" t="s">
        <v>49</v>
      </c>
      <c r="L233" s="3" t="s">
        <v>370</v>
      </c>
      <c r="N233" s="18"/>
      <c r="S233" s="198">
        <v>8.9999999999999993E-3</v>
      </c>
      <c r="T233" s="198">
        <v>8.9999999999999993E-3</v>
      </c>
      <c r="U233" s="198">
        <v>8.9999999999999993E-3</v>
      </c>
      <c r="V233" s="198">
        <v>8.9999999999999993E-3</v>
      </c>
      <c r="W233" s="198">
        <v>8.9999999999999993E-3</v>
      </c>
      <c r="X233" s="198">
        <v>0.01</v>
      </c>
      <c r="Y233" s="198">
        <v>0.01</v>
      </c>
      <c r="Z233" s="198">
        <v>0.01</v>
      </c>
      <c r="AA233" s="198">
        <v>0.01</v>
      </c>
      <c r="AB233" s="198">
        <v>0.01</v>
      </c>
      <c r="AC233" s="198">
        <v>1.0999999999999999E-2</v>
      </c>
      <c r="AD233" s="198">
        <v>1.0999999999999999E-2</v>
      </c>
      <c r="AE233" s="1"/>
      <c r="AF233" s="1"/>
      <c r="AG233" s="1"/>
      <c r="AH233" s="1"/>
      <c r="AI233" s="1"/>
      <c r="AJ233" s="1"/>
      <c r="AK233" s="1"/>
      <c r="AL233" s="1"/>
      <c r="AM233" s="1"/>
      <c r="AN233" s="1"/>
      <c r="AO233" s="1"/>
    </row>
    <row r="234" spans="4:41" x14ac:dyDescent="0.2">
      <c r="E234" s="1" t="s">
        <v>152</v>
      </c>
      <c r="J234" s="2" t="s">
        <v>20</v>
      </c>
      <c r="L234" s="3" t="s">
        <v>371</v>
      </c>
      <c r="N234" s="18"/>
      <c r="S234" s="193">
        <v>12</v>
      </c>
      <c r="T234" s="193">
        <v>12</v>
      </c>
      <c r="U234" s="193">
        <v>12</v>
      </c>
      <c r="V234" s="193">
        <v>12</v>
      </c>
      <c r="W234" s="193">
        <v>12</v>
      </c>
      <c r="X234" s="193">
        <v>12</v>
      </c>
      <c r="Y234" s="193">
        <v>12</v>
      </c>
      <c r="Z234" s="193">
        <v>12</v>
      </c>
      <c r="AA234" s="193">
        <v>12</v>
      </c>
      <c r="AB234" s="193">
        <v>12</v>
      </c>
      <c r="AC234" s="193">
        <v>12</v>
      </c>
      <c r="AD234" s="193">
        <v>12</v>
      </c>
      <c r="AE234" s="1"/>
      <c r="AF234" s="1"/>
      <c r="AG234" s="1"/>
      <c r="AH234" s="1"/>
      <c r="AI234" s="1"/>
      <c r="AJ234" s="1"/>
      <c r="AK234" s="1"/>
      <c r="AL234" s="1"/>
      <c r="AM234" s="1"/>
      <c r="AN234" s="1"/>
      <c r="AO234" s="1"/>
    </row>
    <row r="235" spans="4:41" x14ac:dyDescent="0.2">
      <c r="N235" s="18"/>
      <c r="S235" s="79"/>
      <c r="T235" s="158"/>
      <c r="U235" s="158"/>
      <c r="V235" s="158"/>
      <c r="W235" s="158"/>
      <c r="X235" s="158"/>
      <c r="Y235" s="158"/>
      <c r="Z235" s="158"/>
      <c r="AA235" s="158"/>
      <c r="AB235" s="158"/>
      <c r="AC235" s="158"/>
      <c r="AD235" s="158"/>
      <c r="AE235" s="1"/>
      <c r="AF235" s="1"/>
      <c r="AG235" s="1"/>
      <c r="AH235" s="1"/>
      <c r="AI235" s="1"/>
      <c r="AJ235" s="1"/>
      <c r="AK235" s="1"/>
      <c r="AL235" s="1"/>
      <c r="AM235" s="1"/>
      <c r="AN235" s="1"/>
      <c r="AO235" s="1"/>
    </row>
    <row r="236" spans="4:41" x14ac:dyDescent="0.2">
      <c r="E236" s="1" t="s">
        <v>245</v>
      </c>
      <c r="J236" s="2" t="s">
        <v>1205</v>
      </c>
      <c r="M236" s="25">
        <f>Inputs_TL10_Maximum_Facility</f>
        <v>0</v>
      </c>
      <c r="N236" s="18"/>
      <c r="S236" s="79"/>
      <c r="T236" s="158"/>
      <c r="U236" s="158"/>
      <c r="V236" s="158"/>
      <c r="W236" s="158"/>
      <c r="X236" s="158"/>
      <c r="Y236" s="158"/>
      <c r="Z236" s="158"/>
      <c r="AA236" s="158"/>
      <c r="AB236" s="158"/>
      <c r="AC236" s="158"/>
      <c r="AD236" s="158"/>
      <c r="AE236" s="1"/>
      <c r="AF236" s="1"/>
      <c r="AG236" s="1"/>
      <c r="AH236" s="1"/>
      <c r="AI236" s="1"/>
      <c r="AJ236" s="1"/>
      <c r="AK236" s="1"/>
      <c r="AL236" s="1"/>
      <c r="AM236" s="1"/>
      <c r="AN236" s="1"/>
      <c r="AO236" s="1"/>
    </row>
    <row r="237" spans="4:41" x14ac:dyDescent="0.2">
      <c r="E237" s="1" t="s">
        <v>246</v>
      </c>
      <c r="J237" s="2" t="s">
        <v>49</v>
      </c>
      <c r="N237" s="18"/>
      <c r="S237" s="158">
        <v>0</v>
      </c>
      <c r="T237" s="197">
        <v>1</v>
      </c>
      <c r="U237" s="158">
        <v>0</v>
      </c>
      <c r="V237" s="158">
        <v>0</v>
      </c>
      <c r="W237" s="158">
        <v>0</v>
      </c>
      <c r="X237" s="158">
        <v>0</v>
      </c>
      <c r="Y237" s="158">
        <v>0</v>
      </c>
      <c r="Z237" s="158">
        <v>0</v>
      </c>
      <c r="AA237" s="158">
        <v>0</v>
      </c>
      <c r="AB237" s="158">
        <v>0</v>
      </c>
      <c r="AC237" s="158">
        <v>0</v>
      </c>
      <c r="AD237" s="158">
        <v>0</v>
      </c>
      <c r="AE237" s="1"/>
      <c r="AF237" s="1"/>
      <c r="AG237" s="1"/>
      <c r="AH237" s="1"/>
      <c r="AI237" s="1"/>
      <c r="AJ237" s="1"/>
      <c r="AK237" s="1"/>
      <c r="AL237" s="1"/>
      <c r="AM237" s="1"/>
      <c r="AN237" s="1"/>
      <c r="AO237" s="1"/>
    </row>
    <row r="238" spans="4:41" x14ac:dyDescent="0.2">
      <c r="E238" s="1" t="s">
        <v>163</v>
      </c>
      <c r="J238" s="2" t="s">
        <v>1205</v>
      </c>
      <c r="L238" s="3" t="s">
        <v>372</v>
      </c>
      <c r="N238" s="18"/>
      <c r="S238" s="25">
        <f>S237*$M236</f>
        <v>0</v>
      </c>
      <c r="T238" s="25">
        <f>T237*$M236</f>
        <v>0</v>
      </c>
      <c r="U238" s="195">
        <v>0</v>
      </c>
      <c r="V238" s="195">
        <v>0</v>
      </c>
      <c r="W238" s="195">
        <v>0</v>
      </c>
      <c r="X238" s="195">
        <v>0</v>
      </c>
      <c r="Y238" s="195">
        <v>0</v>
      </c>
      <c r="Z238" s="195">
        <v>0</v>
      </c>
      <c r="AA238" s="195">
        <v>0</v>
      </c>
      <c r="AB238" s="195">
        <v>0</v>
      </c>
      <c r="AC238" s="195">
        <v>0</v>
      </c>
      <c r="AD238" s="25">
        <f>AD237*$M236</f>
        <v>0</v>
      </c>
      <c r="AE238" s="1"/>
      <c r="AF238" s="1"/>
      <c r="AG238" s="1"/>
      <c r="AH238" s="1"/>
      <c r="AI238" s="1"/>
      <c r="AJ238" s="1"/>
      <c r="AK238" s="1"/>
      <c r="AL238" s="1"/>
      <c r="AM238" s="1"/>
      <c r="AN238" s="1"/>
      <c r="AO238" s="1"/>
    </row>
    <row r="239" spans="4:41" x14ac:dyDescent="0.2">
      <c r="E239" s="1" t="s">
        <v>146</v>
      </c>
      <c r="J239" s="2" t="s">
        <v>49</v>
      </c>
      <c r="L239" s="3" t="s">
        <v>373</v>
      </c>
      <c r="N239" s="18"/>
      <c r="S239" s="191">
        <v>0</v>
      </c>
      <c r="T239" s="191">
        <v>0</v>
      </c>
      <c r="U239" s="191">
        <v>0</v>
      </c>
      <c r="V239" s="191">
        <v>0</v>
      </c>
      <c r="W239" s="191">
        <v>0</v>
      </c>
      <c r="X239" s="191">
        <v>0</v>
      </c>
      <c r="Y239" s="191">
        <v>0</v>
      </c>
      <c r="Z239" s="191">
        <v>0</v>
      </c>
      <c r="AA239" s="191">
        <v>0</v>
      </c>
      <c r="AB239" s="191">
        <v>0</v>
      </c>
      <c r="AC239" s="191">
        <v>0</v>
      </c>
      <c r="AD239" s="191">
        <v>0</v>
      </c>
      <c r="AE239" s="1"/>
      <c r="AF239" s="1"/>
      <c r="AG239" s="1"/>
      <c r="AH239" s="1"/>
      <c r="AI239" s="1"/>
      <c r="AJ239" s="1"/>
      <c r="AK239" s="1"/>
      <c r="AL239" s="1"/>
      <c r="AM239" s="1"/>
      <c r="AN239" s="1"/>
      <c r="AO239" s="1"/>
    </row>
    <row r="240" spans="4:41" x14ac:dyDescent="0.2">
      <c r="N240" s="18"/>
      <c r="S240" s="206"/>
      <c r="T240" s="206"/>
      <c r="U240" s="206"/>
      <c r="V240" s="206"/>
      <c r="W240" s="206"/>
      <c r="X240" s="206"/>
      <c r="Y240" s="206"/>
      <c r="Z240" s="206"/>
      <c r="AA240" s="206"/>
      <c r="AB240" s="206"/>
      <c r="AC240" s="206"/>
      <c r="AD240" s="206"/>
    </row>
    <row r="241" spans="1:55" ht="12.6" x14ac:dyDescent="0.25">
      <c r="D241" s="35" t="s">
        <v>1048</v>
      </c>
      <c r="N241" s="18"/>
      <c r="S241" s="206"/>
      <c r="T241" s="206"/>
      <c r="U241" s="206"/>
      <c r="V241" s="206"/>
      <c r="W241" s="206"/>
      <c r="X241" s="206"/>
      <c r="Y241" s="206"/>
      <c r="Z241" s="206"/>
      <c r="AA241" s="206"/>
      <c r="AB241" s="206"/>
      <c r="AC241" s="206"/>
      <c r="AD241" s="206"/>
    </row>
    <row r="242" spans="1:55" x14ac:dyDescent="0.2">
      <c r="E242" s="1" t="s">
        <v>173</v>
      </c>
      <c r="J242" s="2" t="s">
        <v>1205</v>
      </c>
      <c r="L242" s="3" t="s">
        <v>415</v>
      </c>
      <c r="M242" s="194">
        <v>0</v>
      </c>
      <c r="N242" s="18"/>
      <c r="S242" s="79"/>
      <c r="T242" s="158"/>
      <c r="U242" s="158"/>
      <c r="V242" s="158"/>
      <c r="W242" s="158"/>
      <c r="X242" s="158"/>
      <c r="Y242" s="158"/>
      <c r="Z242" s="158"/>
      <c r="AA242" s="158"/>
      <c r="AB242" s="158"/>
      <c r="AC242" s="158"/>
      <c r="AD242" s="158"/>
    </row>
    <row r="243" spans="1:55" x14ac:dyDescent="0.2">
      <c r="E243" s="1" t="s">
        <v>243</v>
      </c>
      <c r="J243" s="2" t="s">
        <v>65</v>
      </c>
      <c r="L243" s="3" t="s">
        <v>407</v>
      </c>
      <c r="M243" s="190">
        <v>43831</v>
      </c>
      <c r="N243" s="18"/>
      <c r="S243" s="79"/>
      <c r="T243" s="158"/>
      <c r="U243" s="158"/>
      <c r="V243" s="158"/>
      <c r="W243" s="158"/>
      <c r="X243" s="158"/>
      <c r="Y243" s="158"/>
      <c r="Z243" s="158"/>
      <c r="AA243" s="158"/>
      <c r="AB243" s="158"/>
      <c r="AC243" s="158"/>
      <c r="AD243" s="158"/>
    </row>
    <row r="244" spans="1:55" x14ac:dyDescent="0.2">
      <c r="E244" s="1" t="s">
        <v>244</v>
      </c>
      <c r="J244" s="2" t="s">
        <v>65</v>
      </c>
      <c r="L244" s="3" t="s">
        <v>408</v>
      </c>
      <c r="M244" s="190"/>
      <c r="N244" s="18"/>
      <c r="S244" s="79"/>
      <c r="T244" s="158"/>
      <c r="U244" s="158"/>
      <c r="V244" s="158"/>
      <c r="W244" s="158"/>
      <c r="X244" s="158"/>
      <c r="Y244" s="158"/>
      <c r="Z244" s="158"/>
      <c r="AA244" s="158"/>
      <c r="AB244" s="158"/>
      <c r="AC244" s="158"/>
      <c r="AD244" s="158"/>
    </row>
    <row r="245" spans="1:55" x14ac:dyDescent="0.2">
      <c r="E245" s="1" t="s">
        <v>150</v>
      </c>
      <c r="J245" s="2" t="s">
        <v>49</v>
      </c>
      <c r="L245" s="3" t="s">
        <v>409</v>
      </c>
      <c r="M245" s="198">
        <v>5.0000000000000001E-3</v>
      </c>
      <c r="N245" s="18"/>
      <c r="S245" s="79"/>
      <c r="T245" s="158"/>
      <c r="U245" s="158"/>
      <c r="V245" s="158"/>
      <c r="W245" s="158"/>
      <c r="X245" s="158"/>
      <c r="Y245" s="158"/>
      <c r="Z245" s="158"/>
      <c r="AA245" s="158"/>
      <c r="AB245" s="158"/>
      <c r="AC245" s="158"/>
      <c r="AD245" s="158"/>
    </row>
    <row r="246" spans="1:55" x14ac:dyDescent="0.2">
      <c r="E246" s="1" t="s">
        <v>149</v>
      </c>
      <c r="J246" s="2" t="s">
        <v>49</v>
      </c>
      <c r="L246" s="3" t="s">
        <v>410</v>
      </c>
      <c r="M246" s="191"/>
      <c r="N246" s="18"/>
      <c r="S246" s="79"/>
      <c r="T246" s="158"/>
      <c r="U246" s="158"/>
      <c r="V246" s="158"/>
      <c r="W246" s="158"/>
      <c r="X246" s="158"/>
      <c r="Y246" s="158"/>
      <c r="Z246" s="158"/>
      <c r="AA246" s="158"/>
      <c r="AB246" s="158"/>
      <c r="AC246" s="158"/>
      <c r="AD246" s="158"/>
    </row>
    <row r="247" spans="1:55" x14ac:dyDescent="0.2">
      <c r="E247" s="1" t="s">
        <v>171</v>
      </c>
      <c r="J247" s="2" t="s">
        <v>49</v>
      </c>
      <c r="L247" s="3" t="s">
        <v>411</v>
      </c>
      <c r="N247" s="18"/>
      <c r="R247" s="199">
        <f>COUNT(S247:AC247)</f>
        <v>11</v>
      </c>
      <c r="S247" s="192">
        <v>0.01</v>
      </c>
      <c r="T247" s="192">
        <v>0.01</v>
      </c>
      <c r="U247" s="192">
        <v>0.01</v>
      </c>
      <c r="V247" s="192">
        <v>0.01</v>
      </c>
      <c r="W247" s="192">
        <v>0.01</v>
      </c>
      <c r="X247" s="192">
        <v>0.01</v>
      </c>
      <c r="Y247" s="192">
        <v>0.01</v>
      </c>
      <c r="Z247" s="192">
        <v>0.01</v>
      </c>
      <c r="AA247" s="192">
        <v>0.01</v>
      </c>
      <c r="AB247" s="192">
        <v>0.01</v>
      </c>
      <c r="AC247" s="192">
        <v>0.01</v>
      </c>
      <c r="AD247" s="192">
        <v>0.01</v>
      </c>
    </row>
    <row r="248" spans="1:55" x14ac:dyDescent="0.2">
      <c r="E248" s="1" t="s">
        <v>152</v>
      </c>
      <c r="J248" s="2" t="s">
        <v>20</v>
      </c>
      <c r="L248" s="3" t="s">
        <v>412</v>
      </c>
      <c r="N248" s="18"/>
      <c r="S248" s="193">
        <v>12</v>
      </c>
      <c r="T248" s="193">
        <v>24</v>
      </c>
      <c r="U248" s="193">
        <v>12</v>
      </c>
      <c r="V248" s="193">
        <v>12</v>
      </c>
      <c r="W248" s="193">
        <v>12</v>
      </c>
      <c r="X248" s="193">
        <v>12</v>
      </c>
      <c r="Y248" s="193">
        <v>12</v>
      </c>
      <c r="Z248" s="193">
        <v>12</v>
      </c>
      <c r="AA248" s="193">
        <v>12</v>
      </c>
      <c r="AB248" s="193">
        <v>12</v>
      </c>
      <c r="AC248" s="193">
        <v>12</v>
      </c>
      <c r="AD248" s="193">
        <v>12</v>
      </c>
    </row>
    <row r="249" spans="1:55" x14ac:dyDescent="0.2">
      <c r="N249" s="18"/>
      <c r="S249" s="193"/>
      <c r="T249" s="193"/>
      <c r="U249" s="193"/>
      <c r="V249" s="193"/>
      <c r="W249" s="193"/>
      <c r="X249" s="193"/>
      <c r="Y249" s="193"/>
      <c r="Z249" s="193"/>
      <c r="AA249" s="193"/>
      <c r="AB249" s="193"/>
      <c r="AC249" s="193"/>
      <c r="AD249" s="193"/>
    </row>
    <row r="250" spans="1:55" x14ac:dyDescent="0.2">
      <c r="E250" s="1" t="s">
        <v>245</v>
      </c>
      <c r="J250" s="2" t="s">
        <v>1205</v>
      </c>
      <c r="M250" s="25">
        <f>Inputs_TL11_Maximum_Facility</f>
        <v>0</v>
      </c>
      <c r="N250" s="18"/>
      <c r="S250" s="79"/>
      <c r="T250" s="158"/>
      <c r="U250" s="158"/>
      <c r="V250" s="158"/>
      <c r="W250" s="158"/>
      <c r="X250" s="158"/>
      <c r="Y250" s="158"/>
      <c r="Z250" s="158"/>
      <c r="AA250" s="158"/>
      <c r="AB250" s="158"/>
      <c r="AC250" s="158"/>
      <c r="AD250" s="158"/>
    </row>
    <row r="251" spans="1:55" x14ac:dyDescent="0.2">
      <c r="E251" s="1" t="s">
        <v>246</v>
      </c>
      <c r="J251" s="2" t="s">
        <v>49</v>
      </c>
      <c r="N251" s="18"/>
      <c r="S251" s="25">
        <v>0</v>
      </c>
      <c r="T251" s="158">
        <v>1</v>
      </c>
      <c r="U251" s="158">
        <v>0</v>
      </c>
      <c r="V251" s="158">
        <v>0</v>
      </c>
      <c r="W251" s="158">
        <v>0</v>
      </c>
      <c r="X251" s="158">
        <v>0</v>
      </c>
      <c r="Y251" s="158">
        <v>0</v>
      </c>
      <c r="Z251" s="158">
        <v>0</v>
      </c>
      <c r="AA251" s="158">
        <v>0</v>
      </c>
      <c r="AB251" s="158">
        <v>0</v>
      </c>
      <c r="AC251" s="158">
        <v>0</v>
      </c>
      <c r="AD251" s="158">
        <v>0</v>
      </c>
    </row>
    <row r="252" spans="1:55" x14ac:dyDescent="0.2">
      <c r="E252" s="1" t="s">
        <v>163</v>
      </c>
      <c r="J252" s="2" t="s">
        <v>1205</v>
      </c>
      <c r="L252" s="3" t="s">
        <v>413</v>
      </c>
      <c r="N252" s="18"/>
      <c r="S252" s="25">
        <f>S251*$M250</f>
        <v>0</v>
      </c>
      <c r="T252" s="25">
        <f t="shared" ref="T252:AD252" si="27">T251*$M250</f>
        <v>0</v>
      </c>
      <c r="U252" s="25">
        <f t="shared" si="27"/>
        <v>0</v>
      </c>
      <c r="V252" s="25">
        <f t="shared" si="27"/>
        <v>0</v>
      </c>
      <c r="W252" s="25">
        <f t="shared" si="27"/>
        <v>0</v>
      </c>
      <c r="X252" s="25">
        <f t="shared" si="27"/>
        <v>0</v>
      </c>
      <c r="Y252" s="25">
        <f t="shared" si="27"/>
        <v>0</v>
      </c>
      <c r="Z252" s="25">
        <f t="shared" si="27"/>
        <v>0</v>
      </c>
      <c r="AA252" s="25">
        <f t="shared" si="27"/>
        <v>0</v>
      </c>
      <c r="AB252" s="25">
        <f t="shared" si="27"/>
        <v>0</v>
      </c>
      <c r="AC252" s="25">
        <f t="shared" si="27"/>
        <v>0</v>
      </c>
      <c r="AD252" s="25">
        <f t="shared" si="27"/>
        <v>0</v>
      </c>
    </row>
    <row r="253" spans="1:55" x14ac:dyDescent="0.2">
      <c r="E253" s="1" t="s">
        <v>146</v>
      </c>
      <c r="J253" s="2" t="s">
        <v>49</v>
      </c>
      <c r="L253" s="3" t="s">
        <v>414</v>
      </c>
      <c r="N253" s="18"/>
      <c r="S253" s="206">
        <v>0</v>
      </c>
      <c r="T253" s="206">
        <v>0</v>
      </c>
      <c r="U253" s="206">
        <v>0</v>
      </c>
      <c r="V253" s="206">
        <v>0</v>
      </c>
      <c r="W253" s="206">
        <v>0</v>
      </c>
      <c r="X253" s="206">
        <v>1</v>
      </c>
      <c r="Y253" s="206">
        <v>0</v>
      </c>
      <c r="Z253" s="206">
        <v>0</v>
      </c>
      <c r="AA253" s="206">
        <v>0</v>
      </c>
      <c r="AB253" s="206">
        <v>0</v>
      </c>
      <c r="AC253" s="206">
        <v>0</v>
      </c>
      <c r="AD253" s="206">
        <v>0</v>
      </c>
    </row>
    <row r="254" spans="1:55" ht="12.6" thickBot="1" x14ac:dyDescent="0.25">
      <c r="N254" s="18"/>
      <c r="S254" s="206"/>
      <c r="T254" s="206"/>
      <c r="U254" s="206"/>
      <c r="V254" s="206"/>
      <c r="W254" s="206"/>
      <c r="X254" s="206"/>
      <c r="Y254" s="206"/>
      <c r="Z254" s="206"/>
      <c r="AA254" s="206"/>
      <c r="AB254" s="206"/>
      <c r="AC254" s="206"/>
      <c r="AD254" s="206"/>
    </row>
    <row r="255" spans="1:55" s="97" customFormat="1" ht="12.6" thickTop="1" x14ac:dyDescent="0.2">
      <c r="C255" s="170" t="s">
        <v>402</v>
      </c>
      <c r="D255" s="170"/>
      <c r="E255" s="171"/>
      <c r="F255" s="172"/>
      <c r="G255" s="172"/>
      <c r="H255" s="173"/>
      <c r="I255" s="172"/>
      <c r="J255" s="174"/>
      <c r="K255" s="172"/>
      <c r="L255" s="170"/>
      <c r="M255" s="172"/>
      <c r="N255" s="175"/>
      <c r="O255" s="175"/>
      <c r="P255" s="175"/>
      <c r="Q255" s="175"/>
      <c r="R255" s="175"/>
      <c r="S255" s="175"/>
      <c r="T255" s="175"/>
      <c r="U255" s="175"/>
      <c r="V255" s="175"/>
      <c r="W255" s="175"/>
      <c r="X255" s="175"/>
      <c r="Y255" s="175"/>
      <c r="Z255" s="175"/>
      <c r="AA255" s="175"/>
      <c r="AB255" s="175"/>
      <c r="AC255" s="175"/>
      <c r="AD255" s="175"/>
      <c r="AE255" s="45"/>
      <c r="AF255" s="45"/>
      <c r="AG255" s="45"/>
      <c r="AH255" s="45"/>
      <c r="AI255" s="45"/>
      <c r="AJ255" s="45"/>
      <c r="AK255" s="45"/>
      <c r="AL255" s="45"/>
      <c r="AM255" s="45"/>
      <c r="AN255" s="45"/>
      <c r="AO255" s="45"/>
      <c r="AP255" s="45"/>
      <c r="AQ255" s="46"/>
      <c r="AR255" s="46"/>
      <c r="AS255" s="46"/>
      <c r="AT255" s="46"/>
      <c r="AU255" s="46"/>
      <c r="AV255" s="46"/>
      <c r="AW255" s="46"/>
      <c r="AX255" s="46"/>
      <c r="AY255" s="46"/>
      <c r="AZ255" s="46"/>
      <c r="BA255" s="46"/>
      <c r="BB255" s="46"/>
      <c r="BC255" s="46"/>
    </row>
    <row r="256" spans="1:55" s="18" customFormat="1" x14ac:dyDescent="0.2">
      <c r="A256" s="10"/>
      <c r="B256" s="10"/>
      <c r="C256" s="10"/>
      <c r="D256" s="10"/>
      <c r="E256" s="10"/>
      <c r="F256" s="10"/>
      <c r="G256" s="1"/>
      <c r="H256" s="1"/>
      <c r="I256" s="1"/>
      <c r="J256" s="2"/>
      <c r="K256" s="1"/>
      <c r="L256" s="3"/>
      <c r="M256" s="1"/>
      <c r="AP256" s="1"/>
      <c r="AQ256" s="1"/>
      <c r="AR256" s="1"/>
      <c r="AS256" s="1"/>
      <c r="AT256" s="1"/>
    </row>
    <row r="257" spans="1:46" s="18" customFormat="1" x14ac:dyDescent="0.2">
      <c r="A257" s="10"/>
      <c r="B257" s="10"/>
      <c r="C257" s="10"/>
      <c r="D257" s="10" t="s">
        <v>1207</v>
      </c>
      <c r="E257" s="10"/>
      <c r="F257" s="10"/>
      <c r="G257" s="1"/>
      <c r="H257" s="1"/>
      <c r="I257" s="1"/>
      <c r="J257" s="2" t="s">
        <v>49</v>
      </c>
      <c r="K257" s="1"/>
      <c r="L257" s="3" t="s">
        <v>1208</v>
      </c>
      <c r="M257" s="1"/>
      <c r="S257" s="196">
        <v>1.4999999999999999E-2</v>
      </c>
      <c r="T257" s="196">
        <v>1.4999999999999999E-2</v>
      </c>
      <c r="U257" s="196">
        <v>1.4999999999999999E-2</v>
      </c>
      <c r="V257" s="196">
        <v>1.4999999999999999E-2</v>
      </c>
      <c r="W257" s="196">
        <v>1.4999999999999999E-2</v>
      </c>
      <c r="X257" s="196">
        <v>1.4999999999999999E-2</v>
      </c>
      <c r="Y257" s="196">
        <v>1.4999999999999999E-2</v>
      </c>
      <c r="Z257" s="196">
        <v>1.4999999999999999E-2</v>
      </c>
      <c r="AA257" s="196">
        <v>1.4999999999999999E-2</v>
      </c>
      <c r="AB257" s="196">
        <v>1.4999999999999999E-2</v>
      </c>
      <c r="AC257" s="196">
        <v>1.4999999999999999E-2</v>
      </c>
      <c r="AD257" s="196">
        <v>1.4999999999999999E-2</v>
      </c>
      <c r="AP257" s="1"/>
      <c r="AQ257" s="1"/>
      <c r="AR257" s="1"/>
      <c r="AS257" s="1"/>
      <c r="AT257" s="1"/>
    </row>
    <row r="258" spans="1:46" s="18" customFormat="1" x14ac:dyDescent="0.2">
      <c r="A258" s="10"/>
      <c r="B258" s="10"/>
      <c r="C258" s="10"/>
      <c r="D258" s="10"/>
      <c r="E258" s="10"/>
      <c r="F258" s="10"/>
      <c r="G258" s="1"/>
      <c r="H258" s="1"/>
      <c r="I258" s="1"/>
      <c r="J258" s="2"/>
      <c r="K258" s="1"/>
      <c r="L258" s="3"/>
      <c r="M258" s="1"/>
      <c r="AP258" s="1"/>
      <c r="AQ258" s="1"/>
      <c r="AR258" s="1"/>
      <c r="AS258" s="1"/>
      <c r="AT258" s="1"/>
    </row>
    <row r="259" spans="1:46" s="18" customFormat="1" x14ac:dyDescent="0.2">
      <c r="A259" s="10"/>
      <c r="B259" s="10"/>
      <c r="C259" s="10"/>
      <c r="D259" s="10" t="s">
        <v>290</v>
      </c>
      <c r="E259" s="10"/>
      <c r="F259" s="10"/>
      <c r="G259" s="1"/>
      <c r="H259" s="1"/>
      <c r="I259" s="1"/>
      <c r="J259" s="2" t="s">
        <v>49</v>
      </c>
      <c r="K259" s="1"/>
      <c r="L259" s="3" t="s">
        <v>293</v>
      </c>
      <c r="M259" s="1"/>
      <c r="S259" s="79">
        <v>4.0000000000000001E-3</v>
      </c>
      <c r="T259" s="79">
        <v>4.0000000000000001E-3</v>
      </c>
      <c r="U259" s="79">
        <v>4.0000000000000001E-3</v>
      </c>
      <c r="V259" s="79">
        <v>4.0000000000000001E-3</v>
      </c>
      <c r="W259" s="79">
        <v>4.0000000000000001E-3</v>
      </c>
      <c r="X259" s="79">
        <v>4.0000000000000001E-3</v>
      </c>
      <c r="Y259" s="79">
        <v>4.0000000000000001E-3</v>
      </c>
      <c r="Z259" s="79">
        <v>4.0000000000000001E-3</v>
      </c>
      <c r="AA259" s="79">
        <v>4.0000000000000001E-3</v>
      </c>
      <c r="AB259" s="79">
        <v>4.0000000000000001E-3</v>
      </c>
      <c r="AC259" s="79">
        <v>4.0000000000000001E-3</v>
      </c>
      <c r="AD259" s="79">
        <v>4.0000000000000001E-3</v>
      </c>
      <c r="AP259" s="1"/>
      <c r="AQ259" s="1"/>
      <c r="AR259" s="1"/>
      <c r="AS259" s="1"/>
      <c r="AT259" s="1"/>
    </row>
    <row r="260" spans="1:46" s="18" customFormat="1" x14ac:dyDescent="0.2">
      <c r="A260" s="10"/>
      <c r="B260" s="10"/>
      <c r="C260" s="10"/>
      <c r="D260" s="10" t="s">
        <v>291</v>
      </c>
      <c r="E260" s="10"/>
      <c r="F260" s="10"/>
      <c r="G260" s="1"/>
      <c r="H260" s="1"/>
      <c r="I260" s="1"/>
      <c r="J260" s="2" t="s">
        <v>1205</v>
      </c>
      <c r="K260" s="1"/>
      <c r="L260" s="3" t="s">
        <v>294</v>
      </c>
      <c r="M260" s="1"/>
      <c r="S260" s="18">
        <v>0</v>
      </c>
      <c r="T260" s="18">
        <v>0</v>
      </c>
      <c r="U260" s="18">
        <v>0</v>
      </c>
      <c r="V260" s="18">
        <v>0</v>
      </c>
      <c r="W260" s="18">
        <v>0</v>
      </c>
      <c r="X260" s="18">
        <v>0</v>
      </c>
      <c r="Y260" s="18">
        <v>0</v>
      </c>
      <c r="Z260" s="18">
        <v>0</v>
      </c>
      <c r="AA260" s="18">
        <v>0</v>
      </c>
      <c r="AB260" s="18">
        <v>0</v>
      </c>
      <c r="AC260" s="18">
        <v>0</v>
      </c>
      <c r="AD260" s="18">
        <v>0</v>
      </c>
      <c r="AP260" s="1"/>
      <c r="AQ260" s="1"/>
      <c r="AR260" s="1"/>
      <c r="AS260" s="1"/>
      <c r="AT260" s="1"/>
    </row>
    <row r="261" spans="1:46" s="18" customFormat="1" x14ac:dyDescent="0.2">
      <c r="A261" s="10"/>
      <c r="B261" s="10"/>
      <c r="C261" s="10"/>
      <c r="D261" s="10" t="s">
        <v>403</v>
      </c>
      <c r="E261" s="10"/>
      <c r="F261" s="10"/>
      <c r="G261" s="1"/>
      <c r="H261" s="1"/>
      <c r="I261" s="1"/>
      <c r="J261" s="2" t="s">
        <v>49</v>
      </c>
      <c r="K261" s="1"/>
      <c r="L261" s="3" t="s">
        <v>404</v>
      </c>
      <c r="M261" s="1"/>
      <c r="S261" s="79">
        <v>0</v>
      </c>
      <c r="T261" s="79">
        <v>0</v>
      </c>
      <c r="U261" s="79">
        <v>0</v>
      </c>
      <c r="V261" s="79">
        <v>0</v>
      </c>
      <c r="W261" s="79">
        <v>0</v>
      </c>
      <c r="X261" s="79">
        <v>0</v>
      </c>
      <c r="Y261" s="79">
        <v>0</v>
      </c>
      <c r="Z261" s="79">
        <v>0</v>
      </c>
      <c r="AA261" s="79">
        <v>0</v>
      </c>
      <c r="AB261" s="79">
        <v>0</v>
      </c>
      <c r="AC261" s="79">
        <v>0</v>
      </c>
      <c r="AD261" s="79">
        <v>0</v>
      </c>
      <c r="AP261" s="1"/>
      <c r="AQ261" s="1"/>
      <c r="AR261" s="1"/>
      <c r="AS261" s="1"/>
      <c r="AT261" s="1"/>
    </row>
    <row r="262" spans="1:46" s="18" customFormat="1" x14ac:dyDescent="0.2">
      <c r="A262" s="10"/>
      <c r="B262" s="10"/>
      <c r="C262" s="10"/>
      <c r="D262" s="10" t="s">
        <v>292</v>
      </c>
      <c r="E262" s="10"/>
      <c r="F262" s="10"/>
      <c r="G262" s="1"/>
      <c r="H262" s="1"/>
      <c r="I262" s="1"/>
      <c r="J262" s="2" t="s">
        <v>1205</v>
      </c>
      <c r="K262" s="1"/>
      <c r="L262" s="3" t="s">
        <v>295</v>
      </c>
      <c r="M262" s="1"/>
      <c r="S262" s="25">
        <v>20000</v>
      </c>
      <c r="T262" s="25">
        <v>20000</v>
      </c>
      <c r="U262" s="25">
        <v>20000</v>
      </c>
      <c r="V262" s="25">
        <v>20000</v>
      </c>
      <c r="W262" s="25">
        <v>20000</v>
      </c>
      <c r="X262" s="25">
        <v>20000</v>
      </c>
      <c r="Y262" s="25">
        <v>20000</v>
      </c>
      <c r="Z262" s="25">
        <v>20000</v>
      </c>
      <c r="AA262" s="25">
        <v>20000</v>
      </c>
      <c r="AB262" s="25">
        <v>20000</v>
      </c>
      <c r="AC262" s="25">
        <v>20000</v>
      </c>
      <c r="AD262" s="25">
        <v>20000</v>
      </c>
      <c r="AP262" s="1"/>
      <c r="AQ262" s="1"/>
      <c r="AR262" s="1"/>
      <c r="AS262" s="1"/>
      <c r="AT262" s="1"/>
    </row>
    <row r="263" spans="1:46" s="18" customFormat="1" x14ac:dyDescent="0.2">
      <c r="A263" s="10"/>
      <c r="B263" s="10"/>
      <c r="C263" s="10"/>
      <c r="D263" s="10"/>
      <c r="E263" s="10"/>
      <c r="F263" s="10"/>
      <c r="G263" s="1"/>
      <c r="H263" s="1"/>
      <c r="I263" s="1"/>
      <c r="J263" s="2"/>
      <c r="K263" s="1"/>
      <c r="L263" s="3"/>
      <c r="M263" s="1"/>
      <c r="AP263" s="1"/>
      <c r="AQ263" s="1"/>
      <c r="AR263" s="1"/>
      <c r="AS263" s="1"/>
      <c r="AT263" s="1"/>
    </row>
    <row r="264" spans="1:46" s="18" customFormat="1" x14ac:dyDescent="0.2">
      <c r="A264" s="10"/>
      <c r="B264" s="10"/>
      <c r="C264" s="10"/>
      <c r="D264" s="10" t="s">
        <v>427</v>
      </c>
      <c r="E264" s="10"/>
      <c r="F264" s="10"/>
      <c r="G264" s="1"/>
      <c r="H264" s="1"/>
      <c r="I264" s="1"/>
      <c r="J264" s="2" t="s">
        <v>1205</v>
      </c>
      <c r="K264" s="1"/>
      <c r="L264" s="3" t="s">
        <v>428</v>
      </c>
      <c r="M264" s="1"/>
      <c r="S264" s="176">
        <v>50000</v>
      </c>
      <c r="T264" s="176">
        <v>300000</v>
      </c>
      <c r="U264" s="176">
        <v>300000</v>
      </c>
      <c r="V264" s="176">
        <v>300000</v>
      </c>
      <c r="W264" s="176">
        <v>300000</v>
      </c>
      <c r="X264" s="176">
        <v>300000</v>
      </c>
      <c r="Y264" s="176">
        <v>300000</v>
      </c>
      <c r="Z264" s="176">
        <v>300000</v>
      </c>
      <c r="AA264" s="176">
        <v>300000</v>
      </c>
      <c r="AB264" s="176">
        <v>300000</v>
      </c>
      <c r="AC264" s="176">
        <v>300000</v>
      </c>
      <c r="AD264" s="176">
        <v>300000</v>
      </c>
      <c r="AP264" s="1"/>
      <c r="AQ264" s="1"/>
      <c r="AR264" s="1"/>
      <c r="AS264" s="1"/>
      <c r="AT264" s="1"/>
    </row>
    <row r="265" spans="1:46" s="18" customFormat="1" x14ac:dyDescent="0.2">
      <c r="A265" s="10"/>
      <c r="B265" s="10"/>
      <c r="C265" s="10"/>
      <c r="D265" s="10" t="s">
        <v>431</v>
      </c>
      <c r="E265" s="10"/>
      <c r="F265" s="10"/>
      <c r="G265" s="1"/>
      <c r="H265" s="1"/>
      <c r="I265" s="1"/>
      <c r="J265" s="2" t="s">
        <v>49</v>
      </c>
      <c r="K265" s="1"/>
      <c r="L265" s="3" t="s">
        <v>432</v>
      </c>
      <c r="M265" s="1"/>
      <c r="S265" s="257">
        <v>0.4</v>
      </c>
      <c r="T265" s="257">
        <v>0.65</v>
      </c>
      <c r="U265" s="257">
        <v>0.65</v>
      </c>
      <c r="V265" s="257">
        <v>0.65</v>
      </c>
      <c r="W265" s="257">
        <v>0.65</v>
      </c>
      <c r="X265" s="257">
        <v>0.65</v>
      </c>
      <c r="Y265" s="257">
        <v>0.65</v>
      </c>
      <c r="Z265" s="257">
        <v>0.65</v>
      </c>
      <c r="AA265" s="257">
        <v>0.65</v>
      </c>
      <c r="AB265" s="257">
        <v>0.65</v>
      </c>
      <c r="AC265" s="257">
        <v>0.65</v>
      </c>
      <c r="AD265" s="257">
        <v>0.65</v>
      </c>
      <c r="AP265" s="1"/>
      <c r="AQ265" s="1"/>
      <c r="AR265" s="1"/>
      <c r="AS265" s="1"/>
      <c r="AT265" s="1"/>
    </row>
    <row r="266" spans="1:46" s="18" customFormat="1" x14ac:dyDescent="0.2">
      <c r="A266" s="10"/>
      <c r="B266" s="10"/>
      <c r="C266" s="10"/>
      <c r="D266" s="10"/>
      <c r="E266" s="10"/>
      <c r="F266" s="10"/>
      <c r="G266" s="1"/>
      <c r="H266" s="1"/>
      <c r="I266" s="1"/>
      <c r="J266" s="2"/>
      <c r="K266" s="1"/>
      <c r="L266" s="3"/>
      <c r="M266" s="1"/>
      <c r="S266" s="25" t="e">
        <f t="shared" ref="S266:AD266" si="28">IS_Net_Income*S265</f>
        <v>#NAME?</v>
      </c>
      <c r="T266" s="25" t="e">
        <f t="shared" si="28"/>
        <v>#NAME?</v>
      </c>
      <c r="U266" s="25" t="e">
        <f t="shared" si="28"/>
        <v>#NAME?</v>
      </c>
      <c r="V266" s="25" t="e">
        <f t="shared" si="28"/>
        <v>#NAME?</v>
      </c>
      <c r="W266" s="25" t="e">
        <f t="shared" si="28"/>
        <v>#NAME?</v>
      </c>
      <c r="X266" s="25" t="e">
        <f t="shared" si="28"/>
        <v>#NAME?</v>
      </c>
      <c r="Y266" s="25" t="e">
        <f t="shared" si="28"/>
        <v>#NAME?</v>
      </c>
      <c r="Z266" s="25" t="e">
        <f t="shared" si="28"/>
        <v>#NAME?</v>
      </c>
      <c r="AA266" s="25" t="e">
        <f t="shared" si="28"/>
        <v>#NAME?</v>
      </c>
      <c r="AB266" s="25" t="e">
        <f t="shared" si="28"/>
        <v>#NAME?</v>
      </c>
      <c r="AC266" s="25" t="e">
        <f t="shared" si="28"/>
        <v>#NAME?</v>
      </c>
      <c r="AD266" s="25" t="e">
        <f t="shared" si="28"/>
        <v>#NAME?</v>
      </c>
      <c r="AP266" s="1"/>
      <c r="AQ266" s="1"/>
      <c r="AR266" s="1"/>
      <c r="AS266" s="1"/>
      <c r="AT266" s="1"/>
    </row>
    <row r="267" spans="1:46" s="18" customFormat="1" x14ac:dyDescent="0.2">
      <c r="A267" s="10"/>
      <c r="B267" s="10"/>
      <c r="C267" s="10"/>
      <c r="D267" s="10" t="s">
        <v>433</v>
      </c>
      <c r="E267" s="10"/>
      <c r="F267" s="10"/>
      <c r="G267" s="1"/>
      <c r="H267" s="1"/>
      <c r="I267" s="1"/>
      <c r="J267" s="2" t="s">
        <v>1205</v>
      </c>
      <c r="K267" s="1"/>
      <c r="L267" s="3" t="s">
        <v>434</v>
      </c>
      <c r="M267" s="1"/>
      <c r="S267" s="25">
        <v>0</v>
      </c>
      <c r="T267" s="25">
        <v>0</v>
      </c>
      <c r="U267" s="25">
        <v>0</v>
      </c>
      <c r="V267" s="25">
        <v>0</v>
      </c>
      <c r="W267" s="25">
        <v>0</v>
      </c>
      <c r="X267" s="25">
        <v>0</v>
      </c>
      <c r="Y267" s="25">
        <v>0</v>
      </c>
      <c r="Z267" s="25">
        <v>0</v>
      </c>
      <c r="AA267" s="25">
        <v>0</v>
      </c>
      <c r="AB267" s="25">
        <v>0</v>
      </c>
      <c r="AC267" s="25">
        <v>0</v>
      </c>
      <c r="AD267" s="25">
        <v>0</v>
      </c>
      <c r="AP267" s="1"/>
      <c r="AQ267" s="1"/>
      <c r="AR267" s="1"/>
      <c r="AS267" s="1"/>
      <c r="AT267" s="1"/>
    </row>
    <row r="268" spans="1:46" s="18" customFormat="1" x14ac:dyDescent="0.2">
      <c r="A268" s="97"/>
      <c r="B268" s="97"/>
      <c r="C268" s="97"/>
      <c r="D268" s="97"/>
      <c r="E268" s="97"/>
      <c r="F268" s="97"/>
      <c r="G268" s="1"/>
      <c r="H268" s="1"/>
      <c r="I268" s="1"/>
      <c r="J268" s="2"/>
      <c r="K268" s="1"/>
      <c r="L268" s="3"/>
      <c r="M268" s="1"/>
      <c r="AP268" s="1"/>
      <c r="AQ268" s="1"/>
      <c r="AR268" s="1"/>
      <c r="AS268" s="1"/>
      <c r="AT268" s="1"/>
    </row>
    <row r="269" spans="1:46" s="18" customFormat="1" x14ac:dyDescent="0.2">
      <c r="A269" s="97"/>
      <c r="B269" s="97"/>
      <c r="C269" s="97"/>
      <c r="D269" s="97" t="s">
        <v>774</v>
      </c>
      <c r="E269" s="97"/>
      <c r="F269" s="97"/>
      <c r="G269" s="1"/>
      <c r="H269" s="1"/>
      <c r="I269" s="1"/>
      <c r="J269" s="2" t="s">
        <v>49</v>
      </c>
      <c r="K269" s="1"/>
      <c r="L269" s="3" t="s">
        <v>990</v>
      </c>
      <c r="M269" s="660">
        <f>Q269</f>
        <v>-0.34181959619532548</v>
      </c>
      <c r="P269" s="19">
        <f>IS_Tax/IS_Income_PreTax</f>
        <v>-1.1043153244988108E-2</v>
      </c>
      <c r="Q269" s="19">
        <f>IS_Tax/IS_Income_PreTax</f>
        <v>-0.34181959619532548</v>
      </c>
      <c r="R269" s="19">
        <f>IS_Tax/IS_Income_PreTax</f>
        <v>-0.75774014802185452</v>
      </c>
      <c r="S269" s="665">
        <f>$M$269</f>
        <v>-0.34181959619532548</v>
      </c>
      <c r="T269" s="665">
        <f t="shared" ref="T269:AD269" si="29">$M$269</f>
        <v>-0.34181959619532548</v>
      </c>
      <c r="U269" s="665">
        <f t="shared" si="29"/>
        <v>-0.34181959619532548</v>
      </c>
      <c r="V269" s="665">
        <f t="shared" si="29"/>
        <v>-0.34181959619532548</v>
      </c>
      <c r="W269" s="665">
        <f t="shared" si="29"/>
        <v>-0.34181959619532548</v>
      </c>
      <c r="X269" s="665">
        <f t="shared" si="29"/>
        <v>-0.34181959619532548</v>
      </c>
      <c r="Y269" s="665">
        <f t="shared" si="29"/>
        <v>-0.34181959619532548</v>
      </c>
      <c r="Z269" s="665">
        <f t="shared" si="29"/>
        <v>-0.34181959619532548</v>
      </c>
      <c r="AA269" s="665">
        <f t="shared" si="29"/>
        <v>-0.34181959619532548</v>
      </c>
      <c r="AB269" s="665">
        <f t="shared" si="29"/>
        <v>-0.34181959619532548</v>
      </c>
      <c r="AC269" s="665">
        <f t="shared" si="29"/>
        <v>-0.34181959619532548</v>
      </c>
      <c r="AD269" s="665">
        <f t="shared" si="29"/>
        <v>-0.34181959619532548</v>
      </c>
      <c r="AP269" s="1"/>
      <c r="AQ269" s="1"/>
      <c r="AR269" s="1"/>
      <c r="AS269" s="1"/>
      <c r="AT269" s="1"/>
    </row>
    <row r="270" spans="1:46" s="32" customFormat="1" ht="13.2" thickBot="1" x14ac:dyDescent="0.3">
      <c r="A270" s="35"/>
      <c r="B270" s="35"/>
      <c r="H270" s="103"/>
      <c r="J270" s="37"/>
      <c r="L270" s="38"/>
      <c r="M270" s="103"/>
      <c r="N270" s="103"/>
      <c r="O270" s="103"/>
      <c r="P270" s="103"/>
      <c r="Q270" s="103"/>
      <c r="R270" s="103"/>
      <c r="S270" s="103"/>
      <c r="T270" s="103"/>
      <c r="U270" s="103"/>
      <c r="V270" s="103"/>
      <c r="W270" s="103"/>
      <c r="X270" s="103"/>
      <c r="Y270" s="103"/>
      <c r="Z270" s="103"/>
      <c r="AA270" s="103"/>
      <c r="AB270" s="103"/>
      <c r="AC270" s="103"/>
      <c r="AD270" s="103"/>
      <c r="AE270" s="103"/>
      <c r="AF270" s="103"/>
      <c r="AG270" s="103"/>
      <c r="AH270" s="103"/>
      <c r="AI270" s="103"/>
      <c r="AJ270" s="103"/>
      <c r="AK270" s="103"/>
      <c r="AL270" s="103"/>
      <c r="AM270" s="103"/>
      <c r="AN270" s="103"/>
      <c r="AO270" s="103"/>
    </row>
    <row r="271" spans="1:46" s="97" customFormat="1" ht="13.2" thickTop="1" x14ac:dyDescent="0.25">
      <c r="A271" s="1"/>
      <c r="B271" s="39" t="s">
        <v>15</v>
      </c>
      <c r="C271" s="40"/>
      <c r="D271" s="40"/>
      <c r="E271" s="40"/>
      <c r="F271" s="41"/>
      <c r="G271" s="40"/>
      <c r="H271" s="40"/>
      <c r="I271" s="42"/>
      <c r="J271" s="42"/>
      <c r="K271" s="40"/>
      <c r="L271" s="43"/>
      <c r="M271" s="40"/>
      <c r="N271" s="42"/>
      <c r="O271" s="42"/>
      <c r="P271" s="42"/>
      <c r="Q271" s="42"/>
      <c r="R271" s="42"/>
      <c r="S271" s="42"/>
      <c r="T271" s="42"/>
      <c r="U271" s="42"/>
      <c r="V271" s="42"/>
      <c r="W271" s="42"/>
      <c r="X271" s="42"/>
      <c r="Y271" s="42"/>
      <c r="Z271" s="42"/>
      <c r="AA271" s="42"/>
      <c r="AB271" s="42"/>
      <c r="AC271" s="42"/>
      <c r="AD271" s="42"/>
      <c r="AE271" s="16"/>
      <c r="AF271" s="16"/>
      <c r="AG271" s="16"/>
      <c r="AH271" s="16"/>
      <c r="AI271" s="16"/>
      <c r="AJ271" s="16"/>
      <c r="AK271" s="16"/>
      <c r="AL271" s="16"/>
      <c r="AM271" s="16"/>
      <c r="AN271" s="16"/>
      <c r="AO271" s="16"/>
      <c r="AP271" s="1"/>
    </row>
    <row r="272" spans="1:46" s="18" customFormat="1" x14ac:dyDescent="0.2">
      <c r="A272" s="10"/>
      <c r="B272" s="10"/>
      <c r="C272" s="10"/>
      <c r="D272" s="10"/>
      <c r="E272" s="10"/>
      <c r="F272" s="10"/>
      <c r="G272" s="1"/>
      <c r="H272" s="1"/>
      <c r="I272" s="1"/>
      <c r="J272" s="2"/>
      <c r="K272" s="1"/>
      <c r="L272" s="3"/>
      <c r="M272" s="1"/>
      <c r="AP272" s="1"/>
      <c r="AQ272" s="1"/>
      <c r="AR272" s="1"/>
      <c r="AS272" s="1"/>
      <c r="AT272" s="1"/>
    </row>
    <row r="273" spans="1:46" s="18" customFormat="1" x14ac:dyDescent="0.2">
      <c r="A273" s="10"/>
      <c r="B273" s="10"/>
      <c r="C273" s="10"/>
      <c r="D273" s="10"/>
      <c r="E273" s="10"/>
      <c r="F273" s="10"/>
      <c r="G273" s="1"/>
      <c r="H273" s="1"/>
      <c r="I273" s="1"/>
      <c r="J273" s="2"/>
      <c r="K273" s="1"/>
      <c r="L273" s="3"/>
      <c r="M273" s="1"/>
      <c r="AP273" s="1"/>
      <c r="AQ273" s="1"/>
      <c r="AR273" s="1"/>
      <c r="AS273" s="1"/>
      <c r="AT273" s="1"/>
    </row>
    <row r="274" spans="1:46" s="18" customFormat="1" x14ac:dyDescent="0.2">
      <c r="A274" s="10"/>
      <c r="B274" s="10"/>
      <c r="C274" s="10"/>
      <c r="D274" s="10"/>
      <c r="E274" s="10"/>
      <c r="F274" s="10"/>
      <c r="G274" s="1"/>
      <c r="H274" s="1"/>
      <c r="I274" s="1"/>
      <c r="J274" s="2"/>
      <c r="K274" s="1"/>
      <c r="L274" s="3"/>
      <c r="M274" s="1"/>
      <c r="AP274" s="1"/>
      <c r="AQ274" s="1"/>
      <c r="AR274" s="1"/>
      <c r="AS274" s="1"/>
      <c r="AT274" s="1"/>
    </row>
    <row r="275" spans="1:46" s="18" customFormat="1" x14ac:dyDescent="0.2">
      <c r="A275" s="10"/>
      <c r="B275" s="10"/>
      <c r="C275" s="10"/>
      <c r="D275" s="10"/>
      <c r="E275" s="10"/>
      <c r="F275" s="10"/>
      <c r="G275" s="1"/>
      <c r="H275" s="1"/>
      <c r="I275" s="1"/>
      <c r="J275" s="2"/>
      <c r="K275" s="1"/>
      <c r="L275" s="3"/>
      <c r="M275" s="1"/>
      <c r="AP275" s="1"/>
      <c r="AQ275" s="1"/>
      <c r="AR275" s="1"/>
      <c r="AS275" s="1"/>
      <c r="AT275" s="1"/>
    </row>
    <row r="276" spans="1:46" s="18" customFormat="1" x14ac:dyDescent="0.2">
      <c r="A276" s="10"/>
      <c r="B276" s="10"/>
      <c r="C276" s="10"/>
      <c r="D276" s="10"/>
      <c r="E276" s="10"/>
      <c r="F276" s="10"/>
      <c r="G276" s="1"/>
      <c r="H276" s="1"/>
      <c r="I276" s="1"/>
      <c r="J276" s="2"/>
      <c r="K276" s="1"/>
      <c r="L276" s="3"/>
      <c r="M276" s="1"/>
      <c r="AP276" s="1"/>
      <c r="AQ276" s="1"/>
      <c r="AR276" s="1"/>
      <c r="AS276" s="1"/>
      <c r="AT276" s="1"/>
    </row>
    <row r="277" spans="1:46" s="18" customFormat="1" x14ac:dyDescent="0.2">
      <c r="A277" s="10"/>
      <c r="B277" s="10"/>
      <c r="C277" s="10"/>
      <c r="D277" s="10"/>
      <c r="E277" s="10"/>
      <c r="F277" s="10"/>
      <c r="G277" s="1"/>
      <c r="H277" s="1"/>
      <c r="I277" s="1"/>
      <c r="J277" s="2"/>
      <c r="K277" s="1"/>
      <c r="L277" s="3"/>
      <c r="M277" s="1"/>
      <c r="AP277" s="1"/>
      <c r="AQ277" s="1"/>
      <c r="AR277" s="1"/>
      <c r="AS277" s="1"/>
      <c r="AT277" s="1"/>
    </row>
    <row r="278" spans="1:46" s="18" customFormat="1" x14ac:dyDescent="0.2">
      <c r="A278" s="10"/>
      <c r="B278" s="10"/>
      <c r="C278" s="10"/>
      <c r="D278" s="10"/>
      <c r="E278" s="10"/>
      <c r="F278" s="10"/>
      <c r="G278" s="1"/>
      <c r="H278" s="1"/>
      <c r="I278" s="1"/>
      <c r="J278" s="2"/>
      <c r="K278" s="1"/>
      <c r="L278" s="3"/>
      <c r="M278" s="1"/>
      <c r="AP278" s="1"/>
      <c r="AQ278" s="1"/>
      <c r="AR278" s="1"/>
      <c r="AS278" s="1"/>
      <c r="AT278" s="1"/>
    </row>
    <row r="279" spans="1:46" s="18" customFormat="1" x14ac:dyDescent="0.2">
      <c r="A279" s="10"/>
      <c r="B279" s="10"/>
      <c r="C279" s="10"/>
      <c r="D279" s="10"/>
      <c r="E279" s="10"/>
      <c r="F279" s="10"/>
      <c r="G279" s="1"/>
      <c r="H279" s="1"/>
      <c r="I279" s="1"/>
      <c r="J279" s="2"/>
      <c r="K279" s="1"/>
      <c r="L279" s="3"/>
      <c r="M279" s="1"/>
      <c r="AP279" s="1"/>
      <c r="AQ279" s="1"/>
      <c r="AR279" s="1"/>
      <c r="AS279" s="1"/>
      <c r="AT279" s="1"/>
    </row>
    <row r="280" spans="1:46" s="18" customFormat="1" x14ac:dyDescent="0.2">
      <c r="A280" s="10"/>
      <c r="B280" s="10"/>
      <c r="C280" s="10"/>
      <c r="D280" s="10"/>
      <c r="E280" s="10"/>
      <c r="F280" s="10"/>
      <c r="G280" s="1"/>
      <c r="H280" s="1"/>
      <c r="I280" s="1"/>
      <c r="J280" s="2"/>
      <c r="K280" s="1"/>
      <c r="L280" s="3"/>
      <c r="M280" s="1"/>
      <c r="AP280" s="1"/>
      <c r="AQ280" s="1"/>
      <c r="AR280" s="1"/>
      <c r="AS280" s="1"/>
      <c r="AT280" s="1"/>
    </row>
    <row r="281" spans="1:46" s="18" customFormat="1" x14ac:dyDescent="0.2">
      <c r="A281" s="10"/>
      <c r="B281" s="10"/>
      <c r="C281" s="10"/>
      <c r="D281" s="10"/>
      <c r="E281" s="10"/>
      <c r="F281" s="10"/>
      <c r="G281" s="1"/>
      <c r="H281" s="1"/>
      <c r="I281" s="1"/>
      <c r="J281" s="2"/>
      <c r="K281" s="1"/>
      <c r="L281" s="3"/>
      <c r="M281" s="1"/>
      <c r="AP281" s="1"/>
      <c r="AQ281" s="1"/>
      <c r="AR281" s="1"/>
      <c r="AS281" s="1"/>
      <c r="AT281" s="1"/>
    </row>
    <row r="282" spans="1:46" s="18" customFormat="1" x14ac:dyDescent="0.2">
      <c r="A282" s="10"/>
      <c r="B282" s="10"/>
      <c r="C282" s="10"/>
      <c r="D282" s="10"/>
      <c r="E282" s="10"/>
      <c r="F282" s="10"/>
      <c r="G282" s="1"/>
      <c r="H282" s="1"/>
      <c r="I282" s="1"/>
      <c r="J282" s="2"/>
      <c r="K282" s="1"/>
      <c r="L282" s="3"/>
      <c r="M282" s="1"/>
      <c r="AP282" s="1"/>
      <c r="AQ282" s="1"/>
      <c r="AR282" s="1"/>
      <c r="AS282" s="1"/>
      <c r="AT282" s="1"/>
    </row>
    <row r="283" spans="1:46" s="18" customFormat="1" x14ac:dyDescent="0.2">
      <c r="A283" s="10"/>
      <c r="B283" s="10"/>
      <c r="C283" s="10"/>
      <c r="D283" s="10"/>
      <c r="E283" s="10"/>
      <c r="F283" s="10"/>
      <c r="G283" s="1"/>
      <c r="H283" s="1"/>
      <c r="I283" s="1"/>
      <c r="J283" s="2"/>
      <c r="K283" s="1"/>
      <c r="L283" s="3"/>
      <c r="M283" s="1"/>
      <c r="AP283" s="1"/>
      <c r="AQ283" s="1"/>
      <c r="AR283" s="1"/>
      <c r="AS283" s="1"/>
      <c r="AT283" s="1"/>
    </row>
    <row r="284" spans="1:46" s="18" customFormat="1" x14ac:dyDescent="0.2">
      <c r="A284" s="10"/>
      <c r="B284" s="10"/>
      <c r="C284" s="10"/>
      <c r="D284" s="10"/>
      <c r="E284" s="10"/>
      <c r="F284" s="10"/>
      <c r="G284" s="1"/>
      <c r="H284" s="1"/>
      <c r="I284" s="1"/>
      <c r="J284" s="2"/>
      <c r="K284" s="1"/>
      <c r="L284" s="3"/>
      <c r="M284" s="1"/>
      <c r="AP284" s="1"/>
      <c r="AQ284" s="1"/>
      <c r="AR284" s="1"/>
      <c r="AS284" s="1"/>
      <c r="AT284" s="1"/>
    </row>
    <row r="285" spans="1:46" s="18" customFormat="1" x14ac:dyDescent="0.2">
      <c r="A285" s="10"/>
      <c r="B285" s="10"/>
      <c r="C285" s="10"/>
      <c r="D285" s="10"/>
      <c r="E285" s="10"/>
      <c r="F285" s="10"/>
      <c r="G285" s="1"/>
      <c r="H285" s="1"/>
      <c r="I285" s="1"/>
      <c r="J285" s="2"/>
      <c r="K285" s="1"/>
      <c r="L285" s="3"/>
      <c r="M285" s="1"/>
      <c r="AP285" s="1"/>
      <c r="AQ285" s="1"/>
      <c r="AR285" s="1"/>
      <c r="AS285" s="1"/>
      <c r="AT285" s="1"/>
    </row>
    <row r="286" spans="1:46" s="18" customFormat="1" x14ac:dyDescent="0.2">
      <c r="A286" s="10"/>
      <c r="B286" s="10"/>
      <c r="C286" s="10"/>
      <c r="D286" s="10"/>
      <c r="E286" s="10"/>
      <c r="F286" s="10"/>
      <c r="G286" s="1"/>
      <c r="H286" s="1"/>
      <c r="I286" s="1"/>
      <c r="J286" s="2"/>
      <c r="K286" s="1"/>
      <c r="L286" s="3"/>
      <c r="M286" s="1"/>
      <c r="AP286" s="1"/>
      <c r="AQ286" s="1"/>
      <c r="AR286" s="1"/>
      <c r="AS286" s="1"/>
      <c r="AT286" s="1"/>
    </row>
    <row r="287" spans="1:46" s="18" customFormat="1" x14ac:dyDescent="0.2">
      <c r="A287" s="10"/>
      <c r="B287" s="10"/>
      <c r="C287" s="10"/>
      <c r="D287" s="10"/>
      <c r="E287" s="10"/>
      <c r="F287" s="10"/>
      <c r="G287" s="1"/>
      <c r="H287" s="1"/>
      <c r="I287" s="1"/>
      <c r="J287" s="2"/>
      <c r="K287" s="1"/>
      <c r="L287" s="3"/>
      <c r="M287" s="1"/>
      <c r="AP287" s="1"/>
      <c r="AQ287" s="1"/>
      <c r="AR287" s="1"/>
      <c r="AS287" s="1"/>
      <c r="AT287" s="1"/>
    </row>
    <row r="288" spans="1:46" s="18" customFormat="1" x14ac:dyDescent="0.2">
      <c r="A288" s="10"/>
      <c r="B288" s="10"/>
      <c r="C288" s="10"/>
      <c r="D288" s="10"/>
      <c r="E288" s="10"/>
      <c r="F288" s="10"/>
      <c r="G288" s="1"/>
      <c r="H288" s="1"/>
      <c r="I288" s="1"/>
      <c r="J288" s="2"/>
      <c r="K288" s="1"/>
      <c r="L288" s="3"/>
      <c r="M288" s="1"/>
      <c r="AP288" s="1"/>
      <c r="AQ288" s="1"/>
      <c r="AR288" s="1"/>
      <c r="AS288" s="1"/>
      <c r="AT288" s="1"/>
    </row>
    <row r="289" spans="1:46" s="18" customFormat="1" x14ac:dyDescent="0.2">
      <c r="A289" s="10"/>
      <c r="B289" s="10"/>
      <c r="C289" s="10"/>
      <c r="D289" s="10"/>
      <c r="E289" s="10"/>
      <c r="F289" s="10"/>
      <c r="G289" s="1"/>
      <c r="H289" s="1"/>
      <c r="I289" s="1"/>
      <c r="J289" s="2"/>
      <c r="K289" s="1"/>
      <c r="L289" s="3"/>
      <c r="M289" s="1"/>
      <c r="AP289" s="1"/>
      <c r="AQ289" s="1"/>
      <c r="AR289" s="1"/>
      <c r="AS289" s="1"/>
      <c r="AT289" s="1"/>
    </row>
    <row r="290" spans="1:46" s="18" customFormat="1" x14ac:dyDescent="0.2">
      <c r="A290" s="10"/>
      <c r="B290" s="10"/>
      <c r="C290" s="10"/>
      <c r="D290" s="10"/>
      <c r="E290" s="10"/>
      <c r="F290" s="10"/>
      <c r="G290" s="1"/>
      <c r="H290" s="1"/>
      <c r="I290" s="1"/>
      <c r="J290" s="2"/>
      <c r="K290" s="1"/>
      <c r="L290" s="3"/>
      <c r="M290" s="1"/>
      <c r="AP290" s="1"/>
      <c r="AQ290" s="1"/>
      <c r="AR290" s="1"/>
      <c r="AS290" s="1"/>
      <c r="AT290" s="1"/>
    </row>
    <row r="291" spans="1:46" s="18" customFormat="1" x14ac:dyDescent="0.2">
      <c r="A291" s="10"/>
      <c r="B291" s="10"/>
      <c r="C291" s="10"/>
      <c r="D291" s="10"/>
      <c r="E291" s="10"/>
      <c r="F291" s="10"/>
      <c r="G291" s="1"/>
      <c r="H291" s="1"/>
      <c r="I291" s="1"/>
      <c r="J291" s="2"/>
      <c r="K291" s="1"/>
      <c r="L291" s="3"/>
      <c r="M291" s="1"/>
      <c r="AP291" s="1"/>
      <c r="AQ291" s="1"/>
      <c r="AR291" s="1"/>
      <c r="AS291" s="1"/>
      <c r="AT291" s="1"/>
    </row>
    <row r="292" spans="1:46" s="18" customFormat="1" x14ac:dyDescent="0.2">
      <c r="A292" s="10"/>
      <c r="B292" s="10"/>
      <c r="C292" s="10"/>
      <c r="D292" s="10"/>
      <c r="E292" s="10"/>
      <c r="F292" s="10"/>
      <c r="G292" s="1"/>
      <c r="H292" s="1"/>
      <c r="I292" s="1"/>
      <c r="J292" s="2"/>
      <c r="K292" s="1"/>
      <c r="L292" s="3"/>
      <c r="M292" s="1"/>
      <c r="AP292" s="1"/>
      <c r="AQ292" s="1"/>
      <c r="AR292" s="1"/>
      <c r="AS292" s="1"/>
      <c r="AT292" s="1"/>
    </row>
    <row r="293" spans="1:46" s="18" customFormat="1" x14ac:dyDescent="0.2">
      <c r="A293" s="10"/>
      <c r="B293" s="10"/>
      <c r="C293" s="10"/>
      <c r="D293" s="10"/>
      <c r="E293" s="10"/>
      <c r="F293" s="10"/>
      <c r="G293" s="1"/>
      <c r="H293" s="1"/>
      <c r="I293" s="1"/>
      <c r="J293" s="2"/>
      <c r="K293" s="1"/>
      <c r="L293" s="3"/>
      <c r="M293" s="1"/>
      <c r="AP293" s="1"/>
      <c r="AQ293" s="1"/>
      <c r="AR293" s="1"/>
      <c r="AS293" s="1"/>
      <c r="AT293" s="1"/>
    </row>
    <row r="294" spans="1:46" s="18" customFormat="1" x14ac:dyDescent="0.2">
      <c r="A294" s="10"/>
      <c r="B294" s="10"/>
      <c r="C294" s="10"/>
      <c r="D294" s="10"/>
      <c r="E294" s="10"/>
      <c r="F294" s="10"/>
      <c r="G294" s="1"/>
      <c r="H294" s="1"/>
      <c r="I294" s="1"/>
      <c r="J294" s="2"/>
      <c r="K294" s="1"/>
      <c r="L294" s="3"/>
      <c r="M294" s="1"/>
      <c r="AP294" s="1"/>
      <c r="AQ294" s="1"/>
      <c r="AR294" s="1"/>
      <c r="AS294" s="1"/>
      <c r="AT294" s="1"/>
    </row>
    <row r="295" spans="1:46" s="18" customFormat="1" x14ac:dyDescent="0.2">
      <c r="A295" s="10"/>
      <c r="B295" s="10"/>
      <c r="C295" s="10"/>
      <c r="D295" s="10"/>
      <c r="E295" s="10"/>
      <c r="F295" s="10"/>
      <c r="G295" s="1"/>
      <c r="H295" s="1"/>
      <c r="I295" s="1"/>
      <c r="J295" s="2"/>
      <c r="K295" s="1"/>
      <c r="L295" s="3"/>
      <c r="M295" s="1"/>
      <c r="AP295" s="1"/>
      <c r="AQ295" s="1"/>
      <c r="AR295" s="1"/>
      <c r="AS295" s="1"/>
      <c r="AT295" s="1"/>
    </row>
    <row r="296" spans="1:46" s="18" customFormat="1" x14ac:dyDescent="0.2">
      <c r="A296" s="10"/>
      <c r="B296" s="10"/>
      <c r="C296" s="10"/>
      <c r="D296" s="10"/>
      <c r="E296" s="10"/>
      <c r="F296" s="10"/>
      <c r="G296" s="1"/>
      <c r="H296" s="1"/>
      <c r="I296" s="1"/>
      <c r="J296" s="2"/>
      <c r="K296" s="1"/>
      <c r="L296" s="3"/>
      <c r="M296" s="1"/>
      <c r="AP296" s="1"/>
      <c r="AQ296" s="1"/>
      <c r="AR296" s="1"/>
      <c r="AS296" s="1"/>
      <c r="AT296" s="1"/>
    </row>
    <row r="297" spans="1:46" s="18" customFormat="1" x14ac:dyDescent="0.2">
      <c r="A297" s="10"/>
      <c r="B297" s="10"/>
      <c r="C297" s="10"/>
      <c r="D297" s="10"/>
      <c r="E297" s="10"/>
      <c r="F297" s="10"/>
      <c r="G297" s="1"/>
      <c r="H297" s="1"/>
      <c r="I297" s="1"/>
      <c r="J297" s="2"/>
      <c r="K297" s="1"/>
      <c r="L297" s="3"/>
      <c r="M297" s="1"/>
      <c r="AP297" s="1"/>
      <c r="AQ297" s="1"/>
      <c r="AR297" s="1"/>
      <c r="AS297" s="1"/>
      <c r="AT297" s="1"/>
    </row>
    <row r="298" spans="1:46" s="18" customFormat="1" x14ac:dyDescent="0.2">
      <c r="A298" s="10"/>
      <c r="B298" s="10"/>
      <c r="C298" s="10"/>
      <c r="D298" s="10"/>
      <c r="E298" s="10"/>
      <c r="F298" s="10"/>
      <c r="G298" s="1"/>
      <c r="H298" s="1"/>
      <c r="I298" s="1"/>
      <c r="J298" s="2"/>
      <c r="K298" s="1"/>
      <c r="L298" s="3"/>
      <c r="M298" s="1"/>
      <c r="AP298" s="1"/>
      <c r="AQ298" s="1"/>
      <c r="AR298" s="1"/>
      <c r="AS298" s="1"/>
      <c r="AT298" s="1"/>
    </row>
    <row r="299" spans="1:46" s="18" customFormat="1" x14ac:dyDescent="0.2">
      <c r="A299" s="10"/>
      <c r="B299" s="10"/>
      <c r="C299" s="10"/>
      <c r="D299" s="10"/>
      <c r="E299" s="10"/>
      <c r="F299" s="10"/>
      <c r="G299" s="1"/>
      <c r="H299" s="1"/>
      <c r="I299" s="1"/>
      <c r="J299" s="2"/>
      <c r="K299" s="1"/>
      <c r="L299" s="3"/>
      <c r="M299" s="1"/>
      <c r="AP299" s="1"/>
      <c r="AQ299" s="1"/>
      <c r="AR299" s="1"/>
      <c r="AS299" s="1"/>
      <c r="AT299" s="1"/>
    </row>
    <row r="300" spans="1:46" s="18" customFormat="1" x14ac:dyDescent="0.2">
      <c r="A300" s="10"/>
      <c r="B300" s="10"/>
      <c r="C300" s="10"/>
      <c r="D300" s="10"/>
      <c r="E300" s="10"/>
      <c r="F300" s="10"/>
      <c r="G300" s="1"/>
      <c r="H300" s="1"/>
      <c r="I300" s="1"/>
      <c r="J300" s="2"/>
      <c r="K300" s="1"/>
      <c r="L300" s="3"/>
      <c r="M300" s="1"/>
      <c r="AP300" s="1"/>
      <c r="AQ300" s="1"/>
      <c r="AR300" s="1"/>
      <c r="AS300" s="1"/>
      <c r="AT300" s="1"/>
    </row>
    <row r="301" spans="1:46" s="18" customFormat="1" x14ac:dyDescent="0.2">
      <c r="A301" s="10"/>
      <c r="B301" s="10"/>
      <c r="C301" s="10"/>
      <c r="D301" s="10"/>
      <c r="E301" s="10"/>
      <c r="F301" s="10"/>
      <c r="G301" s="1"/>
      <c r="H301" s="1"/>
      <c r="I301" s="1"/>
      <c r="J301" s="2"/>
      <c r="K301" s="1"/>
      <c r="L301" s="3"/>
      <c r="M301" s="1"/>
      <c r="AP301" s="1"/>
      <c r="AQ301" s="1"/>
      <c r="AR301" s="1"/>
      <c r="AS301" s="1"/>
      <c r="AT301" s="1"/>
    </row>
    <row r="302" spans="1:46" s="18" customFormat="1" x14ac:dyDescent="0.2">
      <c r="A302" s="10"/>
      <c r="B302" s="10"/>
      <c r="C302" s="10"/>
      <c r="D302" s="10"/>
      <c r="E302" s="10"/>
      <c r="F302" s="10"/>
      <c r="G302" s="1"/>
      <c r="H302" s="1"/>
      <c r="I302" s="1"/>
      <c r="J302" s="2"/>
      <c r="K302" s="1"/>
      <c r="L302" s="3"/>
      <c r="M302" s="1"/>
      <c r="AP302" s="1"/>
      <c r="AQ302" s="1"/>
      <c r="AR302" s="1"/>
      <c r="AS302" s="1"/>
      <c r="AT302" s="1"/>
    </row>
    <row r="303" spans="1:46" s="18" customFormat="1" x14ac:dyDescent="0.2">
      <c r="A303" s="10"/>
      <c r="B303" s="10"/>
      <c r="C303" s="10"/>
      <c r="D303" s="10"/>
      <c r="E303" s="10"/>
      <c r="F303" s="10"/>
      <c r="G303" s="1"/>
      <c r="H303" s="1"/>
      <c r="I303" s="1"/>
      <c r="J303" s="2"/>
      <c r="K303" s="1"/>
      <c r="L303" s="3"/>
      <c r="M303" s="1"/>
      <c r="AP303" s="1"/>
      <c r="AQ303" s="1"/>
      <c r="AR303" s="1"/>
      <c r="AS303" s="1"/>
      <c r="AT303" s="1"/>
    </row>
    <row r="304" spans="1:46" s="18" customFormat="1" x14ac:dyDescent="0.2">
      <c r="A304" s="10"/>
      <c r="B304" s="10"/>
      <c r="C304" s="10"/>
      <c r="D304" s="10"/>
      <c r="E304" s="10"/>
      <c r="F304" s="10"/>
      <c r="G304" s="1"/>
      <c r="H304" s="1"/>
      <c r="I304" s="1"/>
      <c r="J304" s="2"/>
      <c r="K304" s="1"/>
      <c r="L304" s="3"/>
      <c r="M304" s="1"/>
      <c r="AP304" s="1"/>
      <c r="AQ304" s="1"/>
      <c r="AR304" s="1"/>
      <c r="AS304" s="1"/>
      <c r="AT304" s="1"/>
    </row>
    <row r="305" spans="1:46" s="18" customFormat="1" x14ac:dyDescent="0.2">
      <c r="A305" s="10"/>
      <c r="B305" s="10"/>
      <c r="C305" s="10"/>
      <c r="D305" s="10"/>
      <c r="E305" s="10"/>
      <c r="F305" s="10"/>
      <c r="G305" s="1"/>
      <c r="H305" s="1"/>
      <c r="I305" s="1"/>
      <c r="J305" s="2"/>
      <c r="K305" s="1"/>
      <c r="L305" s="3"/>
      <c r="M305" s="1"/>
      <c r="AP305" s="1"/>
      <c r="AQ305" s="1"/>
      <c r="AR305" s="1"/>
      <c r="AS305" s="1"/>
      <c r="AT305" s="1"/>
    </row>
    <row r="306" spans="1:46" s="18" customFormat="1" x14ac:dyDescent="0.2">
      <c r="A306" s="10"/>
      <c r="B306" s="10"/>
      <c r="C306" s="10"/>
      <c r="D306" s="10"/>
      <c r="E306" s="10"/>
      <c r="F306" s="10"/>
      <c r="G306" s="1"/>
      <c r="H306" s="1"/>
      <c r="I306" s="1"/>
      <c r="J306" s="2"/>
      <c r="K306" s="1"/>
      <c r="L306" s="3"/>
      <c r="M306" s="1"/>
      <c r="AP306" s="1"/>
      <c r="AQ306" s="1"/>
      <c r="AR306" s="1"/>
      <c r="AS306" s="1"/>
      <c r="AT306" s="1"/>
    </row>
    <row r="307" spans="1:46" s="18" customFormat="1" x14ac:dyDescent="0.2">
      <c r="A307" s="10"/>
      <c r="B307" s="10"/>
      <c r="C307" s="10"/>
      <c r="D307" s="10"/>
      <c r="E307" s="10"/>
      <c r="F307" s="10"/>
      <c r="G307" s="1"/>
      <c r="H307" s="1"/>
      <c r="I307" s="1"/>
      <c r="J307" s="2"/>
      <c r="K307" s="1"/>
      <c r="L307" s="3"/>
      <c r="M307" s="1"/>
      <c r="AP307" s="1"/>
      <c r="AQ307" s="1"/>
      <c r="AR307" s="1"/>
      <c r="AS307" s="1"/>
      <c r="AT307" s="1"/>
    </row>
    <row r="308" spans="1:46" s="18" customFormat="1" x14ac:dyDescent="0.2">
      <c r="A308" s="10"/>
      <c r="B308" s="10"/>
      <c r="C308" s="10"/>
      <c r="D308" s="10"/>
      <c r="E308" s="10"/>
      <c r="F308" s="10"/>
      <c r="G308" s="1"/>
      <c r="H308" s="1"/>
      <c r="I308" s="1"/>
      <c r="J308" s="2"/>
      <c r="K308" s="1"/>
      <c r="L308" s="3"/>
      <c r="M308" s="1"/>
      <c r="AP308" s="1"/>
      <c r="AQ308" s="1"/>
      <c r="AR308" s="1"/>
      <c r="AS308" s="1"/>
      <c r="AT308" s="1"/>
    </row>
    <row r="309" spans="1:46" s="18" customFormat="1" x14ac:dyDescent="0.2">
      <c r="A309" s="10"/>
      <c r="B309" s="10"/>
      <c r="C309" s="10"/>
      <c r="D309" s="10"/>
      <c r="E309" s="10"/>
      <c r="F309" s="10"/>
      <c r="G309" s="1"/>
      <c r="H309" s="1"/>
      <c r="I309" s="1"/>
      <c r="J309" s="2"/>
      <c r="K309" s="1"/>
      <c r="L309" s="3"/>
      <c r="M309" s="1"/>
      <c r="AP309" s="1"/>
      <c r="AQ309" s="1"/>
      <c r="AR309" s="1"/>
      <c r="AS309" s="1"/>
      <c r="AT309" s="1"/>
    </row>
    <row r="310" spans="1:46" s="18" customFormat="1" x14ac:dyDescent="0.2">
      <c r="A310" s="10"/>
      <c r="B310" s="10"/>
      <c r="C310" s="10"/>
      <c r="D310" s="10"/>
      <c r="E310" s="10"/>
      <c r="F310" s="10"/>
      <c r="G310" s="1"/>
      <c r="H310" s="1"/>
      <c r="I310" s="1"/>
      <c r="J310" s="2"/>
      <c r="K310" s="1"/>
      <c r="L310" s="3"/>
      <c r="M310" s="1"/>
      <c r="AP310" s="1"/>
      <c r="AQ310" s="1"/>
      <c r="AR310" s="1"/>
      <c r="AS310" s="1"/>
      <c r="AT310" s="1"/>
    </row>
    <row r="311" spans="1:46" s="18" customFormat="1" x14ac:dyDescent="0.2">
      <c r="A311" s="10"/>
      <c r="B311" s="10"/>
      <c r="C311" s="10"/>
      <c r="D311" s="10"/>
      <c r="E311" s="10"/>
      <c r="F311" s="10"/>
      <c r="G311" s="1"/>
      <c r="H311" s="1"/>
      <c r="I311" s="1"/>
      <c r="J311" s="2"/>
      <c r="K311" s="1"/>
      <c r="L311" s="3"/>
      <c r="M311" s="1"/>
      <c r="AP311" s="1"/>
      <c r="AQ311" s="1"/>
      <c r="AR311" s="1"/>
      <c r="AS311" s="1"/>
      <c r="AT311" s="1"/>
    </row>
    <row r="312" spans="1:46" s="18" customFormat="1" x14ac:dyDescent="0.2">
      <c r="A312" s="10"/>
      <c r="B312" s="10"/>
      <c r="C312" s="10"/>
      <c r="D312" s="10"/>
      <c r="E312" s="10"/>
      <c r="F312" s="10"/>
      <c r="G312" s="1"/>
      <c r="H312" s="1"/>
      <c r="I312" s="1"/>
      <c r="J312" s="2"/>
      <c r="K312" s="1"/>
      <c r="L312" s="3"/>
      <c r="M312" s="1"/>
      <c r="AP312" s="1"/>
      <c r="AQ312" s="1"/>
      <c r="AR312" s="1"/>
      <c r="AS312" s="1"/>
      <c r="AT312" s="1"/>
    </row>
    <row r="313" spans="1:46" s="18" customFormat="1" x14ac:dyDescent="0.2">
      <c r="A313" s="10"/>
      <c r="B313" s="10"/>
      <c r="C313" s="10"/>
      <c r="D313" s="10"/>
      <c r="E313" s="10"/>
      <c r="F313" s="10"/>
      <c r="G313" s="1"/>
      <c r="H313" s="1"/>
      <c r="I313" s="1"/>
      <c r="J313" s="2"/>
      <c r="K313" s="1"/>
      <c r="L313" s="3"/>
      <c r="M313" s="1"/>
      <c r="AP313" s="1"/>
      <c r="AQ313" s="1"/>
      <c r="AR313" s="1"/>
      <c r="AS313" s="1"/>
      <c r="AT313" s="1"/>
    </row>
    <row r="314" spans="1:46" s="18" customFormat="1" x14ac:dyDescent="0.2">
      <c r="A314" s="10"/>
      <c r="B314" s="10"/>
      <c r="C314" s="10"/>
      <c r="D314" s="10"/>
      <c r="E314" s="10"/>
      <c r="F314" s="10"/>
      <c r="G314" s="1"/>
      <c r="H314" s="1"/>
      <c r="I314" s="1"/>
      <c r="J314" s="2"/>
      <c r="K314" s="1"/>
      <c r="L314" s="3"/>
      <c r="M314" s="1"/>
      <c r="AP314" s="1"/>
      <c r="AQ314" s="1"/>
      <c r="AR314" s="1"/>
      <c r="AS314" s="1"/>
      <c r="AT314" s="1"/>
    </row>
    <row r="315" spans="1:46" s="18" customFormat="1" x14ac:dyDescent="0.2">
      <c r="A315" s="10"/>
      <c r="B315" s="10"/>
      <c r="C315" s="10"/>
      <c r="D315" s="10"/>
      <c r="E315" s="10"/>
      <c r="F315" s="10"/>
      <c r="G315" s="1"/>
      <c r="H315" s="1"/>
      <c r="I315" s="1"/>
      <c r="J315" s="2"/>
      <c r="K315" s="1"/>
      <c r="L315" s="3"/>
      <c r="M315" s="1"/>
      <c r="AP315" s="1"/>
      <c r="AQ315" s="1"/>
      <c r="AR315" s="1"/>
      <c r="AS315" s="1"/>
      <c r="AT315" s="1"/>
    </row>
    <row r="316" spans="1:46" s="18" customFormat="1" x14ac:dyDescent="0.2">
      <c r="A316" s="10"/>
      <c r="B316" s="10"/>
      <c r="C316" s="10"/>
      <c r="D316" s="10"/>
      <c r="E316" s="10"/>
      <c r="F316" s="10"/>
      <c r="G316" s="1"/>
      <c r="H316" s="1"/>
      <c r="I316" s="1"/>
      <c r="J316" s="2"/>
      <c r="K316" s="1"/>
      <c r="L316" s="3"/>
      <c r="M316" s="1"/>
      <c r="AP316" s="1"/>
      <c r="AQ316" s="1"/>
      <c r="AR316" s="1"/>
      <c r="AS316" s="1"/>
      <c r="AT316" s="1"/>
    </row>
    <row r="317" spans="1:46" s="18" customFormat="1" x14ac:dyDescent="0.2">
      <c r="A317" s="10"/>
      <c r="B317" s="10"/>
      <c r="C317" s="10"/>
      <c r="D317" s="10"/>
      <c r="E317" s="10"/>
      <c r="F317" s="10"/>
      <c r="G317" s="1"/>
      <c r="H317" s="1"/>
      <c r="I317" s="1"/>
      <c r="J317" s="2"/>
      <c r="K317" s="1"/>
      <c r="L317" s="3"/>
      <c r="M317" s="1"/>
      <c r="AP317" s="1"/>
      <c r="AQ317" s="1"/>
      <c r="AR317" s="1"/>
      <c r="AS317" s="1"/>
      <c r="AT317" s="1"/>
    </row>
    <row r="318" spans="1:46" s="18" customFormat="1" x14ac:dyDescent="0.2">
      <c r="A318" s="10"/>
      <c r="B318" s="10"/>
      <c r="C318" s="10"/>
      <c r="D318" s="10"/>
      <c r="E318" s="10"/>
      <c r="F318" s="10"/>
      <c r="G318" s="1"/>
      <c r="H318" s="1"/>
      <c r="I318" s="1"/>
      <c r="J318" s="2"/>
      <c r="K318" s="1"/>
      <c r="L318" s="3"/>
      <c r="M318" s="1"/>
      <c r="AP318" s="1"/>
      <c r="AQ318" s="1"/>
      <c r="AR318" s="1"/>
      <c r="AS318" s="1"/>
      <c r="AT318" s="1"/>
    </row>
    <row r="319" spans="1:46" s="18" customFormat="1" x14ac:dyDescent="0.2">
      <c r="A319" s="10"/>
      <c r="B319" s="10"/>
      <c r="C319" s="10"/>
      <c r="D319" s="10"/>
      <c r="E319" s="10"/>
      <c r="F319" s="10"/>
      <c r="G319" s="1"/>
      <c r="H319" s="1"/>
      <c r="I319" s="1"/>
      <c r="J319" s="2"/>
      <c r="K319" s="1"/>
      <c r="L319" s="3"/>
      <c r="M319" s="1"/>
      <c r="AP319" s="1"/>
      <c r="AQ319" s="1"/>
      <c r="AR319" s="1"/>
      <c r="AS319" s="1"/>
      <c r="AT319" s="1"/>
    </row>
    <row r="320" spans="1:46" s="18" customFormat="1" x14ac:dyDescent="0.2">
      <c r="A320" s="10"/>
      <c r="B320" s="10"/>
      <c r="C320" s="10"/>
      <c r="D320" s="10"/>
      <c r="E320" s="10"/>
      <c r="F320" s="10"/>
      <c r="G320" s="1"/>
      <c r="H320" s="1"/>
      <c r="I320" s="1"/>
      <c r="J320" s="2"/>
      <c r="K320" s="1"/>
      <c r="L320" s="3"/>
      <c r="M320" s="1"/>
      <c r="AP320" s="1"/>
      <c r="AQ320" s="1"/>
      <c r="AR320" s="1"/>
      <c r="AS320" s="1"/>
      <c r="AT320" s="1"/>
    </row>
    <row r="321" spans="1:46" s="18" customFormat="1" x14ac:dyDescent="0.2">
      <c r="A321" s="10"/>
      <c r="B321" s="10"/>
      <c r="C321" s="10"/>
      <c r="D321" s="10"/>
      <c r="E321" s="10"/>
      <c r="F321" s="10"/>
      <c r="G321" s="1"/>
      <c r="H321" s="1"/>
      <c r="I321" s="1"/>
      <c r="J321" s="2"/>
      <c r="K321" s="1"/>
      <c r="L321" s="3"/>
      <c r="M321" s="1"/>
      <c r="AP321" s="1"/>
      <c r="AQ321" s="1"/>
      <c r="AR321" s="1"/>
      <c r="AS321" s="1"/>
      <c r="AT321" s="1"/>
    </row>
    <row r="322" spans="1:46" s="18" customFormat="1" x14ac:dyDescent="0.2">
      <c r="A322" s="10"/>
      <c r="B322" s="10"/>
      <c r="C322" s="10"/>
      <c r="D322" s="10"/>
      <c r="E322" s="10"/>
      <c r="F322" s="10"/>
      <c r="G322" s="1"/>
      <c r="H322" s="1"/>
      <c r="I322" s="1"/>
      <c r="J322" s="2"/>
      <c r="K322" s="1"/>
      <c r="L322" s="3"/>
      <c r="M322" s="1"/>
      <c r="AP322" s="1"/>
      <c r="AQ322" s="1"/>
      <c r="AR322" s="1"/>
      <c r="AS322" s="1"/>
      <c r="AT322" s="1"/>
    </row>
    <row r="323" spans="1:46" s="18" customFormat="1" x14ac:dyDescent="0.2">
      <c r="A323" s="10"/>
      <c r="B323" s="10"/>
      <c r="C323" s="10"/>
      <c r="D323" s="10"/>
      <c r="E323" s="10"/>
      <c r="F323" s="10"/>
      <c r="G323" s="1"/>
      <c r="H323" s="1"/>
      <c r="I323" s="1"/>
      <c r="J323" s="2"/>
      <c r="K323" s="1"/>
      <c r="L323" s="3"/>
      <c r="M323" s="1"/>
      <c r="AP323" s="1"/>
      <c r="AQ323" s="1"/>
      <c r="AR323" s="1"/>
      <c r="AS323" s="1"/>
      <c r="AT323" s="1"/>
    </row>
    <row r="324" spans="1:46" s="18" customFormat="1" x14ac:dyDescent="0.2">
      <c r="A324" s="10"/>
      <c r="B324" s="10"/>
      <c r="C324" s="10"/>
      <c r="D324" s="10"/>
      <c r="E324" s="10"/>
      <c r="F324" s="10"/>
      <c r="G324" s="1"/>
      <c r="H324" s="1"/>
      <c r="I324" s="1"/>
      <c r="J324" s="2"/>
      <c r="K324" s="1"/>
      <c r="L324" s="3"/>
      <c r="M324" s="1"/>
      <c r="AP324" s="1"/>
      <c r="AQ324" s="1"/>
      <c r="AR324" s="1"/>
      <c r="AS324" s="1"/>
      <c r="AT324" s="1"/>
    </row>
    <row r="325" spans="1:46" s="18" customFormat="1" x14ac:dyDescent="0.2">
      <c r="A325" s="10"/>
      <c r="B325" s="10"/>
      <c r="C325" s="10"/>
      <c r="D325" s="10"/>
      <c r="E325" s="10"/>
      <c r="F325" s="10"/>
      <c r="G325" s="1"/>
      <c r="H325" s="1"/>
      <c r="I325" s="1"/>
      <c r="J325" s="2"/>
      <c r="K325" s="1"/>
      <c r="L325" s="3"/>
      <c r="M325" s="1"/>
      <c r="AP325" s="1"/>
      <c r="AQ325" s="1"/>
      <c r="AR325" s="1"/>
      <c r="AS325" s="1"/>
      <c r="AT325" s="1"/>
    </row>
    <row r="326" spans="1:46" s="18" customFormat="1" x14ac:dyDescent="0.2">
      <c r="A326" s="10"/>
      <c r="B326" s="10"/>
      <c r="C326" s="10"/>
      <c r="D326" s="10"/>
      <c r="E326" s="10"/>
      <c r="F326" s="10"/>
      <c r="G326" s="1"/>
      <c r="H326" s="1"/>
      <c r="I326" s="1"/>
      <c r="J326" s="2"/>
      <c r="K326" s="1"/>
      <c r="L326" s="3"/>
      <c r="M326" s="1"/>
      <c r="AP326" s="1"/>
      <c r="AQ326" s="1"/>
      <c r="AR326" s="1"/>
      <c r="AS326" s="1"/>
      <c r="AT326" s="1"/>
    </row>
    <row r="327" spans="1:46" s="18" customFormat="1" x14ac:dyDescent="0.2">
      <c r="A327" s="10"/>
      <c r="B327" s="10"/>
      <c r="C327" s="10"/>
      <c r="D327" s="10"/>
      <c r="E327" s="10"/>
      <c r="F327" s="10"/>
      <c r="G327" s="1"/>
      <c r="H327" s="1"/>
      <c r="I327" s="1"/>
      <c r="J327" s="2"/>
      <c r="K327" s="1"/>
      <c r="L327" s="3"/>
      <c r="M327" s="1"/>
      <c r="AP327" s="1"/>
      <c r="AQ327" s="1"/>
      <c r="AR327" s="1"/>
      <c r="AS327" s="1"/>
      <c r="AT327" s="1"/>
    </row>
    <row r="328" spans="1:46" s="18" customFormat="1" x14ac:dyDescent="0.2">
      <c r="A328" s="10"/>
      <c r="B328" s="10"/>
      <c r="C328" s="10"/>
      <c r="D328" s="10"/>
      <c r="E328" s="10"/>
      <c r="F328" s="10"/>
      <c r="G328" s="1"/>
      <c r="H328" s="1"/>
      <c r="I328" s="1"/>
      <c r="J328" s="2"/>
      <c r="K328" s="1"/>
      <c r="L328" s="3"/>
      <c r="M328" s="1"/>
      <c r="AP328" s="1"/>
      <c r="AQ328" s="1"/>
      <c r="AR328" s="1"/>
      <c r="AS328" s="1"/>
      <c r="AT328" s="1"/>
    </row>
    <row r="329" spans="1:46" s="18" customFormat="1" x14ac:dyDescent="0.2">
      <c r="A329" s="10"/>
      <c r="B329" s="10"/>
      <c r="C329" s="10"/>
      <c r="D329" s="10"/>
      <c r="E329" s="10"/>
      <c r="F329" s="10"/>
      <c r="G329" s="1"/>
      <c r="H329" s="1"/>
      <c r="I329" s="1"/>
      <c r="J329" s="2"/>
      <c r="K329" s="1"/>
      <c r="L329" s="3"/>
      <c r="M329" s="1"/>
      <c r="AP329" s="1"/>
      <c r="AQ329" s="1"/>
      <c r="AR329" s="1"/>
      <c r="AS329" s="1"/>
      <c r="AT329" s="1"/>
    </row>
    <row r="330" spans="1:46" s="18" customFormat="1" x14ac:dyDescent="0.2">
      <c r="A330" s="10"/>
      <c r="B330" s="10"/>
      <c r="C330" s="10"/>
      <c r="D330" s="10"/>
      <c r="E330" s="10"/>
      <c r="F330" s="10"/>
      <c r="G330" s="1"/>
      <c r="H330" s="1"/>
      <c r="I330" s="1"/>
      <c r="J330" s="2"/>
      <c r="K330" s="1"/>
      <c r="L330" s="3"/>
      <c r="M330" s="1"/>
      <c r="AP330" s="1"/>
      <c r="AQ330" s="1"/>
      <c r="AR330" s="1"/>
      <c r="AS330" s="1"/>
      <c r="AT330" s="1"/>
    </row>
    <row r="331" spans="1:46" s="18" customFormat="1" x14ac:dyDescent="0.2">
      <c r="A331" s="10"/>
      <c r="B331" s="10"/>
      <c r="C331" s="10"/>
      <c r="D331" s="10"/>
      <c r="E331" s="10"/>
      <c r="F331" s="10"/>
      <c r="G331" s="1"/>
      <c r="H331" s="1"/>
      <c r="I331" s="1"/>
      <c r="J331" s="2"/>
      <c r="K331" s="1"/>
      <c r="L331" s="3"/>
      <c r="M331" s="1"/>
      <c r="AP331" s="1"/>
      <c r="AQ331" s="1"/>
      <c r="AR331" s="1"/>
      <c r="AS331" s="1"/>
      <c r="AT331" s="1"/>
    </row>
    <row r="332" spans="1:46" s="18" customFormat="1" x14ac:dyDescent="0.2">
      <c r="A332" s="10"/>
      <c r="B332" s="10"/>
      <c r="C332" s="10"/>
      <c r="D332" s="10"/>
      <c r="E332" s="10"/>
      <c r="F332" s="10"/>
      <c r="G332" s="1"/>
      <c r="H332" s="1"/>
      <c r="I332" s="1"/>
      <c r="J332" s="2"/>
      <c r="K332" s="1"/>
      <c r="L332" s="3"/>
      <c r="M332" s="1"/>
      <c r="AP332" s="1"/>
      <c r="AQ332" s="1"/>
      <c r="AR332" s="1"/>
      <c r="AS332" s="1"/>
      <c r="AT332" s="1"/>
    </row>
    <row r="333" spans="1:46" s="18" customFormat="1" x14ac:dyDescent="0.2">
      <c r="A333" s="10"/>
      <c r="B333" s="10"/>
      <c r="C333" s="10"/>
      <c r="D333" s="10"/>
      <c r="E333" s="10"/>
      <c r="F333" s="10"/>
      <c r="G333" s="1"/>
      <c r="H333" s="1"/>
      <c r="I333" s="1"/>
      <c r="J333" s="2"/>
      <c r="K333" s="1"/>
      <c r="L333" s="3"/>
      <c r="M333" s="1"/>
      <c r="AP333" s="1"/>
      <c r="AQ333" s="1"/>
      <c r="AR333" s="1"/>
      <c r="AS333" s="1"/>
      <c r="AT333" s="1"/>
    </row>
    <row r="334" spans="1:46" s="18" customFormat="1" x14ac:dyDescent="0.2">
      <c r="A334" s="10"/>
      <c r="B334" s="10"/>
      <c r="C334" s="10"/>
      <c r="D334" s="10"/>
      <c r="E334" s="10"/>
      <c r="F334" s="10"/>
      <c r="G334" s="1"/>
      <c r="H334" s="1"/>
      <c r="I334" s="1"/>
      <c r="J334" s="2"/>
      <c r="K334" s="1"/>
      <c r="L334" s="3"/>
      <c r="M334" s="1"/>
      <c r="AP334" s="1"/>
      <c r="AQ334" s="1"/>
      <c r="AR334" s="1"/>
      <c r="AS334" s="1"/>
      <c r="AT334" s="1"/>
    </row>
    <row r="335" spans="1:46" s="18" customFormat="1" x14ac:dyDescent="0.2">
      <c r="A335" s="10"/>
      <c r="B335" s="10"/>
      <c r="C335" s="10"/>
      <c r="D335" s="10"/>
      <c r="E335" s="10"/>
      <c r="F335" s="10"/>
      <c r="G335" s="1"/>
      <c r="H335" s="1"/>
      <c r="I335" s="1"/>
      <c r="J335" s="2"/>
      <c r="K335" s="1"/>
      <c r="L335" s="3"/>
      <c r="M335" s="1"/>
      <c r="AP335" s="1"/>
      <c r="AQ335" s="1"/>
      <c r="AR335" s="1"/>
      <c r="AS335" s="1"/>
      <c r="AT335" s="1"/>
    </row>
    <row r="336" spans="1:46" s="18" customFormat="1" x14ac:dyDescent="0.2">
      <c r="A336" s="10"/>
      <c r="B336" s="10"/>
      <c r="C336" s="10"/>
      <c r="D336" s="10"/>
      <c r="E336" s="10"/>
      <c r="F336" s="10"/>
      <c r="G336" s="1"/>
      <c r="H336" s="1"/>
      <c r="I336" s="1"/>
      <c r="J336" s="2"/>
      <c r="K336" s="1"/>
      <c r="L336" s="3"/>
      <c r="M336" s="1"/>
      <c r="AP336" s="1"/>
      <c r="AQ336" s="1"/>
      <c r="AR336" s="1"/>
      <c r="AS336" s="1"/>
      <c r="AT336" s="1"/>
    </row>
    <row r="337" spans="1:46" s="18" customFormat="1" x14ac:dyDescent="0.2">
      <c r="A337" s="10"/>
      <c r="B337" s="10"/>
      <c r="C337" s="10"/>
      <c r="D337" s="10"/>
      <c r="E337" s="10"/>
      <c r="F337" s="10"/>
      <c r="G337" s="1"/>
      <c r="H337" s="1"/>
      <c r="I337" s="1"/>
      <c r="J337" s="2"/>
      <c r="K337" s="1"/>
      <c r="L337" s="3"/>
      <c r="M337" s="1"/>
      <c r="AP337" s="1"/>
      <c r="AQ337" s="1"/>
      <c r="AR337" s="1"/>
      <c r="AS337" s="1"/>
      <c r="AT337" s="1"/>
    </row>
    <row r="338" spans="1:46" s="18" customFormat="1" x14ac:dyDescent="0.2">
      <c r="A338" s="10"/>
      <c r="B338" s="10"/>
      <c r="C338" s="10"/>
      <c r="D338" s="10"/>
      <c r="E338" s="10"/>
      <c r="F338" s="10"/>
      <c r="G338" s="1"/>
      <c r="H338" s="1"/>
      <c r="I338" s="1"/>
      <c r="J338" s="2"/>
      <c r="K338" s="1"/>
      <c r="L338" s="3"/>
      <c r="M338" s="1"/>
      <c r="AP338" s="1"/>
      <c r="AQ338" s="1"/>
      <c r="AR338" s="1"/>
      <c r="AS338" s="1"/>
      <c r="AT338" s="1"/>
    </row>
    <row r="339" spans="1:46" s="18" customFormat="1" x14ac:dyDescent="0.2">
      <c r="A339" s="10"/>
      <c r="B339" s="10"/>
      <c r="C339" s="10"/>
      <c r="D339" s="10"/>
      <c r="E339" s="10"/>
      <c r="F339" s="10"/>
      <c r="G339" s="1"/>
      <c r="H339" s="1"/>
      <c r="I339" s="1"/>
      <c r="J339" s="2"/>
      <c r="K339" s="1"/>
      <c r="L339" s="3"/>
      <c r="M339" s="1"/>
      <c r="AP339" s="1"/>
      <c r="AQ339" s="1"/>
      <c r="AR339" s="1"/>
      <c r="AS339" s="1"/>
      <c r="AT339" s="1"/>
    </row>
    <row r="340" spans="1:46" s="18" customFormat="1" x14ac:dyDescent="0.2">
      <c r="A340" s="10"/>
      <c r="B340" s="10"/>
      <c r="C340" s="10"/>
      <c r="D340" s="10"/>
      <c r="E340" s="10"/>
      <c r="F340" s="10"/>
      <c r="G340" s="1"/>
      <c r="H340" s="1"/>
      <c r="I340" s="1"/>
      <c r="J340" s="2"/>
      <c r="K340" s="1"/>
      <c r="L340" s="3"/>
      <c r="M340" s="1"/>
      <c r="AP340" s="1"/>
      <c r="AQ340" s="1"/>
      <c r="AR340" s="1"/>
      <c r="AS340" s="1"/>
      <c r="AT340" s="1"/>
    </row>
    <row r="341" spans="1:46" s="18" customFormat="1" x14ac:dyDescent="0.2">
      <c r="A341" s="10"/>
      <c r="B341" s="10"/>
      <c r="C341" s="10"/>
      <c r="D341" s="10"/>
      <c r="E341" s="10"/>
      <c r="F341" s="10"/>
      <c r="G341" s="1"/>
      <c r="H341" s="1"/>
      <c r="I341" s="1"/>
      <c r="J341" s="2"/>
      <c r="K341" s="1"/>
      <c r="L341" s="3"/>
      <c r="M341" s="1"/>
      <c r="AP341" s="1"/>
      <c r="AQ341" s="1"/>
      <c r="AR341" s="1"/>
      <c r="AS341" s="1"/>
      <c r="AT341" s="1"/>
    </row>
    <row r="342" spans="1:46" s="18" customFormat="1" x14ac:dyDescent="0.2">
      <c r="A342" s="10"/>
      <c r="B342" s="10"/>
      <c r="C342" s="10"/>
      <c r="D342" s="10"/>
      <c r="E342" s="10"/>
      <c r="F342" s="10"/>
      <c r="G342" s="1"/>
      <c r="H342" s="1"/>
      <c r="I342" s="1"/>
      <c r="J342" s="2"/>
      <c r="K342" s="1"/>
      <c r="L342" s="3"/>
      <c r="M342" s="1"/>
      <c r="AP342" s="1"/>
      <c r="AQ342" s="1"/>
      <c r="AR342" s="1"/>
      <c r="AS342" s="1"/>
      <c r="AT342" s="1"/>
    </row>
    <row r="343" spans="1:46" s="18" customFormat="1" x14ac:dyDescent="0.2">
      <c r="A343" s="10"/>
      <c r="B343" s="10"/>
      <c r="C343" s="10"/>
      <c r="D343" s="10"/>
      <c r="E343" s="10"/>
      <c r="F343" s="10"/>
      <c r="G343" s="1"/>
      <c r="H343" s="1"/>
      <c r="I343" s="1"/>
      <c r="J343" s="2"/>
      <c r="K343" s="1"/>
      <c r="L343" s="3"/>
      <c r="M343" s="1"/>
      <c r="AP343" s="1"/>
      <c r="AQ343" s="1"/>
      <c r="AR343" s="1"/>
      <c r="AS343" s="1"/>
      <c r="AT343" s="1"/>
    </row>
    <row r="344" spans="1:46" s="18" customFormat="1" x14ac:dyDescent="0.2">
      <c r="A344" s="10"/>
      <c r="B344" s="10"/>
      <c r="C344" s="10"/>
      <c r="D344" s="10"/>
      <c r="E344" s="10"/>
      <c r="F344" s="10"/>
      <c r="G344" s="1"/>
      <c r="H344" s="1"/>
      <c r="I344" s="1"/>
      <c r="J344" s="2"/>
      <c r="K344" s="1"/>
      <c r="L344" s="3"/>
      <c r="M344" s="1"/>
      <c r="AP344" s="1"/>
      <c r="AQ344" s="1"/>
      <c r="AR344" s="1"/>
      <c r="AS344" s="1"/>
      <c r="AT344" s="1"/>
    </row>
    <row r="345" spans="1:46" s="18" customFormat="1" x14ac:dyDescent="0.2">
      <c r="A345" s="10"/>
      <c r="B345" s="10"/>
      <c r="C345" s="10"/>
      <c r="D345" s="10"/>
      <c r="E345" s="10"/>
      <c r="F345" s="10"/>
      <c r="G345" s="1"/>
      <c r="H345" s="1"/>
      <c r="I345" s="1"/>
      <c r="J345" s="2"/>
      <c r="K345" s="1"/>
      <c r="L345" s="3"/>
      <c r="M345" s="1"/>
      <c r="AP345" s="1"/>
      <c r="AQ345" s="1"/>
      <c r="AR345" s="1"/>
      <c r="AS345" s="1"/>
      <c r="AT345" s="1"/>
    </row>
    <row r="346" spans="1:46" s="18" customFormat="1" x14ac:dyDescent="0.2">
      <c r="A346" s="10"/>
      <c r="B346" s="10"/>
      <c r="C346" s="10"/>
      <c r="D346" s="10"/>
      <c r="E346" s="10"/>
      <c r="F346" s="10"/>
      <c r="G346" s="1"/>
      <c r="H346" s="1"/>
      <c r="I346" s="1"/>
      <c r="J346" s="2"/>
      <c r="K346" s="1"/>
      <c r="L346" s="3"/>
      <c r="M346" s="1"/>
      <c r="AP346" s="1"/>
      <c r="AQ346" s="1"/>
      <c r="AR346" s="1"/>
      <c r="AS346" s="1"/>
      <c r="AT346" s="1"/>
    </row>
    <row r="347" spans="1:46" s="18" customFormat="1" x14ac:dyDescent="0.2">
      <c r="A347" s="10"/>
      <c r="B347" s="10"/>
      <c r="C347" s="10"/>
      <c r="D347" s="10"/>
      <c r="E347" s="10"/>
      <c r="F347" s="10"/>
      <c r="G347" s="1"/>
      <c r="H347" s="1"/>
      <c r="I347" s="1"/>
      <c r="J347" s="2"/>
      <c r="K347" s="1"/>
      <c r="L347" s="3"/>
      <c r="M347" s="1"/>
      <c r="AP347" s="1"/>
      <c r="AQ347" s="1"/>
      <c r="AR347" s="1"/>
      <c r="AS347" s="1"/>
      <c r="AT347" s="1"/>
    </row>
    <row r="348" spans="1:46" s="18" customFormat="1" x14ac:dyDescent="0.2">
      <c r="A348" s="10"/>
      <c r="B348" s="10"/>
      <c r="C348" s="10"/>
      <c r="D348" s="10"/>
      <c r="E348" s="10"/>
      <c r="F348" s="10"/>
      <c r="G348" s="1"/>
      <c r="H348" s="1"/>
      <c r="I348" s="1"/>
      <c r="J348" s="2"/>
      <c r="K348" s="1"/>
      <c r="L348" s="3"/>
      <c r="M348" s="1"/>
      <c r="AP348" s="1"/>
      <c r="AQ348" s="1"/>
      <c r="AR348" s="1"/>
      <c r="AS348" s="1"/>
      <c r="AT348" s="1"/>
    </row>
    <row r="349" spans="1:46" s="18" customFormat="1" x14ac:dyDescent="0.2">
      <c r="A349" s="10"/>
      <c r="B349" s="10"/>
      <c r="C349" s="10"/>
      <c r="D349" s="10"/>
      <c r="E349" s="10"/>
      <c r="F349" s="10"/>
      <c r="G349" s="1"/>
      <c r="H349" s="1"/>
      <c r="I349" s="1"/>
      <c r="J349" s="2"/>
      <c r="K349" s="1"/>
      <c r="L349" s="3"/>
      <c r="M349" s="1"/>
      <c r="AP349" s="1"/>
      <c r="AQ349" s="1"/>
      <c r="AR349" s="1"/>
      <c r="AS349" s="1"/>
      <c r="AT349" s="1"/>
    </row>
    <row r="350" spans="1:46" s="18" customFormat="1" x14ac:dyDescent="0.2">
      <c r="A350" s="10"/>
      <c r="B350" s="10"/>
      <c r="C350" s="10"/>
      <c r="D350" s="10"/>
      <c r="E350" s="10"/>
      <c r="F350" s="10"/>
      <c r="G350" s="1"/>
      <c r="H350" s="1"/>
      <c r="I350" s="1"/>
      <c r="J350" s="2"/>
      <c r="K350" s="1"/>
      <c r="L350" s="3"/>
      <c r="M350" s="1"/>
      <c r="AP350" s="1"/>
      <c r="AQ350" s="1"/>
      <c r="AR350" s="1"/>
      <c r="AS350" s="1"/>
      <c r="AT350" s="1"/>
    </row>
    <row r="351" spans="1:46" s="18" customFormat="1" x14ac:dyDescent="0.2">
      <c r="A351" s="10"/>
      <c r="B351" s="10"/>
      <c r="C351" s="10"/>
      <c r="D351" s="10"/>
      <c r="E351" s="10"/>
      <c r="F351" s="10"/>
      <c r="G351" s="1"/>
      <c r="H351" s="1"/>
      <c r="I351" s="1"/>
      <c r="J351" s="2"/>
      <c r="K351" s="1"/>
      <c r="L351" s="3"/>
      <c r="M351" s="1"/>
      <c r="AP351" s="1"/>
      <c r="AQ351" s="1"/>
      <c r="AR351" s="1"/>
      <c r="AS351" s="1"/>
      <c r="AT351" s="1"/>
    </row>
    <row r="352" spans="1:46" s="18" customFormat="1" x14ac:dyDescent="0.2">
      <c r="A352" s="10"/>
      <c r="B352" s="10"/>
      <c r="C352" s="10"/>
      <c r="D352" s="10"/>
      <c r="E352" s="10"/>
      <c r="F352" s="10"/>
      <c r="G352" s="1"/>
      <c r="H352" s="1"/>
      <c r="I352" s="1"/>
      <c r="J352" s="2"/>
      <c r="K352" s="1"/>
      <c r="L352" s="3"/>
      <c r="M352" s="1"/>
      <c r="AP352" s="1"/>
      <c r="AQ352" s="1"/>
      <c r="AR352" s="1"/>
      <c r="AS352" s="1"/>
      <c r="AT352" s="1"/>
    </row>
    <row r="353" spans="1:46" s="18" customFormat="1" x14ac:dyDescent="0.2">
      <c r="A353" s="10"/>
      <c r="B353" s="10"/>
      <c r="C353" s="10"/>
      <c r="D353" s="10"/>
      <c r="E353" s="10"/>
      <c r="F353" s="10"/>
      <c r="G353" s="1"/>
      <c r="H353" s="1"/>
      <c r="I353" s="1"/>
      <c r="J353" s="2"/>
      <c r="K353" s="1"/>
      <c r="L353" s="3"/>
      <c r="M353" s="1"/>
      <c r="AP353" s="1"/>
      <c r="AQ353" s="1"/>
      <c r="AR353" s="1"/>
      <c r="AS353" s="1"/>
      <c r="AT353" s="1"/>
    </row>
    <row r="354" spans="1:46" s="18" customFormat="1" x14ac:dyDescent="0.2">
      <c r="A354" s="10"/>
      <c r="B354" s="10"/>
      <c r="C354" s="10"/>
      <c r="D354" s="10"/>
      <c r="E354" s="10"/>
      <c r="F354" s="10"/>
      <c r="G354" s="1"/>
      <c r="H354" s="1"/>
      <c r="I354" s="1"/>
      <c r="J354" s="2"/>
      <c r="K354" s="1"/>
      <c r="L354" s="3"/>
      <c r="M354" s="1"/>
      <c r="AP354" s="1"/>
      <c r="AQ354" s="1"/>
      <c r="AR354" s="1"/>
      <c r="AS354" s="1"/>
      <c r="AT354" s="1"/>
    </row>
    <row r="355" spans="1:46" s="18" customFormat="1" x14ac:dyDescent="0.2">
      <c r="A355" s="10"/>
      <c r="B355" s="10"/>
      <c r="C355" s="10"/>
      <c r="D355" s="10"/>
      <c r="E355" s="10"/>
      <c r="F355" s="10"/>
      <c r="G355" s="1"/>
      <c r="H355" s="1"/>
      <c r="I355" s="1"/>
      <c r="J355" s="2"/>
      <c r="K355" s="1"/>
      <c r="L355" s="3"/>
      <c r="M355" s="1"/>
      <c r="AP355" s="1"/>
      <c r="AQ355" s="1"/>
      <c r="AR355" s="1"/>
      <c r="AS355" s="1"/>
      <c r="AT355" s="1"/>
    </row>
    <row r="356" spans="1:46" s="18" customFormat="1" x14ac:dyDescent="0.2">
      <c r="A356" s="10"/>
      <c r="B356" s="10"/>
      <c r="C356" s="10"/>
      <c r="D356" s="10"/>
      <c r="E356" s="10"/>
      <c r="F356" s="10"/>
      <c r="G356" s="1"/>
      <c r="H356" s="1"/>
      <c r="I356" s="1"/>
      <c r="J356" s="2"/>
      <c r="K356" s="1"/>
      <c r="L356" s="3"/>
      <c r="M356" s="1"/>
      <c r="AP356" s="1"/>
      <c r="AQ356" s="1"/>
      <c r="AR356" s="1"/>
      <c r="AS356" s="1"/>
      <c r="AT356" s="1"/>
    </row>
    <row r="357" spans="1:46" s="18" customFormat="1" x14ac:dyDescent="0.2">
      <c r="A357" s="10"/>
      <c r="B357" s="10"/>
      <c r="C357" s="10"/>
      <c r="D357" s="10"/>
      <c r="E357" s="10"/>
      <c r="F357" s="10"/>
      <c r="G357" s="1"/>
      <c r="H357" s="1"/>
      <c r="I357" s="1"/>
      <c r="J357" s="2"/>
      <c r="K357" s="1"/>
      <c r="L357" s="3"/>
      <c r="M357" s="1"/>
      <c r="AP357" s="1"/>
      <c r="AQ357" s="1"/>
      <c r="AR357" s="1"/>
      <c r="AS357" s="1"/>
      <c r="AT357" s="1"/>
    </row>
    <row r="358" spans="1:46" s="18" customFormat="1" x14ac:dyDescent="0.2">
      <c r="A358" s="10"/>
      <c r="B358" s="10"/>
      <c r="C358" s="10"/>
      <c r="D358" s="10"/>
      <c r="E358" s="10"/>
      <c r="F358" s="10"/>
      <c r="G358" s="1"/>
      <c r="H358" s="1"/>
      <c r="I358" s="1"/>
      <c r="J358" s="2"/>
      <c r="K358" s="1"/>
      <c r="L358" s="3"/>
      <c r="M358" s="1"/>
      <c r="AP358" s="1"/>
      <c r="AQ358" s="1"/>
      <c r="AR358" s="1"/>
      <c r="AS358" s="1"/>
      <c r="AT358" s="1"/>
    </row>
    <row r="359" spans="1:46" s="18" customFormat="1" x14ac:dyDescent="0.2">
      <c r="A359" s="10"/>
      <c r="B359" s="10"/>
      <c r="C359" s="10"/>
      <c r="D359" s="10"/>
      <c r="E359" s="10"/>
      <c r="F359" s="10"/>
      <c r="G359" s="1"/>
      <c r="H359" s="1"/>
      <c r="I359" s="1"/>
      <c r="J359" s="2"/>
      <c r="K359" s="1"/>
      <c r="L359" s="3"/>
      <c r="M359" s="1"/>
      <c r="AP359" s="1"/>
      <c r="AQ359" s="1"/>
      <c r="AR359" s="1"/>
      <c r="AS359" s="1"/>
      <c r="AT359" s="1"/>
    </row>
    <row r="360" spans="1:46" s="18" customFormat="1" x14ac:dyDescent="0.2">
      <c r="A360" s="10"/>
      <c r="B360" s="10"/>
      <c r="C360" s="10"/>
      <c r="D360" s="10"/>
      <c r="E360" s="10"/>
      <c r="F360" s="10"/>
      <c r="G360" s="1"/>
      <c r="H360" s="1"/>
      <c r="I360" s="1"/>
      <c r="J360" s="2"/>
      <c r="K360" s="1"/>
      <c r="L360" s="3"/>
      <c r="M360" s="1"/>
      <c r="AP360" s="1"/>
      <c r="AQ360" s="1"/>
      <c r="AR360" s="1"/>
      <c r="AS360" s="1"/>
      <c r="AT360" s="1"/>
    </row>
    <row r="361" spans="1:46" s="18" customFormat="1" x14ac:dyDescent="0.2">
      <c r="A361" s="10"/>
      <c r="B361" s="10"/>
      <c r="C361" s="10"/>
      <c r="D361" s="10"/>
      <c r="E361" s="10"/>
      <c r="F361" s="10"/>
      <c r="G361" s="1"/>
      <c r="H361" s="1"/>
      <c r="I361" s="1"/>
      <c r="J361" s="2"/>
      <c r="K361" s="1"/>
      <c r="L361" s="3"/>
      <c r="M361" s="1"/>
      <c r="AP361" s="1"/>
      <c r="AQ361" s="1"/>
      <c r="AR361" s="1"/>
      <c r="AS361" s="1"/>
      <c r="AT361" s="1"/>
    </row>
    <row r="362" spans="1:46" s="18" customFormat="1" x14ac:dyDescent="0.2">
      <c r="A362" s="10"/>
      <c r="B362" s="10"/>
      <c r="C362" s="10"/>
      <c r="D362" s="10"/>
      <c r="E362" s="10"/>
      <c r="F362" s="10"/>
      <c r="G362" s="1"/>
      <c r="H362" s="1"/>
      <c r="I362" s="1"/>
      <c r="J362" s="2"/>
      <c r="K362" s="1"/>
      <c r="L362" s="3"/>
      <c r="M362" s="1"/>
      <c r="AP362" s="1"/>
      <c r="AQ362" s="1"/>
      <c r="AR362" s="1"/>
      <c r="AS362" s="1"/>
      <c r="AT362" s="1"/>
    </row>
    <row r="363" spans="1:46" s="18" customFormat="1" x14ac:dyDescent="0.2">
      <c r="A363" s="10"/>
      <c r="B363" s="10"/>
      <c r="C363" s="10"/>
      <c r="D363" s="10"/>
      <c r="E363" s="10"/>
      <c r="F363" s="10"/>
      <c r="G363" s="1"/>
      <c r="H363" s="1"/>
      <c r="I363" s="1"/>
      <c r="J363" s="2"/>
      <c r="K363" s="1"/>
      <c r="L363" s="3"/>
      <c r="M363" s="1"/>
      <c r="AP363" s="1"/>
      <c r="AQ363" s="1"/>
      <c r="AR363" s="1"/>
      <c r="AS363" s="1"/>
      <c r="AT363" s="1"/>
    </row>
    <row r="364" spans="1:46" s="18" customFormat="1" x14ac:dyDescent="0.2">
      <c r="A364" s="10"/>
      <c r="B364" s="10"/>
      <c r="C364" s="10"/>
      <c r="D364" s="10"/>
      <c r="E364" s="10"/>
      <c r="F364" s="10"/>
      <c r="G364" s="1"/>
      <c r="H364" s="1"/>
      <c r="I364" s="1"/>
      <c r="J364" s="2"/>
      <c r="K364" s="1"/>
      <c r="L364" s="3"/>
      <c r="M364" s="1"/>
      <c r="AP364" s="1"/>
      <c r="AQ364" s="1"/>
      <c r="AR364" s="1"/>
      <c r="AS364" s="1"/>
      <c r="AT364" s="1"/>
    </row>
    <row r="365" spans="1:46" s="18" customFormat="1" x14ac:dyDescent="0.2">
      <c r="A365" s="10"/>
      <c r="B365" s="10"/>
      <c r="C365" s="10"/>
      <c r="D365" s="10"/>
      <c r="E365" s="10"/>
      <c r="F365" s="10"/>
      <c r="G365" s="1"/>
      <c r="H365" s="1"/>
      <c r="I365" s="1"/>
      <c r="J365" s="2"/>
      <c r="K365" s="1"/>
      <c r="L365" s="3"/>
      <c r="M365" s="1"/>
      <c r="AP365" s="1"/>
      <c r="AQ365" s="1"/>
      <c r="AR365" s="1"/>
      <c r="AS365" s="1"/>
      <c r="AT365" s="1"/>
    </row>
    <row r="366" spans="1:46" s="18" customFormat="1" x14ac:dyDescent="0.2">
      <c r="A366" s="10"/>
      <c r="B366" s="10"/>
      <c r="C366" s="10"/>
      <c r="D366" s="10"/>
      <c r="E366" s="10"/>
      <c r="F366" s="10"/>
      <c r="G366" s="1"/>
      <c r="H366" s="1"/>
      <c r="I366" s="1"/>
      <c r="J366" s="2"/>
      <c r="K366" s="1"/>
      <c r="L366" s="3"/>
      <c r="M366" s="1"/>
      <c r="AP366" s="1"/>
      <c r="AQ366" s="1"/>
      <c r="AR366" s="1"/>
      <c r="AS366" s="1"/>
      <c r="AT366" s="1"/>
    </row>
    <row r="367" spans="1:46" s="18" customFormat="1" x14ac:dyDescent="0.2">
      <c r="A367" s="10"/>
      <c r="B367" s="10"/>
      <c r="C367" s="10"/>
      <c r="D367" s="10"/>
      <c r="E367" s="10"/>
      <c r="F367" s="10"/>
      <c r="G367" s="1"/>
      <c r="H367" s="1"/>
      <c r="I367" s="1"/>
      <c r="J367" s="2"/>
      <c r="K367" s="1"/>
      <c r="L367" s="3"/>
      <c r="M367" s="1"/>
      <c r="AP367" s="1"/>
      <c r="AQ367" s="1"/>
      <c r="AR367" s="1"/>
      <c r="AS367" s="1"/>
      <c r="AT367" s="1"/>
    </row>
    <row r="368" spans="1:46" s="18" customFormat="1" x14ac:dyDescent="0.2">
      <c r="A368" s="10"/>
      <c r="B368" s="10"/>
      <c r="C368" s="10"/>
      <c r="D368" s="10"/>
      <c r="E368" s="10"/>
      <c r="F368" s="10"/>
      <c r="G368" s="1"/>
      <c r="H368" s="1"/>
      <c r="I368" s="1"/>
      <c r="J368" s="2"/>
      <c r="K368" s="1"/>
      <c r="L368" s="3"/>
      <c r="M368" s="1"/>
      <c r="AP368" s="1"/>
      <c r="AQ368" s="1"/>
      <c r="AR368" s="1"/>
      <c r="AS368" s="1"/>
      <c r="AT368" s="1"/>
    </row>
    <row r="369" spans="1:46" s="18" customFormat="1" x14ac:dyDescent="0.2">
      <c r="A369" s="10"/>
      <c r="B369" s="10"/>
      <c r="C369" s="10"/>
      <c r="D369" s="10"/>
      <c r="E369" s="10"/>
      <c r="F369" s="10"/>
      <c r="G369" s="1"/>
      <c r="H369" s="1"/>
      <c r="I369" s="1"/>
      <c r="J369" s="2"/>
      <c r="K369" s="1"/>
      <c r="L369" s="3"/>
      <c r="M369" s="1"/>
      <c r="AP369" s="1"/>
      <c r="AQ369" s="1"/>
      <c r="AR369" s="1"/>
      <c r="AS369" s="1"/>
      <c r="AT369" s="1"/>
    </row>
    <row r="370" spans="1:46" s="18" customFormat="1" x14ac:dyDescent="0.2">
      <c r="A370" s="10"/>
      <c r="B370" s="10"/>
      <c r="C370" s="10"/>
      <c r="D370" s="10"/>
      <c r="E370" s="10"/>
      <c r="F370" s="10"/>
      <c r="G370" s="1"/>
      <c r="H370" s="1"/>
      <c r="I370" s="1"/>
      <c r="J370" s="2"/>
      <c r="K370" s="1"/>
      <c r="L370" s="3"/>
      <c r="M370" s="1"/>
      <c r="AP370" s="1"/>
      <c r="AQ370" s="1"/>
      <c r="AR370" s="1"/>
      <c r="AS370" s="1"/>
      <c r="AT370" s="1"/>
    </row>
    <row r="371" spans="1:46" s="18" customFormat="1" x14ac:dyDescent="0.2">
      <c r="A371" s="10"/>
      <c r="B371" s="10"/>
      <c r="C371" s="10"/>
      <c r="D371" s="10"/>
      <c r="E371" s="10"/>
      <c r="F371" s="10"/>
      <c r="G371" s="1"/>
      <c r="H371" s="1"/>
      <c r="I371" s="1"/>
      <c r="J371" s="2"/>
      <c r="K371" s="1"/>
      <c r="L371" s="3"/>
      <c r="M371" s="1"/>
      <c r="AP371" s="1"/>
      <c r="AQ371" s="1"/>
      <c r="AR371" s="1"/>
      <c r="AS371" s="1"/>
      <c r="AT371" s="1"/>
    </row>
    <row r="372" spans="1:46" s="18" customFormat="1" x14ac:dyDescent="0.2">
      <c r="A372" s="10"/>
      <c r="B372" s="10"/>
      <c r="C372" s="10"/>
      <c r="D372" s="10"/>
      <c r="E372" s="10"/>
      <c r="F372" s="10"/>
      <c r="G372" s="1"/>
      <c r="H372" s="1"/>
      <c r="I372" s="1"/>
      <c r="J372" s="2"/>
      <c r="K372" s="1"/>
      <c r="L372" s="3"/>
      <c r="M372" s="1"/>
      <c r="AP372" s="1"/>
      <c r="AQ372" s="1"/>
      <c r="AR372" s="1"/>
      <c r="AS372" s="1"/>
      <c r="AT372" s="1"/>
    </row>
    <row r="373" spans="1:46" s="18" customFormat="1" x14ac:dyDescent="0.2">
      <c r="A373" s="10"/>
      <c r="B373" s="10"/>
      <c r="C373" s="10"/>
      <c r="D373" s="10"/>
      <c r="E373" s="10"/>
      <c r="F373" s="10"/>
      <c r="G373" s="1"/>
      <c r="H373" s="1"/>
      <c r="I373" s="1"/>
      <c r="J373" s="2"/>
      <c r="K373" s="1"/>
      <c r="L373" s="3"/>
      <c r="M373" s="1"/>
      <c r="AP373" s="1"/>
      <c r="AQ373" s="1"/>
      <c r="AR373" s="1"/>
      <c r="AS373" s="1"/>
      <c r="AT373" s="1"/>
    </row>
    <row r="374" spans="1:46" s="18" customFormat="1" x14ac:dyDescent="0.2">
      <c r="A374" s="10"/>
      <c r="B374" s="10"/>
      <c r="C374" s="10"/>
      <c r="D374" s="10"/>
      <c r="E374" s="10"/>
      <c r="F374" s="10"/>
      <c r="G374" s="1"/>
      <c r="H374" s="1"/>
      <c r="I374" s="1"/>
      <c r="J374" s="2"/>
      <c r="K374" s="1"/>
      <c r="L374" s="3"/>
      <c r="M374" s="1"/>
      <c r="AP374" s="1"/>
      <c r="AQ374" s="1"/>
      <c r="AR374" s="1"/>
      <c r="AS374" s="1"/>
      <c r="AT374" s="1"/>
    </row>
    <row r="375" spans="1:46" s="18" customFormat="1" x14ac:dyDescent="0.2">
      <c r="A375" s="10"/>
      <c r="B375" s="10"/>
      <c r="C375" s="10"/>
      <c r="D375" s="10"/>
      <c r="E375" s="10"/>
      <c r="F375" s="10"/>
      <c r="G375" s="1"/>
      <c r="H375" s="1"/>
      <c r="I375" s="1"/>
      <c r="J375" s="2"/>
      <c r="K375" s="1"/>
      <c r="L375" s="3"/>
      <c r="M375" s="1"/>
      <c r="AP375" s="1"/>
      <c r="AQ375" s="1"/>
      <c r="AR375" s="1"/>
      <c r="AS375" s="1"/>
      <c r="AT375" s="1"/>
    </row>
    <row r="376" spans="1:46" s="18" customFormat="1" x14ac:dyDescent="0.2">
      <c r="A376" s="10"/>
      <c r="B376" s="10"/>
      <c r="C376" s="10"/>
      <c r="D376" s="10"/>
      <c r="E376" s="10"/>
      <c r="F376" s="10"/>
      <c r="G376" s="1"/>
      <c r="H376" s="1"/>
      <c r="I376" s="1"/>
      <c r="J376" s="2"/>
      <c r="K376" s="1"/>
      <c r="L376" s="3"/>
      <c r="M376" s="1"/>
      <c r="AP376" s="1"/>
      <c r="AQ376" s="1"/>
      <c r="AR376" s="1"/>
      <c r="AS376" s="1"/>
      <c r="AT376" s="1"/>
    </row>
    <row r="377" spans="1:46" s="18" customFormat="1" x14ac:dyDescent="0.2">
      <c r="A377" s="10"/>
      <c r="B377" s="10"/>
      <c r="C377" s="10"/>
      <c r="D377" s="10"/>
      <c r="E377" s="10"/>
      <c r="F377" s="10"/>
      <c r="G377" s="1"/>
      <c r="H377" s="1"/>
      <c r="I377" s="1"/>
      <c r="J377" s="2"/>
      <c r="K377" s="1"/>
      <c r="L377" s="3"/>
      <c r="M377" s="1"/>
      <c r="AP377" s="1"/>
      <c r="AQ377" s="1"/>
      <c r="AR377" s="1"/>
      <c r="AS377" s="1"/>
      <c r="AT377" s="1"/>
    </row>
    <row r="378" spans="1:46" s="18" customFormat="1" x14ac:dyDescent="0.2">
      <c r="A378" s="10"/>
      <c r="B378" s="10"/>
      <c r="C378" s="10"/>
      <c r="D378" s="10"/>
      <c r="E378" s="10"/>
      <c r="F378" s="10"/>
      <c r="G378" s="1"/>
      <c r="H378" s="1"/>
      <c r="I378" s="1"/>
      <c r="J378" s="2"/>
      <c r="K378" s="1"/>
      <c r="L378" s="3"/>
      <c r="M378" s="1"/>
      <c r="AP378" s="1"/>
      <c r="AQ378" s="1"/>
      <c r="AR378" s="1"/>
      <c r="AS378" s="1"/>
      <c r="AT378" s="1"/>
    </row>
    <row r="379" spans="1:46" s="18" customFormat="1" x14ac:dyDescent="0.2">
      <c r="A379" s="10"/>
      <c r="B379" s="10"/>
      <c r="C379" s="10"/>
      <c r="D379" s="10"/>
      <c r="E379" s="10"/>
      <c r="F379" s="10"/>
      <c r="G379" s="1"/>
      <c r="H379" s="1"/>
      <c r="I379" s="1"/>
      <c r="J379" s="2"/>
      <c r="K379" s="1"/>
      <c r="L379" s="3"/>
      <c r="M379" s="1"/>
      <c r="AP379" s="1"/>
      <c r="AQ379" s="1"/>
      <c r="AR379" s="1"/>
      <c r="AS379" s="1"/>
      <c r="AT379" s="1"/>
    </row>
    <row r="380" spans="1:46" s="18" customFormat="1" x14ac:dyDescent="0.2">
      <c r="A380" s="10"/>
      <c r="B380" s="10"/>
      <c r="C380" s="10"/>
      <c r="D380" s="10"/>
      <c r="E380" s="10"/>
      <c r="F380" s="10"/>
      <c r="G380" s="1"/>
      <c r="H380" s="1"/>
      <c r="I380" s="1"/>
      <c r="J380" s="2"/>
      <c r="K380" s="1"/>
      <c r="L380" s="3"/>
      <c r="M380" s="1"/>
      <c r="AP380" s="1"/>
      <c r="AQ380" s="1"/>
      <c r="AR380" s="1"/>
      <c r="AS380" s="1"/>
      <c r="AT380" s="1"/>
    </row>
    <row r="381" spans="1:46" s="18" customFormat="1" x14ac:dyDescent="0.2">
      <c r="A381" s="10"/>
      <c r="B381" s="10"/>
      <c r="C381" s="10"/>
      <c r="D381" s="10"/>
      <c r="E381" s="10"/>
      <c r="F381" s="10"/>
      <c r="G381" s="1"/>
      <c r="H381" s="1"/>
      <c r="I381" s="1"/>
      <c r="J381" s="2"/>
      <c r="K381" s="1"/>
      <c r="L381" s="3"/>
      <c r="M381" s="1"/>
      <c r="AP381" s="1"/>
      <c r="AQ381" s="1"/>
      <c r="AR381" s="1"/>
      <c r="AS381" s="1"/>
      <c r="AT381" s="1"/>
    </row>
    <row r="382" spans="1:46" s="18" customFormat="1" x14ac:dyDescent="0.2">
      <c r="A382" s="10"/>
      <c r="B382" s="10"/>
      <c r="C382" s="10"/>
      <c r="D382" s="10"/>
      <c r="E382" s="10"/>
      <c r="F382" s="10"/>
      <c r="G382" s="1"/>
      <c r="H382" s="1"/>
      <c r="I382" s="1"/>
      <c r="J382" s="2"/>
      <c r="K382" s="1"/>
      <c r="L382" s="3"/>
      <c r="M382" s="1"/>
      <c r="AP382" s="1"/>
      <c r="AQ382" s="1"/>
      <c r="AR382" s="1"/>
      <c r="AS382" s="1"/>
      <c r="AT382" s="1"/>
    </row>
    <row r="383" spans="1:46" s="18" customFormat="1" x14ac:dyDescent="0.2">
      <c r="A383" s="10"/>
      <c r="B383" s="10"/>
      <c r="C383" s="10"/>
      <c r="D383" s="10"/>
      <c r="E383" s="10"/>
      <c r="F383" s="10"/>
      <c r="G383" s="1"/>
      <c r="H383" s="1"/>
      <c r="I383" s="1"/>
      <c r="J383" s="2"/>
      <c r="K383" s="1"/>
      <c r="L383" s="3"/>
      <c r="M383" s="1"/>
      <c r="AP383" s="1"/>
      <c r="AQ383" s="1"/>
      <c r="AR383" s="1"/>
      <c r="AS383" s="1"/>
      <c r="AT383" s="1"/>
    </row>
    <row r="384" spans="1:46" s="18" customFormat="1" x14ac:dyDescent="0.2">
      <c r="A384" s="10"/>
      <c r="B384" s="10"/>
      <c r="C384" s="10"/>
      <c r="D384" s="10"/>
      <c r="E384" s="10"/>
      <c r="F384" s="10"/>
      <c r="G384" s="1"/>
      <c r="H384" s="1"/>
      <c r="I384" s="1"/>
      <c r="J384" s="2"/>
      <c r="K384" s="1"/>
      <c r="L384" s="3"/>
      <c r="M384" s="1"/>
      <c r="AP384" s="1"/>
      <c r="AQ384" s="1"/>
      <c r="AR384" s="1"/>
      <c r="AS384" s="1"/>
      <c r="AT384" s="1"/>
    </row>
    <row r="385" spans="1:46" s="18" customFormat="1" x14ac:dyDescent="0.2">
      <c r="A385" s="10"/>
      <c r="B385" s="10"/>
      <c r="C385" s="10"/>
      <c r="D385" s="10"/>
      <c r="E385" s="10"/>
      <c r="F385" s="10"/>
      <c r="G385" s="1"/>
      <c r="H385" s="1"/>
      <c r="I385" s="1"/>
      <c r="J385" s="2"/>
      <c r="K385" s="1"/>
      <c r="L385" s="3"/>
      <c r="M385" s="1"/>
      <c r="AP385" s="1"/>
      <c r="AQ385" s="1"/>
      <c r="AR385" s="1"/>
      <c r="AS385" s="1"/>
      <c r="AT385" s="1"/>
    </row>
    <row r="386" spans="1:46" s="18" customFormat="1" x14ac:dyDescent="0.2">
      <c r="A386" s="10"/>
      <c r="B386" s="10"/>
      <c r="C386" s="10"/>
      <c r="D386" s="10"/>
      <c r="E386" s="10"/>
      <c r="F386" s="10"/>
      <c r="G386" s="1"/>
      <c r="H386" s="1"/>
      <c r="I386" s="1"/>
      <c r="J386" s="2"/>
      <c r="K386" s="1"/>
      <c r="L386" s="3"/>
      <c r="M386" s="1"/>
      <c r="AP386" s="1"/>
      <c r="AQ386" s="1"/>
      <c r="AR386" s="1"/>
      <c r="AS386" s="1"/>
      <c r="AT386" s="1"/>
    </row>
    <row r="387" spans="1:46" s="18" customFormat="1" x14ac:dyDescent="0.2">
      <c r="A387" s="10"/>
      <c r="B387" s="10"/>
      <c r="C387" s="10"/>
      <c r="D387" s="10"/>
      <c r="E387" s="10"/>
      <c r="F387" s="10"/>
      <c r="G387" s="1"/>
      <c r="H387" s="1"/>
      <c r="I387" s="1"/>
      <c r="J387" s="2"/>
      <c r="K387" s="1"/>
      <c r="L387" s="3"/>
      <c r="M387" s="1"/>
      <c r="AP387" s="1"/>
      <c r="AQ387" s="1"/>
      <c r="AR387" s="1"/>
      <c r="AS387" s="1"/>
      <c r="AT387" s="1"/>
    </row>
    <row r="388" spans="1:46" s="18" customFormat="1" x14ac:dyDescent="0.2">
      <c r="A388" s="10"/>
      <c r="B388" s="10"/>
      <c r="C388" s="10"/>
      <c r="D388" s="10"/>
      <c r="E388" s="10"/>
      <c r="F388" s="10"/>
      <c r="G388" s="1"/>
      <c r="H388" s="1"/>
      <c r="I388" s="1"/>
      <c r="J388" s="2"/>
      <c r="K388" s="1"/>
      <c r="L388" s="3"/>
      <c r="M388" s="1"/>
      <c r="AP388" s="1"/>
      <c r="AQ388" s="1"/>
      <c r="AR388" s="1"/>
      <c r="AS388" s="1"/>
      <c r="AT388" s="1"/>
    </row>
    <row r="389" spans="1:46" s="18" customFormat="1" x14ac:dyDescent="0.2">
      <c r="A389" s="10"/>
      <c r="B389" s="10"/>
      <c r="C389" s="10"/>
      <c r="D389" s="10"/>
      <c r="E389" s="10"/>
      <c r="F389" s="10"/>
      <c r="G389" s="1"/>
      <c r="H389" s="1"/>
      <c r="I389" s="1"/>
      <c r="J389" s="2"/>
      <c r="K389" s="1"/>
      <c r="L389" s="3"/>
      <c r="M389" s="1"/>
      <c r="AP389" s="1"/>
      <c r="AQ389" s="1"/>
      <c r="AR389" s="1"/>
      <c r="AS389" s="1"/>
      <c r="AT389" s="1"/>
    </row>
    <row r="390" spans="1:46" s="18" customFormat="1" x14ac:dyDescent="0.2">
      <c r="A390" s="10"/>
      <c r="B390" s="10"/>
      <c r="C390" s="10"/>
      <c r="D390" s="10"/>
      <c r="E390" s="10"/>
      <c r="F390" s="10"/>
      <c r="G390" s="1"/>
      <c r="H390" s="1"/>
      <c r="I390" s="1"/>
      <c r="J390" s="2"/>
      <c r="K390" s="1"/>
      <c r="L390" s="3"/>
      <c r="M390" s="1"/>
      <c r="AP390" s="1"/>
      <c r="AQ390" s="1"/>
      <c r="AR390" s="1"/>
      <c r="AS390" s="1"/>
      <c r="AT390" s="1"/>
    </row>
    <row r="391" spans="1:46" s="18" customFormat="1" x14ac:dyDescent="0.2">
      <c r="A391" s="10"/>
      <c r="B391" s="10"/>
      <c r="C391" s="10"/>
      <c r="D391" s="10"/>
      <c r="E391" s="10"/>
      <c r="F391" s="10"/>
      <c r="G391" s="1"/>
      <c r="H391" s="1"/>
      <c r="I391" s="1"/>
      <c r="J391" s="2"/>
      <c r="K391" s="1"/>
      <c r="L391" s="3"/>
      <c r="M391" s="1"/>
      <c r="AP391" s="1"/>
      <c r="AQ391" s="1"/>
      <c r="AR391" s="1"/>
      <c r="AS391" s="1"/>
      <c r="AT391" s="1"/>
    </row>
    <row r="392" spans="1:46" s="18" customFormat="1" x14ac:dyDescent="0.2">
      <c r="A392" s="10"/>
      <c r="B392" s="10"/>
      <c r="C392" s="10"/>
      <c r="D392" s="10"/>
      <c r="E392" s="10"/>
      <c r="F392" s="10"/>
      <c r="G392" s="1"/>
      <c r="H392" s="1"/>
      <c r="I392" s="1"/>
      <c r="J392" s="2"/>
      <c r="K392" s="1"/>
      <c r="L392" s="3"/>
      <c r="M392" s="1"/>
      <c r="AP392" s="1"/>
      <c r="AQ392" s="1"/>
      <c r="AR392" s="1"/>
      <c r="AS392" s="1"/>
      <c r="AT392" s="1"/>
    </row>
    <row r="393" spans="1:46" s="18" customFormat="1" x14ac:dyDescent="0.2">
      <c r="A393" s="10"/>
      <c r="B393" s="10"/>
      <c r="C393" s="10"/>
      <c r="D393" s="10"/>
      <c r="E393" s="10"/>
      <c r="F393" s="10"/>
      <c r="G393" s="1"/>
      <c r="H393" s="1"/>
      <c r="I393" s="1"/>
      <c r="J393" s="2"/>
      <c r="K393" s="1"/>
      <c r="L393" s="3"/>
      <c r="M393" s="1"/>
      <c r="AP393" s="1"/>
      <c r="AQ393" s="1"/>
      <c r="AR393" s="1"/>
      <c r="AS393" s="1"/>
      <c r="AT393" s="1"/>
    </row>
    <row r="394" spans="1:46" s="18" customFormat="1" x14ac:dyDescent="0.2">
      <c r="A394" s="10"/>
      <c r="B394" s="10"/>
      <c r="C394" s="10"/>
      <c r="D394" s="10"/>
      <c r="E394" s="10"/>
      <c r="F394" s="10"/>
      <c r="G394" s="1"/>
      <c r="H394" s="1"/>
      <c r="I394" s="1"/>
      <c r="J394" s="2"/>
      <c r="K394" s="1"/>
      <c r="L394" s="3"/>
      <c r="M394" s="1"/>
      <c r="AP394" s="1"/>
      <c r="AQ394" s="1"/>
      <c r="AR394" s="1"/>
      <c r="AS394" s="1"/>
      <c r="AT394" s="1"/>
    </row>
    <row r="395" spans="1:46" s="18" customFormat="1" x14ac:dyDescent="0.2">
      <c r="A395" s="10"/>
      <c r="B395" s="10"/>
      <c r="C395" s="10"/>
      <c r="D395" s="10"/>
      <c r="E395" s="10"/>
      <c r="F395" s="10"/>
      <c r="G395" s="1"/>
      <c r="H395" s="1"/>
      <c r="I395" s="1"/>
      <c r="J395" s="2"/>
      <c r="K395" s="1"/>
      <c r="L395" s="3"/>
      <c r="M395" s="1"/>
      <c r="AP395" s="1"/>
      <c r="AQ395" s="1"/>
      <c r="AR395" s="1"/>
      <c r="AS395" s="1"/>
      <c r="AT395" s="1"/>
    </row>
    <row r="396" spans="1:46" s="18" customFormat="1" x14ac:dyDescent="0.2">
      <c r="A396" s="10"/>
      <c r="B396" s="10"/>
      <c r="C396" s="10"/>
      <c r="D396" s="10"/>
      <c r="E396" s="10"/>
      <c r="F396" s="10"/>
      <c r="G396" s="1"/>
      <c r="H396" s="1"/>
      <c r="I396" s="1"/>
      <c r="J396" s="2"/>
      <c r="K396" s="1"/>
      <c r="L396" s="3"/>
      <c r="M396" s="1"/>
      <c r="AP396" s="1"/>
      <c r="AQ396" s="1"/>
      <c r="AR396" s="1"/>
      <c r="AS396" s="1"/>
      <c r="AT396" s="1"/>
    </row>
    <row r="397" spans="1:46" s="18" customFormat="1" x14ac:dyDescent="0.2">
      <c r="A397" s="10"/>
      <c r="B397" s="10"/>
      <c r="C397" s="10"/>
      <c r="D397" s="10"/>
      <c r="E397" s="10"/>
      <c r="F397" s="10"/>
      <c r="G397" s="1"/>
      <c r="H397" s="1"/>
      <c r="I397" s="1"/>
      <c r="J397" s="2"/>
      <c r="K397" s="1"/>
      <c r="L397" s="3"/>
      <c r="M397" s="1"/>
      <c r="AP397" s="1"/>
      <c r="AQ397" s="1"/>
      <c r="AR397" s="1"/>
      <c r="AS397" s="1"/>
      <c r="AT397" s="1"/>
    </row>
    <row r="398" spans="1:46" s="18" customFormat="1" x14ac:dyDescent="0.2">
      <c r="A398" s="10"/>
      <c r="B398" s="10"/>
      <c r="C398" s="10"/>
      <c r="D398" s="10"/>
      <c r="E398" s="10"/>
      <c r="F398" s="10"/>
      <c r="G398" s="1"/>
      <c r="H398" s="1"/>
      <c r="I398" s="1"/>
      <c r="J398" s="2"/>
      <c r="K398" s="1"/>
      <c r="L398" s="3"/>
      <c r="M398" s="1"/>
      <c r="AP398" s="1"/>
      <c r="AQ398" s="1"/>
      <c r="AR398" s="1"/>
      <c r="AS398" s="1"/>
      <c r="AT398" s="1"/>
    </row>
    <row r="399" spans="1:46" s="18" customFormat="1" x14ac:dyDescent="0.2">
      <c r="A399" s="10"/>
      <c r="B399" s="10"/>
      <c r="C399" s="10"/>
      <c r="D399" s="10"/>
      <c r="E399" s="10"/>
      <c r="F399" s="10"/>
      <c r="G399" s="1"/>
      <c r="H399" s="1"/>
      <c r="I399" s="1"/>
      <c r="J399" s="2"/>
      <c r="K399" s="1"/>
      <c r="L399" s="3"/>
      <c r="M399" s="1"/>
      <c r="AP399" s="1"/>
      <c r="AQ399" s="1"/>
      <c r="AR399" s="1"/>
      <c r="AS399" s="1"/>
      <c r="AT399" s="1"/>
    </row>
    <row r="400" spans="1:46" s="18" customFormat="1" x14ac:dyDescent="0.2">
      <c r="A400" s="10"/>
      <c r="B400" s="10"/>
      <c r="C400" s="10"/>
      <c r="D400" s="10"/>
      <c r="E400" s="10"/>
      <c r="F400" s="10"/>
      <c r="G400" s="1"/>
      <c r="H400" s="1"/>
      <c r="I400" s="1"/>
      <c r="J400" s="2"/>
      <c r="K400" s="1"/>
      <c r="L400" s="3"/>
      <c r="M400" s="1"/>
      <c r="AP400" s="1"/>
      <c r="AQ400" s="1"/>
      <c r="AR400" s="1"/>
      <c r="AS400" s="1"/>
      <c r="AT400" s="1"/>
    </row>
    <row r="401" spans="1:46" s="18" customFormat="1" x14ac:dyDescent="0.2">
      <c r="A401" s="10"/>
      <c r="B401" s="10"/>
      <c r="C401" s="10"/>
      <c r="D401" s="10"/>
      <c r="E401" s="10"/>
      <c r="F401" s="10"/>
      <c r="G401" s="1"/>
      <c r="H401" s="1"/>
      <c r="I401" s="1"/>
      <c r="J401" s="2"/>
      <c r="K401" s="1"/>
      <c r="L401" s="3"/>
      <c r="M401" s="1"/>
      <c r="AP401" s="1"/>
      <c r="AQ401" s="1"/>
      <c r="AR401" s="1"/>
      <c r="AS401" s="1"/>
      <c r="AT401" s="1"/>
    </row>
    <row r="402" spans="1:46" s="18" customFormat="1" x14ac:dyDescent="0.2">
      <c r="A402" s="10"/>
      <c r="B402" s="10"/>
      <c r="C402" s="10"/>
      <c r="D402" s="10"/>
      <c r="E402" s="10"/>
      <c r="F402" s="10"/>
      <c r="G402" s="1"/>
      <c r="H402" s="1"/>
      <c r="I402" s="1"/>
      <c r="J402" s="2"/>
      <c r="K402" s="1"/>
      <c r="L402" s="3"/>
      <c r="M402" s="1"/>
      <c r="N402" s="1"/>
      <c r="AP402" s="1"/>
      <c r="AQ402" s="1"/>
      <c r="AR402" s="1"/>
      <c r="AS402" s="1"/>
      <c r="AT402" s="1"/>
    </row>
    <row r="403" spans="1:46" s="18" customFormat="1" x14ac:dyDescent="0.2">
      <c r="A403" s="10"/>
      <c r="B403" s="10"/>
      <c r="C403" s="10"/>
      <c r="D403" s="10"/>
      <c r="E403" s="10"/>
      <c r="F403" s="10"/>
      <c r="G403" s="1"/>
      <c r="H403" s="1"/>
      <c r="I403" s="1"/>
      <c r="J403" s="2"/>
      <c r="K403" s="1"/>
      <c r="L403" s="3"/>
      <c r="M403" s="1"/>
      <c r="N403" s="1"/>
      <c r="AP403" s="1"/>
      <c r="AQ403" s="1"/>
      <c r="AR403" s="1"/>
      <c r="AS403" s="1"/>
      <c r="AT403" s="1"/>
    </row>
  </sheetData>
  <dataConsolidate/>
  <phoneticPr fontId="29" type="noConversion"/>
  <conditionalFormatting sqref="R90 R75:AD75 N39:AD39">
    <cfRule type="cellIs" dxfId="445" priority="49" operator="lessThan">
      <formula>0</formula>
    </cfRule>
  </conditionalFormatting>
  <conditionalFormatting sqref="N270:AO270">
    <cfRule type="cellIs" dxfId="444" priority="35" operator="lessThan">
      <formula>0</formula>
    </cfRule>
  </conditionalFormatting>
  <conditionalFormatting sqref="S79:AD79">
    <cfRule type="cellIs" dxfId="443" priority="28" operator="lessThan">
      <formula>0</formula>
    </cfRule>
  </conditionalFormatting>
  <conditionalFormatting sqref="S86:AD86">
    <cfRule type="cellIs" dxfId="442" priority="23" operator="lessThan">
      <formula>0</formula>
    </cfRule>
  </conditionalFormatting>
  <conditionalFormatting sqref="X33:AD33 N33:R33 N46:R47 X46:AD46">
    <cfRule type="cellIs" dxfId="441" priority="14" operator="lessThan">
      <formula>0</formula>
    </cfRule>
  </conditionalFormatting>
  <conditionalFormatting sqref="N34:AD38">
    <cfRule type="cellIs" dxfId="440" priority="13" operator="lessThan">
      <formula>0</formula>
    </cfRule>
  </conditionalFormatting>
  <conditionalFormatting sqref="K34">
    <cfRule type="cellIs" dxfId="439" priority="12" operator="lessThan">
      <formula>0</formula>
    </cfRule>
  </conditionalFormatting>
  <conditionalFormatting sqref="X40:AD40 N40:R40">
    <cfRule type="cellIs" dxfId="438" priority="10" operator="lessThan">
      <formula>0</formula>
    </cfRule>
  </conditionalFormatting>
  <conditionalFormatting sqref="N41:P45">
    <cfRule type="cellIs" dxfId="437" priority="9" operator="lessThan">
      <formula>0</formula>
    </cfRule>
  </conditionalFormatting>
  <conditionalFormatting sqref="K41">
    <cfRule type="cellIs" dxfId="436" priority="8" operator="lessThan">
      <formula>0</formula>
    </cfRule>
  </conditionalFormatting>
  <conditionalFormatting sqref="P41:R45">
    <cfRule type="cellIs" dxfId="435" priority="5" operator="lessThan">
      <formula>0</formula>
    </cfRule>
  </conditionalFormatting>
  <conditionalFormatting sqref="S41:AD45">
    <cfRule type="cellIs" dxfId="434" priority="4" operator="lessThan">
      <formula>0</formula>
    </cfRule>
  </conditionalFormatting>
  <conditionalFormatting sqref="S47:AF47">
    <cfRule type="cellIs" dxfId="433" priority="3" operator="lessThan">
      <formula>0</formula>
    </cfRule>
  </conditionalFormatting>
  <conditionalFormatting sqref="S52:AF54">
    <cfRule type="cellIs" dxfId="432" priority="2" operator="lessThan">
      <formula>0</formula>
    </cfRule>
  </conditionalFormatting>
  <conditionalFormatting sqref="S58:AD59">
    <cfRule type="cellIs" dxfId="431" priority="1" operator="lessThan">
      <formula>0</formula>
    </cfRule>
  </conditionalFormatting>
  <pageMargins left="0.7" right="0.7" top="0.75" bottom="0.75" header="0.3" footer="0.3"/>
  <pageSetup orientation="portrait" r:id="rId1"/>
  <headerFooter>
    <oddFooter>&amp;C&amp;7&amp;B&amp;"Univers for KPMG"Document Classification: KPMG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62760"/>
  </sheetPr>
  <dimension ref="A1:BA233"/>
  <sheetViews>
    <sheetView zoomScale="85" zoomScaleNormal="85" workbookViewId="0">
      <pane xSplit="12" ySplit="6" topLeftCell="Q7" activePane="bottomRight" state="frozen"/>
      <selection activeCell="G62" sqref="G62"/>
      <selection pane="topRight" activeCell="G62" sqref="G62"/>
      <selection pane="bottomLeft" activeCell="G62" sqref="G62"/>
      <selection pane="bottomRight" activeCell="Q13" sqref="Q13"/>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464</v>
      </c>
      <c r="N3" s="643"/>
      <c r="O3" s="643" t="s">
        <v>0</v>
      </c>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186" t="str">
        <f t="shared" si="0"/>
        <v>Actual</v>
      </c>
      <c r="Q4" s="187" t="str">
        <f t="shared" si="0"/>
        <v>Actual</v>
      </c>
      <c r="R4" s="7" t="s">
        <v>1</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Support_Date</f>
        <v>42582</v>
      </c>
      <c r="O5" s="9">
        <f>Support_Date</f>
        <v>42947</v>
      </c>
      <c r="P5" s="9">
        <f t="shared" ref="P5:AD5" si="1">Support_Date</f>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Adjusted Consolidated of Income Statement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R9" s="101"/>
    </row>
    <row r="10" spans="1:43" ht="12.6" thickBot="1" x14ac:dyDescent="0.25">
      <c r="N10" s="18"/>
    </row>
    <row r="11" spans="1:43" ht="12.6" thickTop="1" x14ac:dyDescent="0.2">
      <c r="B11" s="20"/>
      <c r="C11" s="320" t="s">
        <v>806</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4"/>
      <c r="R12" s="97"/>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x14ac:dyDescent="0.2">
      <c r="B13" s="20"/>
      <c r="C13" s="20"/>
      <c r="D13" s="20"/>
      <c r="E13" s="20" t="s">
        <v>62</v>
      </c>
      <c r="F13" s="97"/>
      <c r="G13" s="97"/>
      <c r="H13" s="97"/>
      <c r="I13" s="97"/>
      <c r="J13" s="201" t="s">
        <v>1205</v>
      </c>
      <c r="K13" s="97"/>
      <c r="L13" s="3" t="s">
        <v>11</v>
      </c>
      <c r="M13" s="97"/>
      <c r="N13" s="21"/>
      <c r="O13" s="21"/>
      <c r="P13" s="104">
        <f>Act_IS_Revenue</f>
        <v>70913</v>
      </c>
      <c r="Q13" s="104">
        <f>Act_IS_Revenue</f>
        <v>446437</v>
      </c>
      <c r="R13" s="104">
        <f>Act_IS_Revenue</f>
        <v>500924</v>
      </c>
      <c r="S13" s="104">
        <f t="shared" ref="S13:AD13" si="2">Revenue_Total_Revenue</f>
        <v>583515.59155405359</v>
      </c>
      <c r="T13" s="104">
        <f t="shared" si="2"/>
        <v>685344.872080573</v>
      </c>
      <c r="U13" s="104">
        <f t="shared" si="2"/>
        <v>812190.4820599329</v>
      </c>
      <c r="V13" s="104">
        <f t="shared" si="2"/>
        <v>971824.79453884356</v>
      </c>
      <c r="W13" s="104">
        <f t="shared" si="2"/>
        <v>1174742.6343971477</v>
      </c>
      <c r="X13" s="104">
        <f t="shared" si="2"/>
        <v>1435162.002211099</v>
      </c>
      <c r="Y13" s="104">
        <f t="shared" si="2"/>
        <v>1772399.071436577</v>
      </c>
      <c r="Z13" s="104">
        <f t="shared" si="2"/>
        <v>2212758.2734427336</v>
      </c>
      <c r="AA13" s="104">
        <f t="shared" si="2"/>
        <v>2792131.3709527845</v>
      </c>
      <c r="AB13" s="104">
        <f t="shared" si="2"/>
        <v>3559572.5330697442</v>
      </c>
      <c r="AC13" s="104">
        <f t="shared" si="2"/>
        <v>4582217.1209917394</v>
      </c>
      <c r="AD13" s="104">
        <f t="shared" si="2"/>
        <v>5952050.5810853578</v>
      </c>
      <c r="AE13" s="21"/>
      <c r="AF13" s="21"/>
      <c r="AG13" s="21"/>
      <c r="AH13" s="21"/>
      <c r="AI13" s="21"/>
      <c r="AJ13" s="21"/>
      <c r="AK13" s="21"/>
      <c r="AL13" s="21"/>
      <c r="AM13" s="21"/>
      <c r="AN13" s="21"/>
      <c r="AO13" s="21"/>
    </row>
    <row r="14" spans="1:43" x14ac:dyDescent="0.2">
      <c r="B14" s="20"/>
      <c r="C14" s="20"/>
      <c r="D14" s="20"/>
      <c r="E14" s="20" t="s">
        <v>438</v>
      </c>
      <c r="F14" s="97"/>
      <c r="G14" s="97"/>
      <c r="H14" s="97"/>
      <c r="I14" s="97"/>
      <c r="J14" s="201" t="s">
        <v>1205</v>
      </c>
      <c r="K14" s="97"/>
      <c r="L14" s="99" t="s">
        <v>810</v>
      </c>
      <c r="M14" s="97"/>
      <c r="N14" s="21"/>
      <c r="O14" s="21"/>
      <c r="P14" s="101">
        <f>Act_IS_Direct_Costs</f>
        <v>-59666</v>
      </c>
      <c r="Q14" s="101">
        <f>Act_IS_Direct_Costs</f>
        <v>-264741</v>
      </c>
      <c r="R14" s="101">
        <f>Act_IS_Direct_Costs</f>
        <v>-319123</v>
      </c>
      <c r="S14" s="101">
        <f t="shared" ref="S14:AD14" si="3">Costs_Cost_of_Revenue</f>
        <v>-402912.56504650402</v>
      </c>
      <c r="T14" s="101">
        <f t="shared" si="3"/>
        <v>-473224.81926495762</v>
      </c>
      <c r="U14" s="101">
        <f t="shared" si="3"/>
        <v>-560810.63671596907</v>
      </c>
      <c r="V14" s="101">
        <f t="shared" si="3"/>
        <v>-671036.77504248021</v>
      </c>
      <c r="W14" s="101">
        <f t="shared" si="3"/>
        <v>-811149.82177917811</v>
      </c>
      <c r="X14" s="101">
        <f t="shared" si="3"/>
        <v>-990967.18568930472</v>
      </c>
      <c r="Y14" s="101">
        <f t="shared" si="3"/>
        <v>-1223826.520653306</v>
      </c>
      <c r="Z14" s="101">
        <f t="shared" si="3"/>
        <v>-1527890.8133478679</v>
      </c>
      <c r="AA14" s="101">
        <f t="shared" si="3"/>
        <v>-1927943.0214045718</v>
      </c>
      <c r="AB14" s="101">
        <f t="shared" si="3"/>
        <v>-2457854.6323819291</v>
      </c>
      <c r="AC14" s="101">
        <f t="shared" si="3"/>
        <v>-3163982.0435676635</v>
      </c>
      <c r="AD14" s="101">
        <f t="shared" si="3"/>
        <v>-4109840.4252142156</v>
      </c>
      <c r="AE14" s="21"/>
      <c r="AF14" s="21"/>
      <c r="AG14" s="21"/>
      <c r="AH14" s="21"/>
      <c r="AI14" s="21"/>
      <c r="AJ14" s="21"/>
      <c r="AK14" s="21"/>
      <c r="AL14" s="21"/>
      <c r="AM14" s="21"/>
      <c r="AN14" s="21"/>
      <c r="AO14" s="21"/>
    </row>
    <row r="15" spans="1:43" x14ac:dyDescent="0.2">
      <c r="B15" s="20"/>
      <c r="C15" s="20"/>
      <c r="D15" s="20"/>
      <c r="E15" s="646" t="s">
        <v>693</v>
      </c>
      <c r="F15" s="92"/>
      <c r="G15" s="92"/>
      <c r="H15" s="92"/>
      <c r="I15" s="92"/>
      <c r="J15" s="647" t="s">
        <v>1205</v>
      </c>
      <c r="K15" s="92"/>
      <c r="L15" s="95" t="s">
        <v>489</v>
      </c>
      <c r="M15" s="92"/>
      <c r="N15" s="178"/>
      <c r="O15" s="178"/>
      <c r="P15" s="93">
        <f>SUM(P13:P14)</f>
        <v>11247</v>
      </c>
      <c r="Q15" s="93">
        <f t="shared" ref="Q15:R15" si="4">SUM(Q13:Q14)</f>
        <v>181696</v>
      </c>
      <c r="R15" s="93">
        <f t="shared" si="4"/>
        <v>181801</v>
      </c>
      <c r="S15" s="93">
        <f t="shared" ref="S15" si="5">SUM(S13:S14)</f>
        <v>180603.02650754957</v>
      </c>
      <c r="T15" s="93">
        <f t="shared" ref="T15" si="6">SUM(T13:T14)</f>
        <v>212120.05281561537</v>
      </c>
      <c r="U15" s="93">
        <f t="shared" ref="U15" si="7">SUM(U13:U14)</f>
        <v>251379.84534396383</v>
      </c>
      <c r="V15" s="93">
        <f t="shared" ref="V15" si="8">SUM(V13:V14)</f>
        <v>300788.01949636335</v>
      </c>
      <c r="W15" s="93">
        <f t="shared" ref="W15" si="9">SUM(W13:W14)</f>
        <v>363592.81261796958</v>
      </c>
      <c r="X15" s="93">
        <f t="shared" ref="X15" si="10">SUM(X13:X14)</f>
        <v>444194.8165217943</v>
      </c>
      <c r="Y15" s="93">
        <f t="shared" ref="Y15" si="11">SUM(Y13:Y14)</f>
        <v>548572.55078327097</v>
      </c>
      <c r="Z15" s="93">
        <f t="shared" ref="Z15" si="12">SUM(Z13:Z14)</f>
        <v>684867.46009486564</v>
      </c>
      <c r="AA15" s="93">
        <f t="shared" ref="AA15" si="13">SUM(AA13:AA14)</f>
        <v>864188.34954821272</v>
      </c>
      <c r="AB15" s="93">
        <f t="shared" ref="AB15" si="14">SUM(AB13:AB14)</f>
        <v>1101717.9006878152</v>
      </c>
      <c r="AC15" s="93">
        <f t="shared" ref="AC15" si="15">SUM(AC13:AC14)</f>
        <v>1418235.0774240759</v>
      </c>
      <c r="AD15" s="93">
        <f t="shared" ref="AD15" si="16">SUM(AD13:AD14)</f>
        <v>1842210.1558711422</v>
      </c>
      <c r="AE15" s="21"/>
      <c r="AF15" s="21"/>
      <c r="AG15" s="21"/>
      <c r="AH15" s="21"/>
      <c r="AI15" s="21"/>
      <c r="AJ15" s="21"/>
      <c r="AK15" s="21"/>
      <c r="AL15" s="21"/>
      <c r="AM15" s="21"/>
      <c r="AN15" s="21"/>
      <c r="AO15" s="21"/>
    </row>
    <row r="16" spans="1:43" x14ac:dyDescent="0.2">
      <c r="B16" s="20"/>
      <c r="C16" s="20"/>
      <c r="D16" s="20"/>
      <c r="E16" s="20"/>
      <c r="F16" s="97"/>
      <c r="G16" s="97"/>
      <c r="H16" s="97"/>
      <c r="I16" s="97"/>
      <c r="J16" s="201"/>
      <c r="K16" s="97"/>
      <c r="L16" s="99"/>
      <c r="M16" s="97"/>
      <c r="N16" s="21"/>
      <c r="O16" s="21"/>
      <c r="P16" s="108"/>
      <c r="Q16" s="108"/>
      <c r="R16" s="108"/>
      <c r="S16" s="108"/>
      <c r="T16" s="108"/>
      <c r="U16" s="108"/>
      <c r="V16" s="108"/>
      <c r="W16" s="108"/>
      <c r="X16" s="108"/>
      <c r="Y16" s="108"/>
      <c r="Z16" s="108"/>
      <c r="AA16" s="108"/>
      <c r="AB16" s="108"/>
      <c r="AC16" s="108"/>
      <c r="AD16" s="108"/>
      <c r="AE16" s="21"/>
      <c r="AF16" s="21"/>
      <c r="AG16" s="21"/>
      <c r="AH16" s="21"/>
      <c r="AI16" s="21"/>
      <c r="AJ16" s="21"/>
      <c r="AK16" s="21"/>
      <c r="AL16" s="21"/>
      <c r="AM16" s="21"/>
      <c r="AN16" s="21"/>
      <c r="AO16" s="21"/>
    </row>
    <row r="17" spans="2:41" x14ac:dyDescent="0.2">
      <c r="B17" s="20"/>
      <c r="C17" s="20"/>
      <c r="D17" s="20"/>
      <c r="E17" s="20" t="s">
        <v>779</v>
      </c>
      <c r="F17" s="97"/>
      <c r="G17" s="97"/>
      <c r="H17" s="97"/>
      <c r="I17" s="97"/>
      <c r="J17" s="201"/>
      <c r="K17" s="97"/>
      <c r="L17" s="99"/>
      <c r="M17" s="97"/>
      <c r="N17" s="21"/>
      <c r="O17" s="21"/>
      <c r="P17" s="34"/>
      <c r="Q17" s="34"/>
      <c r="R17" s="34"/>
      <c r="S17" s="34"/>
      <c r="T17" s="34"/>
      <c r="U17" s="34"/>
      <c r="V17" s="34"/>
      <c r="W17" s="34"/>
      <c r="X17" s="34"/>
      <c r="Y17" s="34"/>
      <c r="Z17" s="34"/>
      <c r="AA17" s="34"/>
      <c r="AB17" s="34"/>
      <c r="AC17" s="34"/>
      <c r="AD17" s="34"/>
      <c r="AE17" s="21"/>
      <c r="AF17" s="21"/>
      <c r="AG17" s="21"/>
      <c r="AH17" s="21"/>
      <c r="AI17" s="21"/>
      <c r="AJ17" s="21"/>
      <c r="AK17" s="21"/>
      <c r="AL17" s="21"/>
      <c r="AM17" s="21"/>
      <c r="AN17" s="21"/>
      <c r="AO17" s="21"/>
    </row>
    <row r="18" spans="2:41" x14ac:dyDescent="0.2">
      <c r="B18" s="20"/>
      <c r="C18" s="20"/>
      <c r="D18" s="20"/>
      <c r="E18" s="357" t="s">
        <v>783</v>
      </c>
      <c r="F18" s="97"/>
      <c r="G18" s="97"/>
      <c r="H18" s="97"/>
      <c r="I18" s="97"/>
      <c r="J18" s="201" t="s">
        <v>1205</v>
      </c>
      <c r="K18" s="97"/>
      <c r="L18" s="99" t="s">
        <v>811</v>
      </c>
      <c r="M18" s="97"/>
      <c r="N18" s="21"/>
      <c r="O18" s="21"/>
      <c r="P18" s="101">
        <f>Act_IS_RD</f>
        <v>0</v>
      </c>
      <c r="Q18" s="101">
        <f>Act_IS_RD</f>
        <v>-58432</v>
      </c>
      <c r="R18" s="101">
        <f>Act_IS_RD</f>
        <v>-63945</v>
      </c>
      <c r="S18" s="101">
        <f t="shared" ref="S18:AD18" si="17">Costs_R_D</f>
        <v>-50287.238327709238</v>
      </c>
      <c r="T18" s="101">
        <f t="shared" si="17"/>
        <v>-59062.862103139902</v>
      </c>
      <c r="U18" s="101">
        <f t="shared" si="17"/>
        <v>-69994.387348022472</v>
      </c>
      <c r="V18" s="101">
        <f t="shared" si="17"/>
        <v>-87464.231508495912</v>
      </c>
      <c r="W18" s="101">
        <f t="shared" si="17"/>
        <v>-105726.83709574329</v>
      </c>
      <c r="X18" s="101">
        <f t="shared" si="17"/>
        <v>-129164.58019899891</v>
      </c>
      <c r="Y18" s="101">
        <f t="shared" si="17"/>
        <v>-159515.91642929192</v>
      </c>
      <c r="Z18" s="101">
        <f t="shared" si="17"/>
        <v>-177020.66187541868</v>
      </c>
      <c r="AA18" s="101">
        <f t="shared" si="17"/>
        <v>-223370.50967622278</v>
      </c>
      <c r="AB18" s="101">
        <f t="shared" si="17"/>
        <v>-284765.80264557956</v>
      </c>
      <c r="AC18" s="101">
        <f t="shared" si="17"/>
        <v>-366577.36967933917</v>
      </c>
      <c r="AD18" s="101">
        <f t="shared" si="17"/>
        <v>-476164.04648682865</v>
      </c>
      <c r="AE18" s="21"/>
      <c r="AF18" s="21"/>
      <c r="AG18" s="21"/>
      <c r="AH18" s="21"/>
      <c r="AI18" s="21"/>
      <c r="AJ18" s="21"/>
      <c r="AK18" s="21"/>
      <c r="AL18" s="21"/>
      <c r="AM18" s="21"/>
      <c r="AN18" s="21"/>
      <c r="AO18" s="21"/>
    </row>
    <row r="19" spans="2:41" x14ac:dyDescent="0.2">
      <c r="B19" s="20"/>
      <c r="C19" s="20"/>
      <c r="D19" s="20"/>
      <c r="E19" s="357" t="s">
        <v>780</v>
      </c>
      <c r="F19" s="97"/>
      <c r="G19" s="97"/>
      <c r="H19" s="97"/>
      <c r="I19" s="97"/>
      <c r="J19" s="201" t="s">
        <v>1205</v>
      </c>
      <c r="K19" s="97"/>
      <c r="L19" s="99" t="s">
        <v>812</v>
      </c>
      <c r="M19" s="97"/>
      <c r="N19" s="21"/>
      <c r="O19" s="21"/>
      <c r="P19" s="101">
        <f>Act_IS_SGA</f>
        <v>0</v>
      </c>
      <c r="Q19" s="101">
        <f>Act_IS_SGA</f>
        <v>-66546</v>
      </c>
      <c r="R19" s="101">
        <f>Act_IS_SGA</f>
        <v>-77238</v>
      </c>
      <c r="S19" s="101">
        <f t="shared" ref="S19:AD19" si="18">Costs_SGA</f>
        <v>-58983.950143892922</v>
      </c>
      <c r="T19" s="101">
        <f t="shared" si="18"/>
        <v>-69277.236720466462</v>
      </c>
      <c r="U19" s="101">
        <f t="shared" si="18"/>
        <v>-82099.267945147411</v>
      </c>
      <c r="V19" s="101">
        <f t="shared" si="18"/>
        <v>-116618.97534466123</v>
      </c>
      <c r="W19" s="101">
        <f t="shared" si="18"/>
        <v>-117474.26343971478</v>
      </c>
      <c r="X19" s="101">
        <f t="shared" si="18"/>
        <v>-143516.2002211099</v>
      </c>
      <c r="Y19" s="101">
        <f t="shared" si="18"/>
        <v>-177239.90714365771</v>
      </c>
      <c r="Z19" s="101">
        <f t="shared" si="18"/>
        <v>-221275.82734427336</v>
      </c>
      <c r="AA19" s="101">
        <f t="shared" si="18"/>
        <v>-279213.13709527848</v>
      </c>
      <c r="AB19" s="101">
        <f t="shared" si="18"/>
        <v>-355957.25330697442</v>
      </c>
      <c r="AC19" s="101">
        <f t="shared" si="18"/>
        <v>-458221.71209917398</v>
      </c>
      <c r="AD19" s="101">
        <f t="shared" si="18"/>
        <v>-595205.05810853583</v>
      </c>
      <c r="AE19" s="21"/>
      <c r="AF19" s="21"/>
      <c r="AG19" s="21"/>
      <c r="AH19" s="21"/>
      <c r="AI19" s="21"/>
      <c r="AJ19" s="21"/>
      <c r="AK19" s="21"/>
      <c r="AL19" s="21"/>
      <c r="AM19" s="21"/>
      <c r="AN19" s="21"/>
      <c r="AO19" s="21"/>
    </row>
    <row r="21" spans="2:41" x14ac:dyDescent="0.2">
      <c r="B21" s="20"/>
      <c r="C21" s="20"/>
      <c r="D21" s="20"/>
      <c r="E21" s="357" t="s">
        <v>776</v>
      </c>
      <c r="F21" s="97"/>
      <c r="G21" s="97"/>
      <c r="H21" s="97"/>
      <c r="I21" s="97"/>
      <c r="J21" s="201" t="s">
        <v>1205</v>
      </c>
      <c r="K21" s="97"/>
      <c r="L21" s="99" t="s">
        <v>490</v>
      </c>
      <c r="M21" s="97"/>
      <c r="N21" s="21"/>
      <c r="O21" s="21"/>
      <c r="P21" s="25">
        <f>Act_IS_Other_Income</f>
        <v>1158</v>
      </c>
      <c r="Q21" s="25">
        <f>Act_IS_Other_Income</f>
        <v>76498</v>
      </c>
      <c r="R21" s="25">
        <f>Act_IS_Other_Income</f>
        <v>72175</v>
      </c>
      <c r="S21" s="101">
        <f t="shared" ref="S21:AD21" si="19">Costs_Other_Income</f>
        <v>29175.77957770268</v>
      </c>
      <c r="T21" s="101">
        <f t="shared" si="19"/>
        <v>34267.243604028648</v>
      </c>
      <c r="U21" s="101">
        <f t="shared" si="19"/>
        <v>40609.524102996649</v>
      </c>
      <c r="V21" s="101">
        <f t="shared" si="19"/>
        <v>48591.239726942178</v>
      </c>
      <c r="W21" s="101">
        <f t="shared" si="19"/>
        <v>58737.131719857389</v>
      </c>
      <c r="X21" s="101">
        <f t="shared" si="19"/>
        <v>71758.100110554951</v>
      </c>
      <c r="Y21" s="101">
        <f t="shared" si="19"/>
        <v>88619.953571828853</v>
      </c>
      <c r="Z21" s="101">
        <f t="shared" si="19"/>
        <v>110637.91367213668</v>
      </c>
      <c r="AA21" s="101">
        <f t="shared" si="19"/>
        <v>139606.56854763924</v>
      </c>
      <c r="AB21" s="101">
        <f t="shared" si="19"/>
        <v>177978.62665348721</v>
      </c>
      <c r="AC21" s="101">
        <f t="shared" si="19"/>
        <v>229110.85604958699</v>
      </c>
      <c r="AD21" s="101">
        <f t="shared" si="19"/>
        <v>297602.52905426791</v>
      </c>
      <c r="AE21" s="21"/>
      <c r="AF21" s="21"/>
      <c r="AG21" s="21"/>
      <c r="AH21" s="21"/>
      <c r="AI21" s="21"/>
      <c r="AJ21" s="21"/>
      <c r="AK21" s="21"/>
      <c r="AL21" s="21"/>
      <c r="AM21" s="21"/>
      <c r="AN21" s="21"/>
      <c r="AO21" s="21"/>
    </row>
    <row r="22" spans="2:41" x14ac:dyDescent="0.2">
      <c r="B22" s="20"/>
      <c r="C22" s="20"/>
      <c r="D22" s="20"/>
      <c r="E22" s="357" t="s">
        <v>782</v>
      </c>
      <c r="F22" s="97"/>
      <c r="G22" s="97"/>
      <c r="H22" s="97"/>
      <c r="I22" s="97"/>
      <c r="J22" s="201" t="s">
        <v>1205</v>
      </c>
      <c r="K22" s="97"/>
      <c r="L22" s="99" t="s">
        <v>813</v>
      </c>
      <c r="M22" s="97"/>
      <c r="N22" s="21"/>
      <c r="O22" s="21"/>
      <c r="P22" s="25">
        <f>Act_IS_Other_Expenses</f>
        <v>-5023</v>
      </c>
      <c r="Q22" s="25">
        <f>Act_IS_Other_Expenses</f>
        <v>-9898</v>
      </c>
      <c r="R22" s="25">
        <f>Act_IS_Other_Expenses</f>
        <v>-4968</v>
      </c>
      <c r="S22" s="101">
        <f t="shared" ref="S22:AD22" si="20">Costs_Other_Expense</f>
        <v>-20018.873265666854</v>
      </c>
      <c r="T22" s="101">
        <f t="shared" si="20"/>
        <v>-23512.365969375685</v>
      </c>
      <c r="U22" s="101">
        <f t="shared" si="20"/>
        <v>-27864.102627723034</v>
      </c>
      <c r="V22" s="101">
        <f t="shared" si="20"/>
        <v>-33340.732758301376</v>
      </c>
      <c r="W22" s="101">
        <f t="shared" si="20"/>
        <v>-40302.305984901221</v>
      </c>
      <c r="X22" s="101">
        <f t="shared" si="20"/>
        <v>-49236.60422071733</v>
      </c>
      <c r="Y22" s="101">
        <f t="shared" si="20"/>
        <v>-60806.314177103952</v>
      </c>
      <c r="Z22" s="101">
        <f t="shared" si="20"/>
        <v>-75913.87117117412</v>
      </c>
      <c r="AA22" s="101">
        <f t="shared" si="20"/>
        <v>-95790.626446386246</v>
      </c>
      <c r="AB22" s="101">
        <f t="shared" si="20"/>
        <v>-122119.49852049659</v>
      </c>
      <c r="AC22" s="101">
        <f t="shared" si="20"/>
        <v>-157203.72368559931</v>
      </c>
      <c r="AD22" s="101">
        <f t="shared" si="20"/>
        <v>-204199.07878768109</v>
      </c>
      <c r="AE22" s="21"/>
      <c r="AF22" s="21"/>
      <c r="AG22" s="21"/>
      <c r="AH22" s="21"/>
      <c r="AI22" s="21"/>
      <c r="AJ22" s="21"/>
      <c r="AK22" s="21"/>
      <c r="AL22" s="21"/>
      <c r="AM22" s="21"/>
      <c r="AN22" s="21"/>
      <c r="AO22" s="21"/>
    </row>
    <row r="23" spans="2:41" x14ac:dyDescent="0.2">
      <c r="B23" s="20"/>
      <c r="C23" s="20"/>
      <c r="D23" s="20"/>
      <c r="E23" s="357"/>
      <c r="F23" s="97"/>
      <c r="G23" s="97"/>
      <c r="H23" s="97"/>
      <c r="I23" s="97"/>
      <c r="J23" s="201"/>
      <c r="K23" s="97"/>
      <c r="L23" s="99"/>
      <c r="M23" s="97"/>
      <c r="N23" s="21"/>
      <c r="O23" s="21"/>
      <c r="P23" s="25"/>
      <c r="Q23" s="25"/>
      <c r="R23" s="25"/>
      <c r="S23" s="25"/>
      <c r="T23" s="25"/>
      <c r="U23" s="25"/>
      <c r="V23" s="25"/>
      <c r="W23" s="25"/>
      <c r="X23" s="25"/>
      <c r="Y23" s="25"/>
      <c r="Z23" s="25"/>
      <c r="AA23" s="25"/>
      <c r="AB23" s="25"/>
      <c r="AC23" s="25"/>
      <c r="AD23" s="25"/>
      <c r="AE23" s="21"/>
      <c r="AF23" s="21"/>
      <c r="AG23" s="21"/>
      <c r="AH23" s="21"/>
      <c r="AI23" s="21"/>
      <c r="AJ23" s="21"/>
      <c r="AK23" s="21"/>
      <c r="AL23" s="21"/>
      <c r="AM23" s="21"/>
      <c r="AN23" s="21"/>
      <c r="AO23" s="21"/>
    </row>
    <row r="24" spans="2:41" ht="12.6" x14ac:dyDescent="0.25">
      <c r="B24" s="20"/>
      <c r="C24" s="20"/>
      <c r="D24" s="20"/>
      <c r="E24" s="62" t="s">
        <v>12</v>
      </c>
      <c r="F24" s="28"/>
      <c r="G24" s="28"/>
      <c r="H24" s="28"/>
      <c r="I24" s="28"/>
      <c r="J24" s="202" t="s">
        <v>1205</v>
      </c>
      <c r="K24" s="28"/>
      <c r="L24" s="30" t="s">
        <v>13</v>
      </c>
      <c r="M24" s="28"/>
      <c r="N24" s="130"/>
      <c r="O24" s="130"/>
      <c r="P24" s="325">
        <f>P15+SUM(P18:P22)</f>
        <v>7382</v>
      </c>
      <c r="Q24" s="325">
        <f t="shared" ref="Q24:R24" si="21">Q15+SUM(Q18:Q22)</f>
        <v>123318</v>
      </c>
      <c r="R24" s="325">
        <f t="shared" si="21"/>
        <v>107825</v>
      </c>
      <c r="S24" s="325">
        <f t="shared" ref="S24:AD24" si="22">S15+SUM(S18:S22)</f>
        <v>80488.744347983229</v>
      </c>
      <c r="T24" s="325">
        <f t="shared" si="22"/>
        <v>94534.831626661995</v>
      </c>
      <c r="U24" s="325">
        <f t="shared" si="22"/>
        <v>112031.61152606754</v>
      </c>
      <c r="V24" s="325">
        <f t="shared" si="22"/>
        <v>111955.31961184702</v>
      </c>
      <c r="W24" s="325">
        <f t="shared" si="22"/>
        <v>158826.5378174677</v>
      </c>
      <c r="X24" s="325">
        <f t="shared" si="22"/>
        <v>194035.53199152311</v>
      </c>
      <c r="Y24" s="325">
        <f t="shared" si="22"/>
        <v>239630.36660504621</v>
      </c>
      <c r="Z24" s="325">
        <f t="shared" si="22"/>
        <v>321295.01337613614</v>
      </c>
      <c r="AA24" s="325">
        <f t="shared" si="22"/>
        <v>405420.6448779644</v>
      </c>
      <c r="AB24" s="325">
        <f t="shared" si="22"/>
        <v>516853.97286825185</v>
      </c>
      <c r="AC24" s="325">
        <f t="shared" si="22"/>
        <v>665343.12800955051</v>
      </c>
      <c r="AD24" s="325">
        <f t="shared" si="22"/>
        <v>864244.50154236448</v>
      </c>
      <c r="AE24" s="21"/>
      <c r="AF24" s="21"/>
      <c r="AG24" s="21"/>
      <c r="AH24" s="21"/>
      <c r="AI24" s="21"/>
      <c r="AJ24" s="21"/>
      <c r="AK24" s="21"/>
      <c r="AL24" s="21"/>
      <c r="AM24" s="21"/>
      <c r="AN24" s="21"/>
      <c r="AO24" s="21"/>
    </row>
    <row r="25" spans="2:41" x14ac:dyDescent="0.2">
      <c r="B25" s="20"/>
      <c r="C25" s="20"/>
      <c r="D25" s="20"/>
      <c r="E25" s="47"/>
      <c r="F25" s="97"/>
      <c r="G25" s="97"/>
      <c r="H25" s="97"/>
      <c r="I25" s="97"/>
      <c r="J25" s="201"/>
      <c r="K25" s="97"/>
      <c r="L25" s="99"/>
      <c r="M25" s="97"/>
      <c r="N25" s="21"/>
      <c r="O25" s="21"/>
      <c r="P25" s="89"/>
      <c r="Q25" s="89"/>
      <c r="R25" s="89"/>
      <c r="S25" s="89"/>
      <c r="T25" s="89"/>
      <c r="U25" s="89"/>
      <c r="V25" s="89"/>
      <c r="W25" s="89"/>
      <c r="X25" s="89"/>
      <c r="Y25" s="89"/>
      <c r="Z25" s="89"/>
      <c r="AA25" s="89"/>
      <c r="AB25" s="89"/>
      <c r="AC25" s="89"/>
      <c r="AD25" s="89"/>
      <c r="AE25" s="21"/>
      <c r="AF25" s="21"/>
      <c r="AG25" s="21"/>
      <c r="AH25" s="21"/>
      <c r="AI25" s="21"/>
      <c r="AJ25" s="21"/>
      <c r="AK25" s="21"/>
      <c r="AL25" s="21"/>
      <c r="AM25" s="21"/>
      <c r="AN25" s="21"/>
      <c r="AO25" s="21"/>
    </row>
    <row r="26" spans="2:41" x14ac:dyDescent="0.2">
      <c r="B26" s="20"/>
      <c r="C26" s="20"/>
      <c r="D26" s="20"/>
      <c r="E26" s="97" t="s">
        <v>792</v>
      </c>
      <c r="F26" s="97"/>
      <c r="G26" s="97"/>
      <c r="H26" s="97"/>
      <c r="I26" s="97"/>
      <c r="J26" s="201" t="s">
        <v>1205</v>
      </c>
      <c r="K26" s="97"/>
      <c r="L26" s="99" t="s">
        <v>814</v>
      </c>
      <c r="M26" s="97"/>
      <c r="N26" s="21"/>
      <c r="O26" s="21"/>
      <c r="P26" s="101">
        <f>Act_IS_Dep</f>
        <v>-1215</v>
      </c>
      <c r="Q26" s="101">
        <f>Act_IS_Dep</f>
        <v>-36456</v>
      </c>
      <c r="R26" s="101">
        <f>Act_IS_Dep</f>
        <v>-42122</v>
      </c>
      <c r="S26" s="101">
        <f t="shared" ref="S26:AD26" si="23">-Asset_Liability_PPE_Depreciation_Charge</f>
        <v>-44307.299629160021</v>
      </c>
      <c r="T26" s="101">
        <f t="shared" si="23"/>
        <v>-48677.898887480056</v>
      </c>
      <c r="U26" s="101">
        <f t="shared" si="23"/>
        <v>-53048.498145800091</v>
      </c>
      <c r="V26" s="101">
        <f t="shared" si="23"/>
        <v>-57419.097404120126</v>
      </c>
      <c r="W26" s="101">
        <f t="shared" si="23"/>
        <v>-61789.696662440161</v>
      </c>
      <c r="X26" s="101">
        <f t="shared" si="23"/>
        <v>-66160.295920760196</v>
      </c>
      <c r="Y26" s="101">
        <f t="shared" si="23"/>
        <v>-70530.895179080224</v>
      </c>
      <c r="Z26" s="101">
        <f t="shared" si="23"/>
        <v>-74901.494437400266</v>
      </c>
      <c r="AA26" s="101">
        <f t="shared" si="23"/>
        <v>-79272.093695720294</v>
      </c>
      <c r="AB26" s="101">
        <f t="shared" si="23"/>
        <v>-83642.692954040336</v>
      </c>
      <c r="AC26" s="101">
        <f t="shared" si="23"/>
        <v>-88013.292212360364</v>
      </c>
      <c r="AD26" s="101">
        <f t="shared" si="23"/>
        <v>-92383.891470680406</v>
      </c>
      <c r="AE26" s="21"/>
      <c r="AF26" s="21"/>
      <c r="AG26" s="21"/>
      <c r="AH26" s="21"/>
      <c r="AI26" s="21"/>
      <c r="AJ26" s="21"/>
      <c r="AK26" s="21"/>
      <c r="AL26" s="21"/>
      <c r="AM26" s="21"/>
      <c r="AN26" s="21"/>
      <c r="AO26" s="21"/>
    </row>
    <row r="27" spans="2:41" x14ac:dyDescent="0.2">
      <c r="B27" s="20"/>
      <c r="C27" s="20"/>
      <c r="D27" s="20"/>
      <c r="E27" s="97" t="s">
        <v>793</v>
      </c>
      <c r="F27" s="97"/>
      <c r="G27" s="97"/>
      <c r="H27" s="97"/>
      <c r="I27" s="97"/>
      <c r="J27" s="201" t="s">
        <v>1205</v>
      </c>
      <c r="K27" s="97"/>
      <c r="L27" s="99" t="s">
        <v>815</v>
      </c>
      <c r="M27" s="97"/>
      <c r="N27" s="21"/>
      <c r="O27" s="21"/>
      <c r="P27" s="101">
        <f>Act_IS_Amort</f>
        <v>-281</v>
      </c>
      <c r="Q27" s="101">
        <f>Act_IS_Amort</f>
        <v>-12349</v>
      </c>
      <c r="R27" s="101">
        <f>Act_IS_Amort</f>
        <v>-13936</v>
      </c>
      <c r="S27" s="101">
        <f t="shared" ref="S27:AD27" si="24">-Asset_Liability_IA_Amortization_Charge</f>
        <v>-14219.440993182448</v>
      </c>
      <c r="T27" s="101">
        <f t="shared" si="24"/>
        <v>-14644.602482956117</v>
      </c>
      <c r="U27" s="101">
        <f t="shared" si="24"/>
        <v>-14928.043476138564</v>
      </c>
      <c r="V27" s="101">
        <f t="shared" si="24"/>
        <v>-15211.484469321013</v>
      </c>
      <c r="W27" s="101">
        <f t="shared" si="24"/>
        <v>-15494.925462503459</v>
      </c>
      <c r="X27" s="101">
        <f t="shared" si="24"/>
        <v>-15778.366455685906</v>
      </c>
      <c r="Y27" s="101">
        <f t="shared" si="24"/>
        <v>-16061.807448868352</v>
      </c>
      <c r="Z27" s="101">
        <f t="shared" si="24"/>
        <v>-16345.248442050799</v>
      </c>
      <c r="AA27" s="101">
        <f t="shared" si="24"/>
        <v>-16628.689435233246</v>
      </c>
      <c r="AB27" s="101">
        <f t="shared" si="24"/>
        <v>-13723.391334060114</v>
      </c>
      <c r="AC27" s="101">
        <f t="shared" si="24"/>
        <v>-5000</v>
      </c>
      <c r="AD27" s="101">
        <f t="shared" si="24"/>
        <v>-5000</v>
      </c>
      <c r="AE27" s="21"/>
      <c r="AF27" s="21"/>
      <c r="AG27" s="21"/>
      <c r="AH27" s="21"/>
      <c r="AI27" s="21"/>
      <c r="AJ27" s="21"/>
      <c r="AK27" s="21"/>
      <c r="AL27" s="21"/>
      <c r="AM27" s="21"/>
      <c r="AN27" s="21"/>
      <c r="AO27" s="21"/>
    </row>
    <row r="28" spans="2:41" x14ac:dyDescent="0.2">
      <c r="B28" s="20"/>
      <c r="C28" s="20"/>
      <c r="D28" s="20"/>
      <c r="E28" s="97"/>
      <c r="F28" s="97"/>
      <c r="G28" s="97"/>
      <c r="H28" s="97"/>
      <c r="I28" s="97"/>
      <c r="J28" s="201"/>
      <c r="K28" s="97"/>
      <c r="L28" s="99"/>
      <c r="M28" s="97"/>
      <c r="N28" s="21"/>
      <c r="O28" s="21"/>
      <c r="P28" s="101"/>
      <c r="Q28" s="101"/>
      <c r="R28" s="101"/>
      <c r="S28" s="101"/>
      <c r="T28" s="101"/>
      <c r="U28" s="101"/>
      <c r="V28" s="101"/>
      <c r="W28" s="101"/>
      <c r="X28" s="101"/>
      <c r="Y28" s="101"/>
      <c r="Z28" s="101"/>
      <c r="AA28" s="101"/>
      <c r="AB28" s="101"/>
      <c r="AC28" s="101"/>
      <c r="AD28" s="101"/>
      <c r="AE28" s="21"/>
      <c r="AF28" s="21"/>
      <c r="AG28" s="21"/>
      <c r="AH28" s="21"/>
      <c r="AI28" s="21"/>
      <c r="AJ28" s="21"/>
      <c r="AK28" s="21"/>
      <c r="AL28" s="21"/>
      <c r="AM28" s="21"/>
      <c r="AN28" s="21"/>
      <c r="AO28" s="21"/>
    </row>
    <row r="29" spans="2:41" x14ac:dyDescent="0.2">
      <c r="B29" s="20"/>
      <c r="C29" s="20"/>
      <c r="D29" s="20"/>
      <c r="E29" s="97" t="s">
        <v>785</v>
      </c>
      <c r="F29" s="97"/>
      <c r="G29" s="97"/>
      <c r="H29" s="97"/>
      <c r="I29" s="97"/>
      <c r="J29" s="201" t="s">
        <v>1205</v>
      </c>
      <c r="K29" s="97"/>
      <c r="L29" s="99" t="s">
        <v>816</v>
      </c>
      <c r="M29" s="97"/>
      <c r="N29" s="21"/>
      <c r="O29" s="21"/>
      <c r="P29" s="26">
        <f>Act_IS_Impairement</f>
        <v>0</v>
      </c>
      <c r="Q29" s="26">
        <f>Act_IS_Impairement</f>
        <v>-11919</v>
      </c>
      <c r="R29" s="26">
        <f>Act_IS_Impairement</f>
        <v>-3244</v>
      </c>
      <c r="S29" s="26">
        <v>0</v>
      </c>
      <c r="T29" s="26">
        <v>0</v>
      </c>
      <c r="U29" s="26">
        <v>0</v>
      </c>
      <c r="V29" s="26">
        <v>0</v>
      </c>
      <c r="W29" s="26">
        <v>0</v>
      </c>
      <c r="X29" s="26">
        <v>0</v>
      </c>
      <c r="Y29" s="26">
        <v>0</v>
      </c>
      <c r="Z29" s="26">
        <v>0</v>
      </c>
      <c r="AA29" s="26">
        <v>0</v>
      </c>
      <c r="AB29" s="26">
        <v>0</v>
      </c>
      <c r="AC29" s="26">
        <v>0</v>
      </c>
      <c r="AD29" s="26">
        <v>0</v>
      </c>
      <c r="AE29" s="21"/>
      <c r="AF29" s="21"/>
      <c r="AG29" s="21"/>
      <c r="AH29" s="21"/>
      <c r="AI29" s="21"/>
      <c r="AJ29" s="21"/>
      <c r="AK29" s="21"/>
      <c r="AL29" s="21"/>
      <c r="AM29" s="21"/>
      <c r="AN29" s="21"/>
      <c r="AO29" s="21"/>
    </row>
    <row r="30" spans="2:41" x14ac:dyDescent="0.2">
      <c r="B30" s="20"/>
      <c r="C30" s="20"/>
      <c r="D30" s="20"/>
      <c r="E30" s="97" t="s">
        <v>789</v>
      </c>
      <c r="F30" s="97"/>
      <c r="G30" s="97"/>
      <c r="H30" s="97"/>
      <c r="I30" s="97"/>
      <c r="J30" s="201" t="s">
        <v>1205</v>
      </c>
      <c r="K30" s="97"/>
      <c r="L30" s="99" t="s">
        <v>491</v>
      </c>
      <c r="M30" s="97"/>
      <c r="N30" s="21"/>
      <c r="O30" s="21"/>
      <c r="P30" s="101">
        <f>Act_IS_Investment_Income</f>
        <v>0</v>
      </c>
      <c r="Q30" s="101">
        <f>Act_IS_Investment_Income</f>
        <v>2232</v>
      </c>
      <c r="R30" s="101">
        <f>Act_IS_Investment_Income</f>
        <v>1339</v>
      </c>
      <c r="S30" s="101">
        <v>0</v>
      </c>
      <c r="T30" s="101">
        <v>0</v>
      </c>
      <c r="U30" s="101">
        <v>0</v>
      </c>
      <c r="V30" s="101">
        <v>0</v>
      </c>
      <c r="W30" s="101">
        <v>0</v>
      </c>
      <c r="X30" s="101">
        <v>0</v>
      </c>
      <c r="Y30" s="101">
        <v>0</v>
      </c>
      <c r="Z30" s="101">
        <v>0</v>
      </c>
      <c r="AA30" s="101">
        <v>0</v>
      </c>
      <c r="AB30" s="101">
        <v>0</v>
      </c>
      <c r="AC30" s="101">
        <v>0</v>
      </c>
      <c r="AD30" s="101">
        <v>0</v>
      </c>
      <c r="AE30" s="21"/>
      <c r="AF30" s="21"/>
      <c r="AG30" s="21"/>
      <c r="AH30" s="21"/>
      <c r="AI30" s="21"/>
      <c r="AJ30" s="21"/>
      <c r="AK30" s="21"/>
      <c r="AL30" s="21"/>
      <c r="AM30" s="21"/>
      <c r="AN30" s="21"/>
      <c r="AO30" s="21"/>
    </row>
    <row r="31" spans="2:41" x14ac:dyDescent="0.2">
      <c r="C31" s="17"/>
      <c r="D31" s="17"/>
      <c r="E31" s="1" t="s">
        <v>788</v>
      </c>
      <c r="H31" s="25"/>
      <c r="J31" s="107" t="s">
        <v>1205</v>
      </c>
      <c r="L31" s="3" t="s">
        <v>817</v>
      </c>
      <c r="M31" s="25"/>
      <c r="N31" s="25"/>
      <c r="O31" s="25"/>
      <c r="P31" s="25">
        <f>Act_IS_Interest_Expense</f>
        <v>0</v>
      </c>
      <c r="Q31" s="25">
        <f>Act_IS_Interest_Expense</f>
        <v>-7456</v>
      </c>
      <c r="R31" s="25">
        <f>Act_IS_Interest_Expense</f>
        <v>-8465</v>
      </c>
      <c r="S31" s="25" t="e">
        <f t="shared" ref="S31:AD31" si="25">Finance_Charges+Finance_Arrangement_Fee+Finance_Commitment_Fee</f>
        <v>#NAME?</v>
      </c>
      <c r="T31" s="25" t="e">
        <f t="shared" si="25"/>
        <v>#NAME?</v>
      </c>
      <c r="U31" s="25" t="e">
        <f t="shared" si="25"/>
        <v>#NAME?</v>
      </c>
      <c r="V31" s="25" t="e">
        <f t="shared" si="25"/>
        <v>#NAME?</v>
      </c>
      <c r="W31" s="25" t="e">
        <f t="shared" si="25"/>
        <v>#NAME?</v>
      </c>
      <c r="X31" s="25" t="e">
        <f t="shared" si="25"/>
        <v>#NAME?</v>
      </c>
      <c r="Y31" s="25" t="e">
        <f t="shared" si="25"/>
        <v>#NAME?</v>
      </c>
      <c r="Z31" s="25" t="e">
        <f t="shared" si="25"/>
        <v>#NAME?</v>
      </c>
      <c r="AA31" s="25" t="e">
        <f t="shared" si="25"/>
        <v>#NAME?</v>
      </c>
      <c r="AB31" s="25" t="e">
        <f t="shared" si="25"/>
        <v>#NAME?</v>
      </c>
      <c r="AC31" s="25" t="e">
        <f t="shared" si="25"/>
        <v>#NAME?</v>
      </c>
      <c r="AD31" s="25" t="e">
        <f t="shared" si="25"/>
        <v>#NAME?</v>
      </c>
      <c r="AE31" s="25"/>
      <c r="AF31" s="25"/>
      <c r="AG31" s="25"/>
      <c r="AH31" s="25"/>
      <c r="AI31" s="25"/>
      <c r="AJ31" s="25"/>
      <c r="AK31" s="25"/>
      <c r="AL31" s="25"/>
      <c r="AM31" s="25"/>
      <c r="AN31" s="25"/>
      <c r="AO31" s="25"/>
    </row>
    <row r="32" spans="2:41" x14ac:dyDescent="0.2">
      <c r="C32" s="17"/>
      <c r="D32" s="17"/>
      <c r="E32" s="1" t="s">
        <v>790</v>
      </c>
      <c r="H32" s="25"/>
      <c r="J32" s="107" t="s">
        <v>1205</v>
      </c>
      <c r="L32" s="3" t="s">
        <v>818</v>
      </c>
      <c r="M32" s="25"/>
      <c r="N32" s="25"/>
      <c r="O32" s="25"/>
      <c r="P32" s="25">
        <f>Act_IS_Other_LT_Investments</f>
        <v>0</v>
      </c>
      <c r="Q32" s="25">
        <f>Act_IS_Other_LT_Investments</f>
        <v>80</v>
      </c>
      <c r="R32" s="25">
        <f>Act_IS_Other_LT_Investments</f>
        <v>1500</v>
      </c>
      <c r="S32" s="25">
        <v>0</v>
      </c>
      <c r="T32" s="25">
        <v>0</v>
      </c>
      <c r="U32" s="25">
        <v>0</v>
      </c>
      <c r="V32" s="25">
        <v>0</v>
      </c>
      <c r="W32" s="25">
        <v>0</v>
      </c>
      <c r="X32" s="25">
        <v>0</v>
      </c>
      <c r="Y32" s="25">
        <v>0</v>
      </c>
      <c r="Z32" s="25">
        <v>0</v>
      </c>
      <c r="AA32" s="25">
        <v>0</v>
      </c>
      <c r="AB32" s="25">
        <v>0</v>
      </c>
      <c r="AC32" s="25">
        <v>0</v>
      </c>
      <c r="AD32" s="25">
        <v>0</v>
      </c>
      <c r="AE32" s="25"/>
      <c r="AF32" s="25"/>
      <c r="AG32" s="25"/>
      <c r="AH32" s="25"/>
      <c r="AI32" s="25"/>
      <c r="AJ32" s="25"/>
      <c r="AK32" s="25"/>
      <c r="AL32" s="25"/>
      <c r="AM32" s="25"/>
      <c r="AN32" s="25"/>
      <c r="AO32" s="25"/>
    </row>
    <row r="33" spans="1:46" x14ac:dyDescent="0.2">
      <c r="C33" s="17"/>
      <c r="D33" s="17"/>
      <c r="E33" s="1" t="s">
        <v>798</v>
      </c>
      <c r="H33" s="25"/>
      <c r="J33" s="107" t="s">
        <v>1205</v>
      </c>
      <c r="L33" s="3" t="s">
        <v>819</v>
      </c>
      <c r="M33" s="25"/>
      <c r="N33" s="25"/>
      <c r="O33" s="25"/>
      <c r="P33" s="25">
        <f>Act_IS_Other_SOR</f>
        <v>0</v>
      </c>
      <c r="Q33" s="25">
        <f>Act_IS_Other_SOR</f>
        <v>-2210</v>
      </c>
      <c r="R33" s="25">
        <f>Act_IS_Other_SOR</f>
        <v>-10434</v>
      </c>
      <c r="S33" s="25">
        <v>0</v>
      </c>
      <c r="T33" s="25">
        <v>0</v>
      </c>
      <c r="U33" s="25">
        <v>0</v>
      </c>
      <c r="V33" s="25">
        <v>0</v>
      </c>
      <c r="W33" s="25">
        <v>0</v>
      </c>
      <c r="X33" s="25">
        <v>0</v>
      </c>
      <c r="Y33" s="25">
        <v>0</v>
      </c>
      <c r="Z33" s="25">
        <v>0</v>
      </c>
      <c r="AA33" s="25">
        <v>0</v>
      </c>
      <c r="AB33" s="25">
        <v>0</v>
      </c>
      <c r="AC33" s="25">
        <v>0</v>
      </c>
      <c r="AD33" s="25">
        <v>0</v>
      </c>
      <c r="AE33" s="25"/>
      <c r="AF33" s="25"/>
      <c r="AG33" s="25"/>
      <c r="AH33" s="25"/>
      <c r="AI33" s="25"/>
      <c r="AJ33" s="25"/>
      <c r="AK33" s="25"/>
      <c r="AL33" s="25"/>
      <c r="AM33" s="25"/>
      <c r="AN33" s="25"/>
      <c r="AO33" s="25"/>
    </row>
    <row r="34" spans="1:46" x14ac:dyDescent="0.2">
      <c r="C34" s="17"/>
      <c r="D34" s="17"/>
      <c r="E34" s="1" t="s">
        <v>800</v>
      </c>
      <c r="H34" s="25"/>
      <c r="J34" s="107" t="s">
        <v>1205</v>
      </c>
      <c r="L34" s="3" t="s">
        <v>820</v>
      </c>
      <c r="M34" s="25"/>
      <c r="N34" s="25"/>
      <c r="O34" s="25"/>
      <c r="P34" s="25">
        <f>Act_IS_F_Assets</f>
        <v>0</v>
      </c>
      <c r="Q34" s="25">
        <f>Act_IS_F_Assets</f>
        <v>32</v>
      </c>
      <c r="R34" s="25">
        <f>Act_IS_F_Assets</f>
        <v>27</v>
      </c>
      <c r="S34" s="25">
        <v>0</v>
      </c>
      <c r="T34" s="25">
        <v>0</v>
      </c>
      <c r="U34" s="25">
        <v>0</v>
      </c>
      <c r="V34" s="25">
        <v>0</v>
      </c>
      <c r="W34" s="25">
        <v>0</v>
      </c>
      <c r="X34" s="25">
        <v>0</v>
      </c>
      <c r="Y34" s="25">
        <v>0</v>
      </c>
      <c r="Z34" s="25">
        <v>0</v>
      </c>
      <c r="AA34" s="25">
        <v>0</v>
      </c>
      <c r="AB34" s="25">
        <v>0</v>
      </c>
      <c r="AC34" s="25">
        <v>0</v>
      </c>
      <c r="AD34" s="25">
        <v>0</v>
      </c>
      <c r="AE34" s="25"/>
      <c r="AF34" s="25"/>
      <c r="AG34" s="25"/>
      <c r="AH34" s="25"/>
      <c r="AI34" s="25"/>
      <c r="AJ34" s="25"/>
      <c r="AK34" s="25"/>
      <c r="AL34" s="25"/>
      <c r="AM34" s="25"/>
      <c r="AN34" s="25"/>
      <c r="AO34" s="25"/>
    </row>
    <row r="35" spans="1:46" x14ac:dyDescent="0.2">
      <c r="C35" s="17"/>
      <c r="D35" s="17"/>
      <c r="E35" s="1" t="s">
        <v>802</v>
      </c>
      <c r="H35" s="25"/>
      <c r="J35" s="107" t="s">
        <v>1205</v>
      </c>
      <c r="L35" s="3" t="s">
        <v>821</v>
      </c>
      <c r="M35" s="25"/>
      <c r="N35" s="25"/>
      <c r="O35" s="25"/>
      <c r="P35" s="25">
        <f>Act_IS_F_Currency</f>
        <v>0</v>
      </c>
      <c r="Q35" s="25">
        <f>Act_IS_F_Currency</f>
        <v>1220</v>
      </c>
      <c r="R35" s="25">
        <f>Act_IS_F_Currency</f>
        <v>-6935</v>
      </c>
      <c r="S35" s="25">
        <v>0</v>
      </c>
      <c r="T35" s="25">
        <v>0</v>
      </c>
      <c r="U35" s="25">
        <v>0</v>
      </c>
      <c r="V35" s="25">
        <v>0</v>
      </c>
      <c r="W35" s="25">
        <v>0</v>
      </c>
      <c r="X35" s="25">
        <v>0</v>
      </c>
      <c r="Y35" s="25">
        <v>0</v>
      </c>
      <c r="Z35" s="25">
        <v>0</v>
      </c>
      <c r="AA35" s="25">
        <v>0</v>
      </c>
      <c r="AB35" s="25">
        <v>0</v>
      </c>
      <c r="AC35" s="25">
        <v>0</v>
      </c>
      <c r="AD35" s="25">
        <v>0</v>
      </c>
      <c r="AE35" s="25"/>
      <c r="AF35" s="25"/>
      <c r="AG35" s="25"/>
      <c r="AH35" s="25"/>
      <c r="AI35" s="25"/>
      <c r="AJ35" s="25"/>
      <c r="AK35" s="25"/>
      <c r="AL35" s="25"/>
      <c r="AM35" s="25"/>
      <c r="AN35" s="25"/>
      <c r="AO35" s="25"/>
    </row>
    <row r="36" spans="1:46" x14ac:dyDescent="0.2">
      <c r="C36" s="17"/>
      <c r="D36" s="17"/>
      <c r="E36" s="1" t="s">
        <v>804</v>
      </c>
      <c r="H36" s="25"/>
      <c r="J36" s="107" t="s">
        <v>1205</v>
      </c>
      <c r="L36" s="3" t="s">
        <v>822</v>
      </c>
      <c r="M36" s="25"/>
      <c r="N36" s="25"/>
      <c r="O36" s="25"/>
      <c r="P36" s="25">
        <f>Act_IS_Other_OP_Results</f>
        <v>0</v>
      </c>
      <c r="Q36" s="25">
        <f>Act_IS_Other_OP_Results</f>
        <v>70</v>
      </c>
      <c r="R36" s="25">
        <f>Act_IS_Other_OP_Results</f>
        <v>252</v>
      </c>
      <c r="S36" s="25">
        <v>0</v>
      </c>
      <c r="T36" s="25">
        <v>0</v>
      </c>
      <c r="U36" s="25">
        <v>0</v>
      </c>
      <c r="V36" s="25">
        <v>0</v>
      </c>
      <c r="W36" s="25">
        <v>0</v>
      </c>
      <c r="X36" s="25">
        <v>0</v>
      </c>
      <c r="Y36" s="25">
        <v>0</v>
      </c>
      <c r="Z36" s="25">
        <v>0</v>
      </c>
      <c r="AA36" s="25">
        <v>0</v>
      </c>
      <c r="AB36" s="25">
        <v>0</v>
      </c>
      <c r="AC36" s="25">
        <v>0</v>
      </c>
      <c r="AD36" s="25">
        <v>0</v>
      </c>
      <c r="AE36" s="25"/>
      <c r="AF36" s="25"/>
      <c r="AG36" s="25"/>
      <c r="AH36" s="25"/>
      <c r="AI36" s="25"/>
      <c r="AJ36" s="25"/>
      <c r="AK36" s="25"/>
      <c r="AL36" s="25"/>
      <c r="AM36" s="25"/>
      <c r="AN36" s="25"/>
      <c r="AO36" s="25"/>
    </row>
    <row r="37" spans="1:46" x14ac:dyDescent="0.2">
      <c r="B37" s="20"/>
      <c r="C37" s="20"/>
      <c r="D37" s="20"/>
      <c r="E37" s="77" t="s">
        <v>781</v>
      </c>
      <c r="F37" s="20"/>
      <c r="G37" s="20"/>
      <c r="H37" s="20"/>
      <c r="I37" s="20"/>
      <c r="J37" s="201" t="s">
        <v>1205</v>
      </c>
      <c r="K37" s="20"/>
      <c r="L37" s="99" t="s">
        <v>823</v>
      </c>
      <c r="M37" s="20"/>
      <c r="N37" s="645"/>
      <c r="O37" s="645"/>
      <c r="P37" s="104">
        <f>Act_IS_Other_Income_Bargain</f>
        <v>0</v>
      </c>
      <c r="Q37" s="104">
        <f>Act_IS_Other_Income_Bargain</f>
        <v>0</v>
      </c>
      <c r="R37" s="104">
        <f>Act_IS_Other_Income_Bargain</f>
        <v>0</v>
      </c>
      <c r="S37" s="104">
        <v>0</v>
      </c>
      <c r="T37" s="104">
        <v>0</v>
      </c>
      <c r="U37" s="104">
        <v>0</v>
      </c>
      <c r="V37" s="104">
        <v>0</v>
      </c>
      <c r="W37" s="104">
        <v>0</v>
      </c>
      <c r="X37" s="104">
        <v>0</v>
      </c>
      <c r="Y37" s="104">
        <v>0</v>
      </c>
      <c r="Z37" s="104">
        <v>0</v>
      </c>
      <c r="AA37" s="104">
        <v>0</v>
      </c>
      <c r="AB37" s="104">
        <v>0</v>
      </c>
      <c r="AC37" s="104">
        <v>0</v>
      </c>
      <c r="AD37" s="104">
        <v>0</v>
      </c>
      <c r="AE37" s="645"/>
      <c r="AF37" s="21"/>
      <c r="AG37" s="21"/>
      <c r="AH37" s="21"/>
      <c r="AI37" s="21"/>
      <c r="AJ37" s="21"/>
      <c r="AK37" s="21"/>
      <c r="AL37" s="21"/>
      <c r="AM37" s="21"/>
      <c r="AN37" s="21"/>
      <c r="AO37" s="21"/>
    </row>
    <row r="38" spans="1:46" x14ac:dyDescent="0.2">
      <c r="B38" s="20"/>
      <c r="C38" s="20"/>
      <c r="D38" s="20"/>
      <c r="E38" s="357"/>
      <c r="F38" s="20"/>
      <c r="G38" s="20"/>
      <c r="H38" s="20"/>
      <c r="I38" s="20"/>
      <c r="J38" s="201"/>
      <c r="K38" s="20"/>
      <c r="L38" s="99"/>
      <c r="M38" s="20"/>
      <c r="N38" s="645"/>
      <c r="O38" s="645"/>
      <c r="P38" s="104"/>
      <c r="Q38" s="104"/>
      <c r="R38" s="104"/>
      <c r="S38" s="104"/>
      <c r="T38" s="104"/>
      <c r="U38" s="104"/>
      <c r="V38" s="104"/>
      <c r="W38" s="104"/>
      <c r="X38" s="104"/>
      <c r="Y38" s="104"/>
      <c r="Z38" s="104"/>
      <c r="AA38" s="104"/>
      <c r="AB38" s="104"/>
      <c r="AC38" s="104"/>
      <c r="AD38" s="104"/>
      <c r="AE38" s="645"/>
      <c r="AF38" s="21"/>
      <c r="AG38" s="21"/>
      <c r="AH38" s="21"/>
      <c r="AI38" s="21"/>
      <c r="AJ38" s="21"/>
      <c r="AK38" s="21"/>
      <c r="AL38" s="21"/>
      <c r="AM38" s="21"/>
      <c r="AN38" s="21"/>
      <c r="AO38" s="21"/>
    </row>
    <row r="39" spans="1:46" x14ac:dyDescent="0.2">
      <c r="B39" s="20"/>
      <c r="C39" s="20"/>
      <c r="D39" s="20"/>
      <c r="E39" s="648" t="s">
        <v>808</v>
      </c>
      <c r="F39" s="649"/>
      <c r="G39" s="649"/>
      <c r="H39" s="649"/>
      <c r="I39" s="649"/>
      <c r="J39" s="29" t="s">
        <v>1205</v>
      </c>
      <c r="K39" s="649"/>
      <c r="L39" s="30" t="s">
        <v>824</v>
      </c>
      <c r="M39" s="649"/>
      <c r="N39" s="650"/>
      <c r="O39" s="650"/>
      <c r="P39" s="100">
        <f>P24+SUM(P26:P37)</f>
        <v>5886</v>
      </c>
      <c r="Q39" s="100">
        <f t="shared" ref="Q39:AD39" si="26">Q24+SUM(Q26:Q37)</f>
        <v>56562</v>
      </c>
      <c r="R39" s="100">
        <f t="shared" si="26"/>
        <v>25807</v>
      </c>
      <c r="S39" s="100" t="e">
        <f t="shared" si="26"/>
        <v>#NAME?</v>
      </c>
      <c r="T39" s="100" t="e">
        <f t="shared" si="26"/>
        <v>#NAME?</v>
      </c>
      <c r="U39" s="100" t="e">
        <f t="shared" si="26"/>
        <v>#NAME?</v>
      </c>
      <c r="V39" s="100" t="e">
        <f t="shared" si="26"/>
        <v>#NAME?</v>
      </c>
      <c r="W39" s="100" t="e">
        <f t="shared" si="26"/>
        <v>#NAME?</v>
      </c>
      <c r="X39" s="100" t="e">
        <f t="shared" si="26"/>
        <v>#NAME?</v>
      </c>
      <c r="Y39" s="100" t="e">
        <f t="shared" si="26"/>
        <v>#NAME?</v>
      </c>
      <c r="Z39" s="100" t="e">
        <f t="shared" si="26"/>
        <v>#NAME?</v>
      </c>
      <c r="AA39" s="100" t="e">
        <f t="shared" si="26"/>
        <v>#NAME?</v>
      </c>
      <c r="AB39" s="100" t="e">
        <f t="shared" si="26"/>
        <v>#NAME?</v>
      </c>
      <c r="AC39" s="100" t="e">
        <f t="shared" si="26"/>
        <v>#NAME?</v>
      </c>
      <c r="AD39" s="100" t="e">
        <f t="shared" si="26"/>
        <v>#NAME?</v>
      </c>
      <c r="AE39" s="645"/>
      <c r="AF39" s="21"/>
      <c r="AG39" s="21"/>
      <c r="AH39" s="21"/>
      <c r="AI39" s="21"/>
      <c r="AJ39" s="21"/>
      <c r="AK39" s="21"/>
      <c r="AL39" s="21"/>
      <c r="AM39" s="21"/>
      <c r="AN39" s="21"/>
      <c r="AO39" s="21"/>
    </row>
    <row r="40" spans="1:46" x14ac:dyDescent="0.2">
      <c r="B40" s="20"/>
      <c r="C40" s="20"/>
      <c r="D40" s="20"/>
      <c r="E40" s="357"/>
      <c r="F40" s="20"/>
      <c r="G40" s="20"/>
      <c r="H40" s="20"/>
      <c r="I40" s="20"/>
      <c r="J40" s="201"/>
      <c r="K40" s="20"/>
      <c r="L40" s="99"/>
      <c r="M40" s="20"/>
      <c r="N40" s="645"/>
      <c r="O40" s="645"/>
      <c r="P40" s="113"/>
      <c r="Q40" s="113"/>
      <c r="R40" s="113"/>
      <c r="S40" s="113"/>
      <c r="T40" s="113"/>
      <c r="U40" s="113"/>
      <c r="V40" s="113"/>
      <c r="W40" s="113"/>
      <c r="X40" s="113"/>
      <c r="Y40" s="113"/>
      <c r="Z40" s="113"/>
      <c r="AA40" s="113"/>
      <c r="AB40" s="113"/>
      <c r="AC40" s="113"/>
      <c r="AD40" s="113"/>
      <c r="AE40" s="645"/>
      <c r="AF40" s="21"/>
      <c r="AG40" s="21"/>
      <c r="AH40" s="21"/>
      <c r="AI40" s="21"/>
      <c r="AJ40" s="21"/>
      <c r="AK40" s="21"/>
      <c r="AL40" s="21"/>
      <c r="AM40" s="21"/>
      <c r="AN40" s="21"/>
      <c r="AO40" s="21"/>
    </row>
    <row r="41" spans="1:46" x14ac:dyDescent="0.2">
      <c r="E41" s="243" t="s">
        <v>777</v>
      </c>
      <c r="H41" s="25"/>
      <c r="J41" s="2" t="s">
        <v>1205</v>
      </c>
      <c r="L41" s="3" t="s">
        <v>825</v>
      </c>
      <c r="M41" s="25"/>
      <c r="N41" s="25"/>
      <c r="O41" s="25"/>
      <c r="P41" s="25">
        <f>Act_IS_Tax</f>
        <v>-65</v>
      </c>
      <c r="Q41" s="25">
        <f>Act_IS_Tax</f>
        <v>-19334</v>
      </c>
      <c r="R41" s="25">
        <f>Act_IS_Tax</f>
        <v>-19555</v>
      </c>
      <c r="S41" s="25" t="e">
        <f t="shared" ref="S41:AD41" si="27">Inputs_Tax_Rate*S39</f>
        <v>#NAME?</v>
      </c>
      <c r="T41" s="25" t="e">
        <f t="shared" si="27"/>
        <v>#NAME?</v>
      </c>
      <c r="U41" s="25" t="e">
        <f t="shared" si="27"/>
        <v>#NAME?</v>
      </c>
      <c r="V41" s="25" t="e">
        <f t="shared" si="27"/>
        <v>#NAME?</v>
      </c>
      <c r="W41" s="25" t="e">
        <f t="shared" si="27"/>
        <v>#NAME?</v>
      </c>
      <c r="X41" s="25" t="e">
        <f t="shared" si="27"/>
        <v>#NAME?</v>
      </c>
      <c r="Y41" s="25" t="e">
        <f t="shared" si="27"/>
        <v>#NAME?</v>
      </c>
      <c r="Z41" s="25" t="e">
        <f t="shared" si="27"/>
        <v>#NAME?</v>
      </c>
      <c r="AA41" s="25" t="e">
        <f t="shared" si="27"/>
        <v>#NAME?</v>
      </c>
      <c r="AB41" s="25" t="e">
        <f t="shared" si="27"/>
        <v>#NAME?</v>
      </c>
      <c r="AC41" s="25" t="e">
        <f t="shared" si="27"/>
        <v>#NAME?</v>
      </c>
      <c r="AD41" s="25" t="e">
        <f t="shared" si="27"/>
        <v>#NAME?</v>
      </c>
      <c r="AE41" s="25"/>
      <c r="AF41" s="25"/>
      <c r="AG41" s="25"/>
      <c r="AH41" s="25"/>
      <c r="AI41" s="25"/>
      <c r="AJ41" s="25"/>
      <c r="AK41" s="25"/>
      <c r="AL41" s="25"/>
      <c r="AM41" s="25"/>
      <c r="AN41" s="25"/>
      <c r="AO41" s="25"/>
    </row>
    <row r="42" spans="1:46" x14ac:dyDescent="0.2">
      <c r="E42" s="243"/>
      <c r="H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row>
    <row r="43" spans="1:46" ht="13.2" thickBot="1" x14ac:dyDescent="0.3">
      <c r="E43" s="118" t="s">
        <v>446</v>
      </c>
      <c r="F43" s="121"/>
      <c r="G43" s="121"/>
      <c r="H43" s="122"/>
      <c r="I43" s="121"/>
      <c r="J43" s="131" t="s">
        <v>1205</v>
      </c>
      <c r="K43" s="119"/>
      <c r="L43" s="162" t="s">
        <v>14</v>
      </c>
      <c r="M43" s="120"/>
      <c r="N43" s="120"/>
      <c r="O43" s="120"/>
      <c r="P43" s="122">
        <f>P39+P41</f>
        <v>5821</v>
      </c>
      <c r="Q43" s="122">
        <f t="shared" ref="Q43:AD43" si="28">Q39+Q41</f>
        <v>37228</v>
      </c>
      <c r="R43" s="122">
        <f t="shared" si="28"/>
        <v>6252</v>
      </c>
      <c r="S43" s="122" t="e">
        <f t="shared" si="28"/>
        <v>#NAME?</v>
      </c>
      <c r="T43" s="122" t="e">
        <f t="shared" si="28"/>
        <v>#NAME?</v>
      </c>
      <c r="U43" s="122" t="e">
        <f t="shared" si="28"/>
        <v>#NAME?</v>
      </c>
      <c r="V43" s="122" t="e">
        <f t="shared" si="28"/>
        <v>#NAME?</v>
      </c>
      <c r="W43" s="122" t="e">
        <f t="shared" si="28"/>
        <v>#NAME?</v>
      </c>
      <c r="X43" s="122" t="e">
        <f t="shared" si="28"/>
        <v>#NAME?</v>
      </c>
      <c r="Y43" s="122" t="e">
        <f t="shared" si="28"/>
        <v>#NAME?</v>
      </c>
      <c r="Z43" s="122" t="e">
        <f t="shared" si="28"/>
        <v>#NAME?</v>
      </c>
      <c r="AA43" s="122" t="e">
        <f t="shared" si="28"/>
        <v>#NAME?</v>
      </c>
      <c r="AB43" s="122" t="e">
        <f t="shared" si="28"/>
        <v>#NAME?</v>
      </c>
      <c r="AC43" s="122" t="e">
        <f t="shared" si="28"/>
        <v>#NAME?</v>
      </c>
      <c r="AD43" s="122" t="e">
        <f t="shared" si="28"/>
        <v>#NAME?</v>
      </c>
      <c r="AE43" s="25"/>
      <c r="AF43" s="25"/>
      <c r="AG43" s="25"/>
      <c r="AH43" s="25"/>
      <c r="AI43" s="25"/>
      <c r="AJ43" s="25"/>
      <c r="AK43" s="25"/>
      <c r="AL43" s="25"/>
      <c r="AM43" s="25"/>
      <c r="AN43" s="25"/>
      <c r="AO43" s="25"/>
    </row>
    <row r="44" spans="1:46" ht="12.75" customHeight="1" x14ac:dyDescent="0.2">
      <c r="H44" s="25"/>
      <c r="M44" s="25"/>
      <c r="N44" s="25"/>
      <c r="O44" s="61"/>
      <c r="P44" s="205"/>
      <c r="Q44" s="205"/>
      <c r="R44" s="205"/>
      <c r="S44" s="25"/>
      <c r="T44" s="25"/>
      <c r="U44" s="25"/>
      <c r="V44" s="25"/>
      <c r="W44" s="25"/>
      <c r="X44" s="25"/>
      <c r="Y44" s="25"/>
      <c r="Z44" s="25"/>
      <c r="AA44" s="25"/>
      <c r="AB44" s="25"/>
      <c r="AC44" s="25"/>
      <c r="AD44" s="25"/>
      <c r="AE44" s="25"/>
      <c r="AF44" s="25"/>
      <c r="AG44" s="25"/>
      <c r="AH44" s="25"/>
      <c r="AI44" s="25"/>
      <c r="AJ44" s="25"/>
      <c r="AK44" s="25"/>
      <c r="AL44" s="25"/>
      <c r="AM44" s="25"/>
      <c r="AN44" s="25"/>
      <c r="AO44" s="25"/>
    </row>
    <row r="45" spans="1:46" s="32" customFormat="1" ht="13.2" thickBot="1" x14ac:dyDescent="0.3">
      <c r="A45" s="35"/>
      <c r="B45" s="35"/>
      <c r="H45" s="103"/>
      <c r="J45" s="37"/>
      <c r="L45" s="38"/>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row>
    <row r="46" spans="1:46" s="97" customFormat="1" ht="13.2" thickTop="1" x14ac:dyDescent="0.25">
      <c r="A46" s="1"/>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c r="AE46" s="16"/>
      <c r="AF46" s="16"/>
      <c r="AG46" s="16"/>
      <c r="AH46" s="16"/>
      <c r="AI46" s="16"/>
      <c r="AJ46" s="16"/>
      <c r="AK46" s="16"/>
      <c r="AL46" s="16"/>
      <c r="AM46" s="16"/>
      <c r="AN46" s="16"/>
      <c r="AO46" s="16"/>
      <c r="AP46" s="1"/>
    </row>
    <row r="47" spans="1:46" ht="12.75" customHeight="1" x14ac:dyDescent="0.2">
      <c r="H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1:46" s="18" customFormat="1" x14ac:dyDescent="0.2">
      <c r="A48" s="97"/>
      <c r="B48" s="97"/>
      <c r="C48" s="97"/>
      <c r="D48" s="97"/>
      <c r="E48" s="97"/>
      <c r="F48" s="97"/>
      <c r="G48" s="1"/>
      <c r="H48" s="1"/>
      <c r="I48" s="1"/>
      <c r="J48" s="2"/>
      <c r="K48" s="1"/>
      <c r="L48" s="3"/>
      <c r="M48" s="1"/>
      <c r="AP48" s="1"/>
      <c r="AQ48" s="1"/>
      <c r="AR48" s="1"/>
      <c r="AS48" s="1"/>
      <c r="AT48" s="1"/>
    </row>
    <row r="49" spans="1:46" s="18" customFormat="1" x14ac:dyDescent="0.2">
      <c r="A49" s="97"/>
      <c r="B49" s="97"/>
      <c r="C49" s="97"/>
      <c r="D49" s="97"/>
      <c r="E49" s="97"/>
      <c r="F49" s="97"/>
      <c r="G49" s="1"/>
      <c r="H49" s="1"/>
      <c r="I49" s="1"/>
      <c r="J49" s="2"/>
      <c r="K49" s="1"/>
      <c r="L49" s="3"/>
      <c r="M49" s="1"/>
      <c r="AP49" s="1"/>
      <c r="AQ49" s="1"/>
      <c r="AR49" s="1"/>
      <c r="AS49" s="1"/>
      <c r="AT49" s="1"/>
    </row>
    <row r="50" spans="1:46" s="18" customFormat="1" x14ac:dyDescent="0.2">
      <c r="A50" s="97"/>
      <c r="B50" s="97"/>
      <c r="C50" s="97"/>
      <c r="D50" s="97"/>
      <c r="E50" s="97"/>
      <c r="F50" s="97"/>
      <c r="G50" s="1"/>
      <c r="H50" s="1"/>
      <c r="I50" s="1"/>
      <c r="J50" s="2"/>
      <c r="K50" s="1"/>
      <c r="L50" s="3"/>
      <c r="M50" s="1"/>
      <c r="AP50" s="1"/>
      <c r="AQ50" s="1"/>
      <c r="AR50" s="1"/>
      <c r="AS50" s="1"/>
      <c r="AT50" s="1"/>
    </row>
    <row r="51" spans="1:46" s="18" customFormat="1" x14ac:dyDescent="0.2">
      <c r="A51" s="97"/>
      <c r="B51" s="97"/>
      <c r="C51" s="97"/>
      <c r="D51" s="97"/>
      <c r="E51" s="97"/>
      <c r="F51" s="97"/>
      <c r="G51" s="1"/>
      <c r="H51" s="1"/>
      <c r="I51" s="1"/>
      <c r="J51" s="2"/>
      <c r="K51" s="1"/>
      <c r="L51" s="3"/>
      <c r="M51" s="1"/>
      <c r="AP51" s="1"/>
      <c r="AQ51" s="1"/>
      <c r="AR51" s="1"/>
      <c r="AS51" s="1"/>
      <c r="AT51" s="1"/>
    </row>
    <row r="52" spans="1:46" s="18" customFormat="1" x14ac:dyDescent="0.2">
      <c r="A52" s="97"/>
      <c r="B52" s="97"/>
      <c r="C52" s="97"/>
      <c r="D52" s="97"/>
      <c r="E52" s="97"/>
      <c r="F52" s="97"/>
      <c r="G52" s="1"/>
      <c r="H52" s="1"/>
      <c r="I52" s="1"/>
      <c r="J52" s="2"/>
      <c r="K52" s="1"/>
      <c r="L52" s="3"/>
      <c r="M52" s="1"/>
      <c r="AP52" s="1"/>
      <c r="AQ52" s="1"/>
      <c r="AR52" s="1"/>
      <c r="AS52" s="1"/>
      <c r="AT52" s="1"/>
    </row>
    <row r="53" spans="1:46" s="18" customFormat="1" x14ac:dyDescent="0.2">
      <c r="A53" s="97"/>
      <c r="B53" s="97"/>
      <c r="C53" s="97"/>
      <c r="D53" s="97"/>
      <c r="E53" s="97"/>
      <c r="F53" s="97"/>
      <c r="G53" s="1"/>
      <c r="H53" s="1"/>
      <c r="I53" s="1"/>
      <c r="J53" s="2"/>
      <c r="K53" s="1"/>
      <c r="L53" s="3"/>
      <c r="M53" s="1"/>
      <c r="AP53" s="1"/>
      <c r="AQ53" s="1"/>
      <c r="AR53" s="1"/>
      <c r="AS53" s="1"/>
      <c r="AT53" s="1"/>
    </row>
    <row r="54" spans="1:46" s="18" customFormat="1" x14ac:dyDescent="0.2">
      <c r="A54" s="97"/>
      <c r="B54" s="97"/>
      <c r="C54" s="97"/>
      <c r="D54" s="97"/>
      <c r="E54" s="97"/>
      <c r="F54" s="97"/>
      <c r="G54" s="1"/>
      <c r="H54" s="1"/>
      <c r="I54" s="1"/>
      <c r="J54" s="2"/>
      <c r="K54" s="1"/>
      <c r="L54" s="3"/>
      <c r="M54" s="1"/>
      <c r="AP54" s="1"/>
      <c r="AQ54" s="1"/>
      <c r="AR54" s="1"/>
      <c r="AS54" s="1"/>
      <c r="AT54" s="1"/>
    </row>
    <row r="55" spans="1:46" s="18" customFormat="1" x14ac:dyDescent="0.2">
      <c r="A55" s="97"/>
      <c r="B55" s="97"/>
      <c r="C55" s="97"/>
      <c r="D55" s="97"/>
      <c r="E55" s="97"/>
      <c r="F55" s="97"/>
      <c r="G55" s="1"/>
      <c r="H55" s="1"/>
      <c r="I55" s="1"/>
      <c r="J55" s="2"/>
      <c r="K55" s="1"/>
      <c r="L55" s="3"/>
      <c r="M55" s="1"/>
      <c r="AP55" s="1"/>
      <c r="AQ55" s="1"/>
      <c r="AR55" s="1"/>
      <c r="AS55" s="1"/>
      <c r="AT55" s="1"/>
    </row>
    <row r="56" spans="1:46" s="18" customFormat="1" x14ac:dyDescent="0.2">
      <c r="A56" s="97"/>
      <c r="B56" s="97"/>
      <c r="C56" s="97"/>
      <c r="D56" s="97"/>
      <c r="E56" s="97"/>
      <c r="F56" s="97"/>
      <c r="G56" s="1"/>
      <c r="H56" s="1"/>
      <c r="I56" s="1"/>
      <c r="J56" s="2"/>
      <c r="K56" s="1"/>
      <c r="L56" s="3"/>
      <c r="M56" s="1"/>
      <c r="AP56" s="1"/>
      <c r="AQ56" s="1"/>
      <c r="AR56" s="1"/>
      <c r="AS56" s="1"/>
      <c r="AT56" s="1"/>
    </row>
    <row r="57" spans="1:46" s="18" customFormat="1" x14ac:dyDescent="0.2">
      <c r="A57" s="97"/>
      <c r="B57" s="97"/>
      <c r="C57" s="97"/>
      <c r="D57" s="97"/>
      <c r="E57" s="97"/>
      <c r="F57" s="97"/>
      <c r="G57" s="1"/>
      <c r="H57" s="1"/>
      <c r="I57" s="1"/>
      <c r="J57" s="2"/>
      <c r="K57" s="1"/>
      <c r="L57" s="3"/>
      <c r="M57" s="1"/>
      <c r="AP57" s="1"/>
      <c r="AQ57" s="1"/>
      <c r="AR57" s="1"/>
      <c r="AS57" s="1"/>
      <c r="AT57" s="1"/>
    </row>
    <row r="58" spans="1:46" s="18" customFormat="1" x14ac:dyDescent="0.2">
      <c r="A58" s="97"/>
      <c r="B58" s="97"/>
      <c r="C58" s="97"/>
      <c r="D58" s="97"/>
      <c r="E58" s="97"/>
      <c r="F58" s="97"/>
      <c r="G58" s="1"/>
      <c r="H58" s="1"/>
      <c r="I58" s="1"/>
      <c r="J58" s="2"/>
      <c r="K58" s="1"/>
      <c r="L58" s="3"/>
      <c r="M58" s="1"/>
      <c r="AP58" s="1"/>
      <c r="AQ58" s="1"/>
      <c r="AR58" s="1"/>
      <c r="AS58" s="1"/>
      <c r="AT58" s="1"/>
    </row>
    <row r="59" spans="1:46" s="18" customFormat="1" x14ac:dyDescent="0.2">
      <c r="A59" s="97"/>
      <c r="B59" s="97"/>
      <c r="C59" s="97"/>
      <c r="D59" s="97"/>
      <c r="E59" s="97"/>
      <c r="F59" s="97"/>
      <c r="G59" s="1"/>
      <c r="H59" s="1"/>
      <c r="I59" s="1"/>
      <c r="J59" s="2"/>
      <c r="K59" s="1"/>
      <c r="L59" s="3"/>
      <c r="M59" s="1"/>
      <c r="AP59" s="1"/>
      <c r="AQ59" s="1"/>
      <c r="AR59" s="1"/>
      <c r="AS59" s="1"/>
      <c r="AT59" s="1"/>
    </row>
    <row r="60" spans="1:46" s="18" customFormat="1" x14ac:dyDescent="0.2">
      <c r="A60" s="97"/>
      <c r="B60" s="97"/>
      <c r="C60" s="97"/>
      <c r="D60" s="97"/>
      <c r="E60" s="97"/>
      <c r="F60" s="97"/>
      <c r="G60" s="1"/>
      <c r="H60" s="1"/>
      <c r="I60" s="1"/>
      <c r="J60" s="2"/>
      <c r="K60" s="1"/>
      <c r="L60" s="3"/>
      <c r="M60" s="1"/>
      <c r="AP60" s="1"/>
      <c r="AQ60" s="1"/>
      <c r="AR60" s="1"/>
      <c r="AS60" s="1"/>
      <c r="AT60" s="1"/>
    </row>
    <row r="61" spans="1:46" s="18" customFormat="1" x14ac:dyDescent="0.2">
      <c r="A61" s="97"/>
      <c r="B61" s="97"/>
      <c r="C61" s="97"/>
      <c r="D61" s="97"/>
      <c r="E61" s="97"/>
      <c r="F61" s="97"/>
      <c r="G61" s="1"/>
      <c r="H61" s="1"/>
      <c r="I61" s="1"/>
      <c r="J61" s="2"/>
      <c r="K61" s="1"/>
      <c r="L61" s="3"/>
      <c r="M61" s="1"/>
      <c r="AP61" s="1"/>
      <c r="AQ61" s="1"/>
      <c r="AR61" s="1"/>
      <c r="AS61" s="1"/>
      <c r="AT61" s="1"/>
    </row>
    <row r="62" spans="1:46" s="18" customFormat="1" x14ac:dyDescent="0.2">
      <c r="A62" s="97"/>
      <c r="B62" s="97"/>
      <c r="C62" s="97"/>
      <c r="D62" s="97"/>
      <c r="E62" s="97"/>
      <c r="F62" s="97"/>
      <c r="G62" s="1"/>
      <c r="H62" s="1"/>
      <c r="I62" s="1"/>
      <c r="J62" s="2"/>
      <c r="K62" s="1"/>
      <c r="L62" s="3"/>
      <c r="M62" s="1"/>
      <c r="AP62" s="1"/>
      <c r="AQ62" s="1"/>
      <c r="AR62" s="1"/>
      <c r="AS62" s="1"/>
      <c r="AT62" s="1"/>
    </row>
    <row r="63" spans="1:46" s="18" customFormat="1" x14ac:dyDescent="0.2">
      <c r="A63" s="97"/>
      <c r="B63" s="97"/>
      <c r="C63" s="97"/>
      <c r="D63" s="97"/>
      <c r="E63" s="97"/>
      <c r="F63" s="97"/>
      <c r="G63" s="1"/>
      <c r="H63" s="1"/>
      <c r="I63" s="1"/>
      <c r="J63" s="2"/>
      <c r="K63" s="1"/>
      <c r="L63" s="3"/>
      <c r="M63" s="1"/>
      <c r="AP63" s="1"/>
      <c r="AQ63" s="1"/>
      <c r="AR63" s="1"/>
      <c r="AS63" s="1"/>
      <c r="AT63" s="1"/>
    </row>
    <row r="64" spans="1:46" s="18" customFormat="1" x14ac:dyDescent="0.2">
      <c r="A64" s="97"/>
      <c r="B64" s="97"/>
      <c r="C64" s="97"/>
      <c r="D64" s="97"/>
      <c r="E64" s="97"/>
      <c r="F64" s="97"/>
      <c r="G64" s="1"/>
      <c r="H64" s="1"/>
      <c r="I64" s="1"/>
      <c r="J64" s="2"/>
      <c r="K64" s="1"/>
      <c r="L64" s="3"/>
      <c r="M64" s="1"/>
      <c r="AP64" s="1"/>
      <c r="AQ64" s="1"/>
      <c r="AR64" s="1"/>
      <c r="AS64" s="1"/>
      <c r="AT64" s="1"/>
    </row>
    <row r="65" spans="1:46" s="18" customFormat="1" x14ac:dyDescent="0.2">
      <c r="A65" s="97"/>
      <c r="B65" s="97"/>
      <c r="C65" s="97"/>
      <c r="D65" s="97"/>
      <c r="E65" s="97"/>
      <c r="F65" s="97"/>
      <c r="G65" s="1"/>
      <c r="H65" s="1"/>
      <c r="I65" s="1"/>
      <c r="J65" s="2"/>
      <c r="K65" s="1"/>
      <c r="L65" s="3"/>
      <c r="M65" s="1"/>
      <c r="AP65" s="1"/>
      <c r="AQ65" s="1"/>
      <c r="AR65" s="1"/>
      <c r="AS65" s="1"/>
      <c r="AT65" s="1"/>
    </row>
    <row r="66" spans="1:46" s="18" customFormat="1" x14ac:dyDescent="0.2">
      <c r="A66" s="97"/>
      <c r="B66" s="97"/>
      <c r="C66" s="97"/>
      <c r="D66" s="97"/>
      <c r="E66" s="97"/>
      <c r="F66" s="97"/>
      <c r="G66" s="1"/>
      <c r="H66" s="1"/>
      <c r="I66" s="1"/>
      <c r="J66" s="2"/>
      <c r="K66" s="1"/>
      <c r="L66" s="3"/>
      <c r="M66" s="1"/>
      <c r="AP66" s="1"/>
      <c r="AQ66" s="1"/>
      <c r="AR66" s="1"/>
      <c r="AS66" s="1"/>
      <c r="AT66" s="1"/>
    </row>
    <row r="67" spans="1:46" s="18" customFormat="1" x14ac:dyDescent="0.2">
      <c r="A67" s="97"/>
      <c r="B67" s="97"/>
      <c r="C67" s="97"/>
      <c r="D67" s="97"/>
      <c r="E67" s="97"/>
      <c r="F67" s="97"/>
      <c r="G67" s="1"/>
      <c r="H67" s="1"/>
      <c r="I67" s="1"/>
      <c r="J67" s="2"/>
      <c r="K67" s="1"/>
      <c r="L67" s="3"/>
      <c r="M67" s="1"/>
      <c r="AP67" s="1"/>
      <c r="AQ67" s="1"/>
      <c r="AR67" s="1"/>
      <c r="AS67" s="1"/>
      <c r="AT67" s="1"/>
    </row>
    <row r="68" spans="1:46" s="18" customFormat="1" x14ac:dyDescent="0.2">
      <c r="A68" s="97"/>
      <c r="B68" s="97"/>
      <c r="C68" s="97"/>
      <c r="D68" s="97"/>
      <c r="E68" s="97"/>
      <c r="F68" s="97"/>
      <c r="G68" s="1"/>
      <c r="H68" s="1"/>
      <c r="I68" s="1"/>
      <c r="J68" s="2"/>
      <c r="K68" s="1"/>
      <c r="L68" s="3"/>
      <c r="M68" s="1"/>
      <c r="AP68" s="1"/>
      <c r="AQ68" s="1"/>
      <c r="AR68" s="1"/>
      <c r="AS68" s="1"/>
      <c r="AT68" s="1"/>
    </row>
    <row r="69" spans="1:46" s="18" customFormat="1" x14ac:dyDescent="0.2">
      <c r="A69" s="97"/>
      <c r="B69" s="97"/>
      <c r="C69" s="97"/>
      <c r="D69" s="97"/>
      <c r="E69" s="97"/>
      <c r="F69" s="97"/>
      <c r="G69" s="1"/>
      <c r="H69" s="1"/>
      <c r="I69" s="1"/>
      <c r="J69" s="2"/>
      <c r="K69" s="1"/>
      <c r="L69" s="3"/>
      <c r="M69" s="1"/>
      <c r="AP69" s="1"/>
      <c r="AQ69" s="1"/>
      <c r="AR69" s="1"/>
      <c r="AS69" s="1"/>
      <c r="AT69" s="1"/>
    </row>
    <row r="70" spans="1:46" s="18" customFormat="1" x14ac:dyDescent="0.2">
      <c r="A70" s="97"/>
      <c r="B70" s="97"/>
      <c r="C70" s="97"/>
      <c r="D70" s="97"/>
      <c r="E70" s="97"/>
      <c r="F70" s="97"/>
      <c r="G70" s="1"/>
      <c r="H70" s="1"/>
      <c r="I70" s="1"/>
      <c r="J70" s="2"/>
      <c r="K70" s="1"/>
      <c r="L70" s="3"/>
      <c r="M70" s="1"/>
      <c r="AP70" s="1"/>
      <c r="AQ70" s="1"/>
      <c r="AR70" s="1"/>
      <c r="AS70" s="1"/>
      <c r="AT70" s="1"/>
    </row>
    <row r="71" spans="1:46" s="18" customFormat="1" x14ac:dyDescent="0.2">
      <c r="A71" s="97"/>
      <c r="B71" s="97"/>
      <c r="C71" s="97"/>
      <c r="D71" s="97"/>
      <c r="E71" s="97"/>
      <c r="F71" s="97"/>
      <c r="G71" s="1"/>
      <c r="H71" s="1"/>
      <c r="I71" s="1"/>
      <c r="J71" s="2"/>
      <c r="K71" s="1"/>
      <c r="L71" s="3"/>
      <c r="M71" s="1"/>
      <c r="AP71" s="1"/>
      <c r="AQ71" s="1"/>
      <c r="AR71" s="1"/>
      <c r="AS71" s="1"/>
      <c r="AT71" s="1"/>
    </row>
    <row r="72" spans="1:46" s="18" customFormat="1" x14ac:dyDescent="0.2">
      <c r="A72" s="97"/>
      <c r="B72" s="97"/>
      <c r="C72" s="97"/>
      <c r="D72" s="97"/>
      <c r="E72" s="97"/>
      <c r="F72" s="97"/>
      <c r="G72" s="1"/>
      <c r="H72" s="1"/>
      <c r="I72" s="1"/>
      <c r="J72" s="2"/>
      <c r="K72" s="1"/>
      <c r="L72" s="3"/>
      <c r="M72" s="1"/>
      <c r="AP72" s="1"/>
      <c r="AQ72" s="1"/>
      <c r="AR72" s="1"/>
      <c r="AS72" s="1"/>
      <c r="AT72" s="1"/>
    </row>
    <row r="73" spans="1:46" s="18" customFormat="1" x14ac:dyDescent="0.2">
      <c r="A73" s="97"/>
      <c r="B73" s="97"/>
      <c r="C73" s="97"/>
      <c r="D73" s="97"/>
      <c r="E73" s="97"/>
      <c r="F73" s="97"/>
      <c r="G73" s="1"/>
      <c r="H73" s="1"/>
      <c r="I73" s="1"/>
      <c r="J73" s="2"/>
      <c r="K73" s="1"/>
      <c r="L73" s="3"/>
      <c r="M73" s="1"/>
      <c r="AP73" s="1"/>
      <c r="AQ73" s="1"/>
      <c r="AR73" s="1"/>
      <c r="AS73" s="1"/>
      <c r="AT73" s="1"/>
    </row>
    <row r="74" spans="1:46" s="18" customFormat="1" x14ac:dyDescent="0.2">
      <c r="A74" s="97"/>
      <c r="B74" s="97"/>
      <c r="C74" s="97"/>
      <c r="D74" s="97"/>
      <c r="E74" s="97"/>
      <c r="F74" s="97"/>
      <c r="G74" s="1"/>
      <c r="H74" s="1"/>
      <c r="I74" s="1"/>
      <c r="J74" s="2"/>
      <c r="K74" s="1"/>
      <c r="L74" s="3"/>
      <c r="M74" s="1"/>
      <c r="AP74" s="1"/>
      <c r="AQ74" s="1"/>
      <c r="AR74" s="1"/>
      <c r="AS74" s="1"/>
      <c r="AT74" s="1"/>
    </row>
    <row r="75" spans="1:46" s="18" customFormat="1" x14ac:dyDescent="0.2">
      <c r="A75" s="97"/>
      <c r="B75" s="97"/>
      <c r="C75" s="97"/>
      <c r="D75" s="97"/>
      <c r="E75" s="97"/>
      <c r="F75" s="97"/>
      <c r="G75" s="1"/>
      <c r="H75" s="1"/>
      <c r="I75" s="1"/>
      <c r="J75" s="2"/>
      <c r="K75" s="1"/>
      <c r="L75" s="3"/>
      <c r="M75" s="1"/>
      <c r="AP75" s="1"/>
      <c r="AQ75" s="1"/>
      <c r="AR75" s="1"/>
      <c r="AS75" s="1"/>
      <c r="AT75" s="1"/>
    </row>
    <row r="76" spans="1:46" s="18" customFormat="1" x14ac:dyDescent="0.2">
      <c r="A76" s="97"/>
      <c r="B76" s="97"/>
      <c r="C76" s="97"/>
      <c r="D76" s="97"/>
      <c r="E76" s="97"/>
      <c r="F76" s="97"/>
      <c r="G76" s="1"/>
      <c r="H76" s="1"/>
      <c r="I76" s="1"/>
      <c r="J76" s="2"/>
      <c r="K76" s="1"/>
      <c r="L76" s="3"/>
      <c r="M76" s="1"/>
      <c r="AP76" s="1"/>
      <c r="AQ76" s="1"/>
      <c r="AR76" s="1"/>
      <c r="AS76" s="1"/>
      <c r="AT76" s="1"/>
    </row>
    <row r="77" spans="1:46" s="18" customFormat="1" x14ac:dyDescent="0.2">
      <c r="A77" s="97"/>
      <c r="B77" s="97"/>
      <c r="C77" s="97"/>
      <c r="D77" s="97"/>
      <c r="E77" s="97"/>
      <c r="F77" s="97"/>
      <c r="G77" s="1"/>
      <c r="H77" s="1"/>
      <c r="I77" s="1"/>
      <c r="J77" s="2"/>
      <c r="K77" s="1"/>
      <c r="L77" s="3"/>
      <c r="M77" s="1"/>
      <c r="AP77" s="1"/>
      <c r="AQ77" s="1"/>
      <c r="AR77" s="1"/>
      <c r="AS77" s="1"/>
      <c r="AT77" s="1"/>
    </row>
    <row r="78" spans="1:46" s="18" customFormat="1" x14ac:dyDescent="0.2">
      <c r="A78" s="97"/>
      <c r="B78" s="97"/>
      <c r="C78" s="97"/>
      <c r="D78" s="97"/>
      <c r="E78" s="97"/>
      <c r="F78" s="97"/>
      <c r="G78" s="1"/>
      <c r="H78" s="1"/>
      <c r="I78" s="1"/>
      <c r="J78" s="2"/>
      <c r="K78" s="1"/>
      <c r="L78" s="3"/>
      <c r="M78" s="1"/>
      <c r="AP78" s="1"/>
      <c r="AQ78" s="1"/>
      <c r="AR78" s="1"/>
      <c r="AS78" s="1"/>
      <c r="AT78" s="1"/>
    </row>
    <row r="79" spans="1:46" s="18" customFormat="1" x14ac:dyDescent="0.2">
      <c r="A79" s="97"/>
      <c r="B79" s="97"/>
      <c r="C79" s="97"/>
      <c r="D79" s="97"/>
      <c r="E79" s="97"/>
      <c r="F79" s="97"/>
      <c r="G79" s="1"/>
      <c r="H79" s="1"/>
      <c r="I79" s="1"/>
      <c r="J79" s="2"/>
      <c r="K79" s="1"/>
      <c r="L79" s="3"/>
      <c r="M79" s="1"/>
      <c r="AP79" s="1"/>
      <c r="AQ79" s="1"/>
      <c r="AR79" s="1"/>
      <c r="AS79" s="1"/>
      <c r="AT79" s="1"/>
    </row>
    <row r="80" spans="1:46" s="18" customFormat="1" x14ac:dyDescent="0.2">
      <c r="A80" s="97"/>
      <c r="B80" s="97"/>
      <c r="C80" s="97"/>
      <c r="D80" s="97"/>
      <c r="E80" s="97"/>
      <c r="F80" s="97"/>
      <c r="G80" s="1"/>
      <c r="H80" s="1"/>
      <c r="I80" s="1"/>
      <c r="J80" s="2"/>
      <c r="K80" s="1"/>
      <c r="L80" s="3"/>
      <c r="M80" s="1"/>
      <c r="AP80" s="1"/>
      <c r="AQ80" s="1"/>
      <c r="AR80" s="1"/>
      <c r="AS80" s="1"/>
      <c r="AT80" s="1"/>
    </row>
    <row r="81" spans="1:46" s="18" customFormat="1" x14ac:dyDescent="0.2">
      <c r="A81" s="97"/>
      <c r="B81" s="97"/>
      <c r="C81" s="97"/>
      <c r="D81" s="97"/>
      <c r="E81" s="97"/>
      <c r="F81" s="97"/>
      <c r="G81" s="1"/>
      <c r="H81" s="1"/>
      <c r="I81" s="1"/>
      <c r="J81" s="2"/>
      <c r="K81" s="1"/>
      <c r="L81" s="3"/>
      <c r="M81" s="1"/>
      <c r="AP81" s="1"/>
      <c r="AQ81" s="1"/>
      <c r="AR81" s="1"/>
      <c r="AS81" s="1"/>
      <c r="AT81" s="1"/>
    </row>
    <row r="82" spans="1:46" s="18" customFormat="1" x14ac:dyDescent="0.2">
      <c r="A82" s="97"/>
      <c r="B82" s="97"/>
      <c r="C82" s="97"/>
      <c r="D82" s="97"/>
      <c r="E82" s="97"/>
      <c r="F82" s="97"/>
      <c r="G82" s="1"/>
      <c r="H82" s="1"/>
      <c r="I82" s="1"/>
      <c r="J82" s="2"/>
      <c r="K82" s="1"/>
      <c r="L82" s="3"/>
      <c r="M82" s="1"/>
      <c r="AP82" s="1"/>
      <c r="AQ82" s="1"/>
      <c r="AR82" s="1"/>
      <c r="AS82" s="1"/>
      <c r="AT82" s="1"/>
    </row>
    <row r="83" spans="1:46" s="18" customFormat="1" x14ac:dyDescent="0.2">
      <c r="A83" s="97"/>
      <c r="B83" s="97"/>
      <c r="C83" s="97"/>
      <c r="D83" s="97"/>
      <c r="E83" s="97"/>
      <c r="F83" s="97"/>
      <c r="G83" s="1"/>
      <c r="H83" s="1"/>
      <c r="I83" s="1"/>
      <c r="J83" s="2"/>
      <c r="K83" s="1"/>
      <c r="L83" s="3"/>
      <c r="M83" s="1"/>
      <c r="AP83" s="1"/>
      <c r="AQ83" s="1"/>
      <c r="AR83" s="1"/>
      <c r="AS83" s="1"/>
      <c r="AT83" s="1"/>
    </row>
    <row r="84" spans="1:46" s="18" customFormat="1" x14ac:dyDescent="0.2">
      <c r="A84" s="97"/>
      <c r="B84" s="97"/>
      <c r="C84" s="97"/>
      <c r="D84" s="97"/>
      <c r="E84" s="97"/>
      <c r="F84" s="97"/>
      <c r="G84" s="1"/>
      <c r="H84" s="1"/>
      <c r="I84" s="1"/>
      <c r="J84" s="2"/>
      <c r="K84" s="1"/>
      <c r="L84" s="3"/>
      <c r="M84" s="1"/>
      <c r="AP84" s="1"/>
      <c r="AQ84" s="1"/>
      <c r="AR84" s="1"/>
      <c r="AS84" s="1"/>
      <c r="AT84" s="1"/>
    </row>
    <row r="85" spans="1:46" s="18" customFormat="1" x14ac:dyDescent="0.2">
      <c r="A85" s="97"/>
      <c r="B85" s="97"/>
      <c r="C85" s="97"/>
      <c r="D85" s="97"/>
      <c r="E85" s="97"/>
      <c r="F85" s="97"/>
      <c r="G85" s="1"/>
      <c r="H85" s="1"/>
      <c r="I85" s="1"/>
      <c r="J85" s="2"/>
      <c r="K85" s="1"/>
      <c r="L85" s="3"/>
      <c r="M85" s="1"/>
      <c r="AP85" s="1"/>
      <c r="AQ85" s="1"/>
      <c r="AR85" s="1"/>
      <c r="AS85" s="1"/>
      <c r="AT85" s="1"/>
    </row>
    <row r="86" spans="1:46" s="18" customFormat="1" x14ac:dyDescent="0.2">
      <c r="A86" s="97"/>
      <c r="B86" s="97"/>
      <c r="C86" s="97"/>
      <c r="D86" s="97"/>
      <c r="E86" s="97"/>
      <c r="F86" s="97"/>
      <c r="G86" s="1"/>
      <c r="H86" s="1"/>
      <c r="I86" s="1"/>
      <c r="J86" s="2"/>
      <c r="K86" s="1"/>
      <c r="L86" s="3"/>
      <c r="M86" s="1"/>
      <c r="AP86" s="1"/>
      <c r="AQ86" s="1"/>
      <c r="AR86" s="1"/>
      <c r="AS86" s="1"/>
      <c r="AT86" s="1"/>
    </row>
    <row r="87" spans="1:46" s="18" customFormat="1" x14ac:dyDescent="0.2">
      <c r="A87" s="97"/>
      <c r="B87" s="97"/>
      <c r="C87" s="97"/>
      <c r="D87" s="97"/>
      <c r="E87" s="97"/>
      <c r="F87" s="97"/>
      <c r="G87" s="1"/>
      <c r="H87" s="1"/>
      <c r="I87" s="1"/>
      <c r="J87" s="2"/>
      <c r="K87" s="1"/>
      <c r="L87" s="3"/>
      <c r="M87" s="1"/>
      <c r="AP87" s="1"/>
      <c r="AQ87" s="1"/>
      <c r="AR87" s="1"/>
      <c r="AS87" s="1"/>
      <c r="AT87" s="1"/>
    </row>
    <row r="88" spans="1:46" s="18" customFormat="1" x14ac:dyDescent="0.2">
      <c r="A88" s="97"/>
      <c r="B88" s="97"/>
      <c r="C88" s="97"/>
      <c r="D88" s="97"/>
      <c r="E88" s="97"/>
      <c r="F88" s="97"/>
      <c r="G88" s="1"/>
      <c r="H88" s="1"/>
      <c r="I88" s="1"/>
      <c r="J88" s="2"/>
      <c r="K88" s="1"/>
      <c r="L88" s="3"/>
      <c r="M88" s="1"/>
      <c r="AP88" s="1"/>
      <c r="AQ88" s="1"/>
      <c r="AR88" s="1"/>
      <c r="AS88" s="1"/>
      <c r="AT88" s="1"/>
    </row>
    <row r="89" spans="1:46" s="18" customFormat="1" x14ac:dyDescent="0.2">
      <c r="A89" s="97"/>
      <c r="B89" s="97"/>
      <c r="C89" s="97"/>
      <c r="D89" s="97"/>
      <c r="E89" s="97"/>
      <c r="F89" s="97"/>
      <c r="G89" s="1"/>
      <c r="H89" s="1"/>
      <c r="I89" s="1"/>
      <c r="J89" s="2"/>
      <c r="K89" s="1"/>
      <c r="L89" s="3"/>
      <c r="M89" s="1"/>
      <c r="AP89" s="1"/>
      <c r="AQ89" s="1"/>
      <c r="AR89" s="1"/>
      <c r="AS89" s="1"/>
      <c r="AT89" s="1"/>
    </row>
    <row r="90" spans="1:46" s="18" customFormat="1" x14ac:dyDescent="0.2">
      <c r="A90" s="97"/>
      <c r="B90" s="97"/>
      <c r="C90" s="97"/>
      <c r="D90" s="97"/>
      <c r="E90" s="97"/>
      <c r="F90" s="97"/>
      <c r="G90" s="1"/>
      <c r="H90" s="1"/>
      <c r="I90" s="1"/>
      <c r="J90" s="2"/>
      <c r="K90" s="1"/>
      <c r="L90" s="3"/>
      <c r="M90" s="1"/>
      <c r="AP90" s="1"/>
      <c r="AQ90" s="1"/>
      <c r="AR90" s="1"/>
      <c r="AS90" s="1"/>
      <c r="AT90" s="1"/>
    </row>
    <row r="91" spans="1:46" s="18" customFormat="1" x14ac:dyDescent="0.2">
      <c r="A91" s="97"/>
      <c r="B91" s="97"/>
      <c r="C91" s="97"/>
      <c r="D91" s="97"/>
      <c r="E91" s="97"/>
      <c r="F91" s="97"/>
      <c r="G91" s="1"/>
      <c r="H91" s="1"/>
      <c r="I91" s="1"/>
      <c r="J91" s="2"/>
      <c r="K91" s="1"/>
      <c r="L91" s="3"/>
      <c r="M91" s="1"/>
      <c r="AP91" s="1"/>
      <c r="AQ91" s="1"/>
      <c r="AR91" s="1"/>
      <c r="AS91" s="1"/>
      <c r="AT91" s="1"/>
    </row>
    <row r="92" spans="1:46" s="18" customFormat="1" x14ac:dyDescent="0.2">
      <c r="A92" s="97"/>
      <c r="B92" s="97"/>
      <c r="C92" s="97"/>
      <c r="D92" s="97"/>
      <c r="E92" s="97"/>
      <c r="F92" s="97"/>
      <c r="G92" s="1"/>
      <c r="H92" s="1"/>
      <c r="I92" s="1"/>
      <c r="J92" s="2"/>
      <c r="K92" s="1"/>
      <c r="L92" s="3"/>
      <c r="M92" s="1"/>
      <c r="AP92" s="1"/>
      <c r="AQ92" s="1"/>
      <c r="AR92" s="1"/>
      <c r="AS92" s="1"/>
      <c r="AT92" s="1"/>
    </row>
    <row r="93" spans="1:46" s="18" customFormat="1" x14ac:dyDescent="0.2">
      <c r="A93" s="97"/>
      <c r="B93" s="97"/>
      <c r="C93" s="97"/>
      <c r="D93" s="97"/>
      <c r="E93" s="97"/>
      <c r="F93" s="97"/>
      <c r="G93" s="1"/>
      <c r="H93" s="1"/>
      <c r="I93" s="1"/>
      <c r="J93" s="2"/>
      <c r="K93" s="1"/>
      <c r="L93" s="3"/>
      <c r="M93" s="1"/>
      <c r="AP93" s="1"/>
      <c r="AQ93" s="1"/>
      <c r="AR93" s="1"/>
      <c r="AS93" s="1"/>
      <c r="AT93" s="1"/>
    </row>
    <row r="94" spans="1:46" s="18" customFormat="1" x14ac:dyDescent="0.2">
      <c r="A94" s="97"/>
      <c r="B94" s="97"/>
      <c r="C94" s="97"/>
      <c r="D94" s="97"/>
      <c r="E94" s="97"/>
      <c r="F94" s="97"/>
      <c r="G94" s="1"/>
      <c r="H94" s="1"/>
      <c r="I94" s="1"/>
      <c r="J94" s="2"/>
      <c r="K94" s="1"/>
      <c r="L94" s="3"/>
      <c r="M94" s="1"/>
      <c r="AP94" s="1"/>
      <c r="AQ94" s="1"/>
      <c r="AR94" s="1"/>
      <c r="AS94" s="1"/>
      <c r="AT94" s="1"/>
    </row>
    <row r="95" spans="1:46" s="18" customFormat="1" x14ac:dyDescent="0.2">
      <c r="A95" s="97"/>
      <c r="B95" s="97"/>
      <c r="C95" s="97"/>
      <c r="D95" s="97"/>
      <c r="E95" s="97"/>
      <c r="F95" s="97"/>
      <c r="G95" s="1"/>
      <c r="H95" s="1"/>
      <c r="I95" s="1"/>
      <c r="J95" s="2"/>
      <c r="K95" s="1"/>
      <c r="L95" s="3"/>
      <c r="M95" s="1"/>
      <c r="AP95" s="1"/>
      <c r="AQ95" s="1"/>
      <c r="AR95" s="1"/>
      <c r="AS95" s="1"/>
      <c r="AT95" s="1"/>
    </row>
    <row r="96" spans="1:46" s="18" customFormat="1" x14ac:dyDescent="0.2">
      <c r="A96" s="97"/>
      <c r="B96" s="97"/>
      <c r="C96" s="97"/>
      <c r="D96" s="97"/>
      <c r="E96" s="97"/>
      <c r="F96" s="97"/>
      <c r="G96" s="1"/>
      <c r="H96" s="1"/>
      <c r="I96" s="1"/>
      <c r="J96" s="2"/>
      <c r="K96" s="1"/>
      <c r="L96" s="3"/>
      <c r="M96" s="1"/>
      <c r="AP96" s="1"/>
      <c r="AQ96" s="1"/>
      <c r="AR96" s="1"/>
      <c r="AS96" s="1"/>
      <c r="AT96" s="1"/>
    </row>
    <row r="97" spans="1:46" s="18" customFormat="1" x14ac:dyDescent="0.2">
      <c r="A97" s="97"/>
      <c r="B97" s="97"/>
      <c r="C97" s="97"/>
      <c r="D97" s="97"/>
      <c r="E97" s="97"/>
      <c r="F97" s="97"/>
      <c r="G97" s="1"/>
      <c r="H97" s="1"/>
      <c r="I97" s="1"/>
      <c r="J97" s="2"/>
      <c r="K97" s="1"/>
      <c r="L97" s="3"/>
      <c r="M97" s="1"/>
      <c r="AP97" s="1"/>
      <c r="AQ97" s="1"/>
      <c r="AR97" s="1"/>
      <c r="AS97" s="1"/>
      <c r="AT97" s="1"/>
    </row>
    <row r="98" spans="1:46" s="18" customFormat="1" x14ac:dyDescent="0.2">
      <c r="A98" s="97"/>
      <c r="B98" s="97"/>
      <c r="C98" s="97"/>
      <c r="D98" s="97"/>
      <c r="E98" s="97"/>
      <c r="F98" s="97"/>
      <c r="G98" s="1"/>
      <c r="H98" s="1"/>
      <c r="I98" s="1"/>
      <c r="J98" s="2"/>
      <c r="K98" s="1"/>
      <c r="L98" s="3"/>
      <c r="M98" s="1"/>
      <c r="AP98" s="1"/>
      <c r="AQ98" s="1"/>
      <c r="AR98" s="1"/>
      <c r="AS98" s="1"/>
      <c r="AT98" s="1"/>
    </row>
    <row r="99" spans="1:46" s="18" customFormat="1" x14ac:dyDescent="0.2">
      <c r="A99" s="97"/>
      <c r="B99" s="97"/>
      <c r="C99" s="97"/>
      <c r="D99" s="97"/>
      <c r="E99" s="97"/>
      <c r="F99" s="97"/>
      <c r="G99" s="1"/>
      <c r="H99" s="1"/>
      <c r="I99" s="1"/>
      <c r="J99" s="2"/>
      <c r="K99" s="1"/>
      <c r="L99" s="3"/>
      <c r="M99" s="1"/>
      <c r="AP99" s="1"/>
      <c r="AQ99" s="1"/>
      <c r="AR99" s="1"/>
      <c r="AS99" s="1"/>
      <c r="AT99" s="1"/>
    </row>
    <row r="100" spans="1:46" s="18" customFormat="1" x14ac:dyDescent="0.2">
      <c r="A100" s="97"/>
      <c r="B100" s="97"/>
      <c r="C100" s="97"/>
      <c r="D100" s="97"/>
      <c r="E100" s="97"/>
      <c r="F100" s="97"/>
      <c r="G100" s="1"/>
      <c r="H100" s="1"/>
      <c r="I100" s="1"/>
      <c r="J100" s="2"/>
      <c r="K100" s="1"/>
      <c r="L100" s="3"/>
      <c r="M100" s="1"/>
      <c r="AP100" s="1"/>
      <c r="AQ100" s="1"/>
      <c r="AR100" s="1"/>
      <c r="AS100" s="1"/>
      <c r="AT100" s="1"/>
    </row>
    <row r="101" spans="1:46" s="18" customFormat="1" x14ac:dyDescent="0.2">
      <c r="A101" s="97"/>
      <c r="B101" s="97"/>
      <c r="C101" s="97"/>
      <c r="D101" s="97"/>
      <c r="E101" s="97"/>
      <c r="F101" s="97"/>
      <c r="G101" s="1"/>
      <c r="H101" s="1"/>
      <c r="I101" s="1"/>
      <c r="J101" s="2"/>
      <c r="K101" s="1"/>
      <c r="L101" s="3"/>
      <c r="M101" s="1"/>
      <c r="AP101" s="1"/>
      <c r="AQ101" s="1"/>
      <c r="AR101" s="1"/>
      <c r="AS101" s="1"/>
      <c r="AT101" s="1"/>
    </row>
    <row r="102" spans="1:46" s="18" customFormat="1" x14ac:dyDescent="0.2">
      <c r="A102" s="97"/>
      <c r="B102" s="97"/>
      <c r="C102" s="97"/>
      <c r="D102" s="97"/>
      <c r="E102" s="97"/>
      <c r="F102" s="97"/>
      <c r="G102" s="1"/>
      <c r="H102" s="1"/>
      <c r="I102" s="1"/>
      <c r="J102" s="2"/>
      <c r="K102" s="1"/>
      <c r="L102" s="3"/>
      <c r="M102" s="1"/>
      <c r="AP102" s="1"/>
      <c r="AQ102" s="1"/>
      <c r="AR102" s="1"/>
      <c r="AS102" s="1"/>
      <c r="AT102" s="1"/>
    </row>
    <row r="103" spans="1:46" s="18" customFormat="1" x14ac:dyDescent="0.2">
      <c r="A103" s="97"/>
      <c r="B103" s="97"/>
      <c r="C103" s="97"/>
      <c r="D103" s="97"/>
      <c r="E103" s="97"/>
      <c r="F103" s="97"/>
      <c r="G103" s="1"/>
      <c r="H103" s="1"/>
      <c r="I103" s="1"/>
      <c r="J103" s="2"/>
      <c r="K103" s="1"/>
      <c r="L103" s="3"/>
      <c r="M103" s="1"/>
      <c r="AP103" s="1"/>
      <c r="AQ103" s="1"/>
      <c r="AR103" s="1"/>
      <c r="AS103" s="1"/>
      <c r="AT103" s="1"/>
    </row>
    <row r="104" spans="1:46" s="18" customFormat="1" x14ac:dyDescent="0.2">
      <c r="A104" s="97"/>
      <c r="B104" s="97"/>
      <c r="C104" s="97"/>
      <c r="D104" s="97"/>
      <c r="E104" s="97"/>
      <c r="F104" s="97"/>
      <c r="G104" s="1"/>
      <c r="H104" s="1"/>
      <c r="I104" s="1"/>
      <c r="J104" s="2"/>
      <c r="K104" s="1"/>
      <c r="L104" s="3"/>
      <c r="M104" s="1"/>
      <c r="AP104" s="1"/>
      <c r="AQ104" s="1"/>
      <c r="AR104" s="1"/>
      <c r="AS104" s="1"/>
      <c r="AT104" s="1"/>
    </row>
    <row r="105" spans="1:46" s="18" customFormat="1" x14ac:dyDescent="0.2">
      <c r="A105" s="97"/>
      <c r="B105" s="97"/>
      <c r="C105" s="97"/>
      <c r="D105" s="97"/>
      <c r="E105" s="97"/>
      <c r="F105" s="97"/>
      <c r="G105" s="1"/>
      <c r="H105" s="1"/>
      <c r="I105" s="1"/>
      <c r="J105" s="2"/>
      <c r="K105" s="1"/>
      <c r="L105" s="3"/>
      <c r="M105" s="1"/>
      <c r="AP105" s="1"/>
      <c r="AQ105" s="1"/>
      <c r="AR105" s="1"/>
      <c r="AS105" s="1"/>
      <c r="AT105" s="1"/>
    </row>
    <row r="106" spans="1:46" s="18" customFormat="1" x14ac:dyDescent="0.2">
      <c r="A106" s="97"/>
      <c r="B106" s="97"/>
      <c r="C106" s="97"/>
      <c r="D106" s="97"/>
      <c r="E106" s="97"/>
      <c r="F106" s="97"/>
      <c r="G106" s="1"/>
      <c r="H106" s="1"/>
      <c r="I106" s="1"/>
      <c r="J106" s="2"/>
      <c r="K106" s="1"/>
      <c r="L106" s="3"/>
      <c r="M106" s="1"/>
      <c r="AP106" s="1"/>
      <c r="AQ106" s="1"/>
      <c r="AR106" s="1"/>
      <c r="AS106" s="1"/>
      <c r="AT106" s="1"/>
    </row>
    <row r="107" spans="1:46" s="18" customFormat="1" x14ac:dyDescent="0.2">
      <c r="A107" s="97"/>
      <c r="B107" s="97"/>
      <c r="C107" s="97"/>
      <c r="D107" s="97"/>
      <c r="E107" s="97"/>
      <c r="F107" s="97"/>
      <c r="G107" s="1"/>
      <c r="H107" s="1"/>
      <c r="I107" s="1"/>
      <c r="J107" s="2"/>
      <c r="K107" s="1"/>
      <c r="L107" s="3"/>
      <c r="M107" s="1"/>
      <c r="AP107" s="1"/>
      <c r="AQ107" s="1"/>
      <c r="AR107" s="1"/>
      <c r="AS107" s="1"/>
      <c r="AT107" s="1"/>
    </row>
    <row r="108" spans="1:46" s="18" customFormat="1" x14ac:dyDescent="0.2">
      <c r="A108" s="97"/>
      <c r="B108" s="97"/>
      <c r="C108" s="97"/>
      <c r="D108" s="97"/>
      <c r="E108" s="97"/>
      <c r="F108" s="97"/>
      <c r="G108" s="1"/>
      <c r="H108" s="1"/>
      <c r="I108" s="1"/>
      <c r="J108" s="2"/>
      <c r="K108" s="1"/>
      <c r="L108" s="3"/>
      <c r="M108" s="1"/>
      <c r="AP108" s="1"/>
      <c r="AQ108" s="1"/>
      <c r="AR108" s="1"/>
      <c r="AS108" s="1"/>
      <c r="AT108" s="1"/>
    </row>
    <row r="109" spans="1:46" s="18" customFormat="1" x14ac:dyDescent="0.2">
      <c r="A109" s="97"/>
      <c r="B109" s="97"/>
      <c r="C109" s="97"/>
      <c r="D109" s="97"/>
      <c r="E109" s="97"/>
      <c r="F109" s="97"/>
      <c r="G109" s="1"/>
      <c r="H109" s="1"/>
      <c r="I109" s="1"/>
      <c r="J109" s="2"/>
      <c r="K109" s="1"/>
      <c r="L109" s="3"/>
      <c r="M109" s="1"/>
      <c r="AP109" s="1"/>
      <c r="AQ109" s="1"/>
      <c r="AR109" s="1"/>
      <c r="AS109" s="1"/>
      <c r="AT109" s="1"/>
    </row>
    <row r="110" spans="1:46" s="18" customFormat="1" x14ac:dyDescent="0.2">
      <c r="A110" s="97"/>
      <c r="B110" s="97"/>
      <c r="C110" s="97"/>
      <c r="D110" s="97"/>
      <c r="E110" s="97"/>
      <c r="F110" s="97"/>
      <c r="G110" s="1"/>
      <c r="H110" s="1"/>
      <c r="I110" s="1"/>
      <c r="J110" s="2"/>
      <c r="K110" s="1"/>
      <c r="L110" s="3"/>
      <c r="M110" s="1"/>
      <c r="AP110" s="1"/>
      <c r="AQ110" s="1"/>
      <c r="AR110" s="1"/>
      <c r="AS110" s="1"/>
      <c r="AT110" s="1"/>
    </row>
    <row r="111" spans="1:46" s="18" customFormat="1" x14ac:dyDescent="0.2">
      <c r="A111" s="97"/>
      <c r="B111" s="97"/>
      <c r="C111" s="97"/>
      <c r="D111" s="97"/>
      <c r="E111" s="97"/>
      <c r="F111" s="97"/>
      <c r="G111" s="1"/>
      <c r="H111" s="1"/>
      <c r="I111" s="1"/>
      <c r="J111" s="2"/>
      <c r="K111" s="1"/>
      <c r="L111" s="3"/>
      <c r="M111" s="1"/>
      <c r="AP111" s="1"/>
      <c r="AQ111" s="1"/>
      <c r="AR111" s="1"/>
      <c r="AS111" s="1"/>
      <c r="AT111" s="1"/>
    </row>
    <row r="112" spans="1:46" s="18" customFormat="1" x14ac:dyDescent="0.2">
      <c r="A112" s="97"/>
      <c r="B112" s="97"/>
      <c r="C112" s="97"/>
      <c r="D112" s="97"/>
      <c r="E112" s="97"/>
      <c r="F112" s="97"/>
      <c r="G112" s="1"/>
      <c r="H112" s="1"/>
      <c r="I112" s="1"/>
      <c r="J112" s="2"/>
      <c r="K112" s="1"/>
      <c r="L112" s="3"/>
      <c r="M112" s="1"/>
      <c r="AP112" s="1"/>
      <c r="AQ112" s="1"/>
      <c r="AR112" s="1"/>
      <c r="AS112" s="1"/>
      <c r="AT112" s="1"/>
    </row>
    <row r="113" spans="1:46" s="18" customFormat="1" x14ac:dyDescent="0.2">
      <c r="A113" s="97"/>
      <c r="B113" s="97"/>
      <c r="C113" s="97"/>
      <c r="D113" s="97"/>
      <c r="E113" s="97"/>
      <c r="F113" s="97"/>
      <c r="G113" s="1"/>
      <c r="H113" s="1"/>
      <c r="I113" s="1"/>
      <c r="J113" s="2"/>
      <c r="K113" s="1"/>
      <c r="L113" s="3"/>
      <c r="M113" s="1"/>
      <c r="AP113" s="1"/>
      <c r="AQ113" s="1"/>
      <c r="AR113" s="1"/>
      <c r="AS113" s="1"/>
      <c r="AT113" s="1"/>
    </row>
    <row r="114" spans="1:46" s="18" customFormat="1" x14ac:dyDescent="0.2">
      <c r="A114" s="97"/>
      <c r="B114" s="97"/>
      <c r="C114" s="97"/>
      <c r="D114" s="97"/>
      <c r="E114" s="97"/>
      <c r="F114" s="97"/>
      <c r="G114" s="1"/>
      <c r="H114" s="1"/>
      <c r="I114" s="1"/>
      <c r="J114" s="2"/>
      <c r="K114" s="1"/>
      <c r="L114" s="3"/>
      <c r="M114" s="1"/>
      <c r="AP114" s="1"/>
      <c r="AQ114" s="1"/>
      <c r="AR114" s="1"/>
      <c r="AS114" s="1"/>
      <c r="AT114" s="1"/>
    </row>
    <row r="115" spans="1:46" s="18" customFormat="1" x14ac:dyDescent="0.2">
      <c r="A115" s="97"/>
      <c r="B115" s="97"/>
      <c r="C115" s="97"/>
      <c r="D115" s="97"/>
      <c r="E115" s="97"/>
      <c r="F115" s="97"/>
      <c r="G115" s="1"/>
      <c r="H115" s="1"/>
      <c r="I115" s="1"/>
      <c r="J115" s="2"/>
      <c r="K115" s="1"/>
      <c r="L115" s="3"/>
      <c r="M115" s="1"/>
      <c r="AP115" s="1"/>
      <c r="AQ115" s="1"/>
      <c r="AR115" s="1"/>
      <c r="AS115" s="1"/>
      <c r="AT115" s="1"/>
    </row>
    <row r="116" spans="1:46" s="18" customFormat="1" x14ac:dyDescent="0.2">
      <c r="A116" s="97"/>
      <c r="B116" s="97"/>
      <c r="C116" s="97"/>
      <c r="D116" s="97"/>
      <c r="E116" s="97"/>
      <c r="F116" s="97"/>
      <c r="G116" s="1"/>
      <c r="H116" s="1"/>
      <c r="I116" s="1"/>
      <c r="J116" s="2"/>
      <c r="K116" s="1"/>
      <c r="L116" s="3"/>
      <c r="M116" s="1"/>
      <c r="AP116" s="1"/>
      <c r="AQ116" s="1"/>
      <c r="AR116" s="1"/>
      <c r="AS116" s="1"/>
      <c r="AT116" s="1"/>
    </row>
    <row r="117" spans="1:46" s="18" customFormat="1" x14ac:dyDescent="0.2">
      <c r="A117" s="97"/>
      <c r="B117" s="97"/>
      <c r="C117" s="97"/>
      <c r="D117" s="97"/>
      <c r="E117" s="97"/>
      <c r="F117" s="97"/>
      <c r="G117" s="1"/>
      <c r="H117" s="1"/>
      <c r="I117" s="1"/>
      <c r="J117" s="2"/>
      <c r="K117" s="1"/>
      <c r="L117" s="3"/>
      <c r="M117" s="1"/>
      <c r="AP117" s="1"/>
      <c r="AQ117" s="1"/>
      <c r="AR117" s="1"/>
      <c r="AS117" s="1"/>
      <c r="AT117" s="1"/>
    </row>
    <row r="118" spans="1:46" s="18" customFormat="1" x14ac:dyDescent="0.2">
      <c r="A118" s="97"/>
      <c r="B118" s="97"/>
      <c r="C118" s="97"/>
      <c r="D118" s="97"/>
      <c r="E118" s="97"/>
      <c r="F118" s="97"/>
      <c r="G118" s="1"/>
      <c r="H118" s="1"/>
      <c r="I118" s="1"/>
      <c r="J118" s="2"/>
      <c r="K118" s="1"/>
      <c r="L118" s="3"/>
      <c r="M118" s="1"/>
      <c r="AP118" s="1"/>
      <c r="AQ118" s="1"/>
      <c r="AR118" s="1"/>
      <c r="AS118" s="1"/>
      <c r="AT118" s="1"/>
    </row>
    <row r="119" spans="1:46" s="18" customFormat="1" x14ac:dyDescent="0.2">
      <c r="A119" s="97"/>
      <c r="B119" s="97"/>
      <c r="C119" s="97"/>
      <c r="D119" s="97"/>
      <c r="E119" s="97"/>
      <c r="F119" s="97"/>
      <c r="G119" s="1"/>
      <c r="H119" s="1"/>
      <c r="I119" s="1"/>
      <c r="J119" s="2"/>
      <c r="K119" s="1"/>
      <c r="L119" s="3"/>
      <c r="M119" s="1"/>
      <c r="AP119" s="1"/>
      <c r="AQ119" s="1"/>
      <c r="AR119" s="1"/>
      <c r="AS119" s="1"/>
      <c r="AT119" s="1"/>
    </row>
    <row r="120" spans="1:46" s="18" customFormat="1" x14ac:dyDescent="0.2">
      <c r="A120" s="97"/>
      <c r="B120" s="97"/>
      <c r="C120" s="97"/>
      <c r="D120" s="97"/>
      <c r="E120" s="97"/>
      <c r="F120" s="97"/>
      <c r="G120" s="1"/>
      <c r="H120" s="1"/>
      <c r="I120" s="1"/>
      <c r="J120" s="2"/>
      <c r="K120" s="1"/>
      <c r="L120" s="3"/>
      <c r="M120" s="1"/>
      <c r="AP120" s="1"/>
      <c r="AQ120" s="1"/>
      <c r="AR120" s="1"/>
      <c r="AS120" s="1"/>
      <c r="AT120" s="1"/>
    </row>
    <row r="121" spans="1:46" s="18" customFormat="1" x14ac:dyDescent="0.2">
      <c r="A121" s="97"/>
      <c r="B121" s="97"/>
      <c r="C121" s="97"/>
      <c r="D121" s="97"/>
      <c r="E121" s="97"/>
      <c r="F121" s="97"/>
      <c r="G121" s="1"/>
      <c r="H121" s="1"/>
      <c r="I121" s="1"/>
      <c r="J121" s="2"/>
      <c r="K121" s="1"/>
      <c r="L121" s="3"/>
      <c r="M121" s="1"/>
      <c r="AP121" s="1"/>
      <c r="AQ121" s="1"/>
      <c r="AR121" s="1"/>
      <c r="AS121" s="1"/>
      <c r="AT121" s="1"/>
    </row>
    <row r="122" spans="1:46" s="18" customFormat="1" x14ac:dyDescent="0.2">
      <c r="A122" s="97"/>
      <c r="B122" s="97"/>
      <c r="C122" s="97"/>
      <c r="D122" s="97"/>
      <c r="E122" s="97"/>
      <c r="F122" s="97"/>
      <c r="G122" s="1"/>
      <c r="H122" s="1"/>
      <c r="I122" s="1"/>
      <c r="J122" s="2"/>
      <c r="K122" s="1"/>
      <c r="L122" s="3"/>
      <c r="M122" s="1"/>
      <c r="AP122" s="1"/>
      <c r="AQ122" s="1"/>
      <c r="AR122" s="1"/>
      <c r="AS122" s="1"/>
      <c r="AT122" s="1"/>
    </row>
    <row r="123" spans="1:46" s="18" customFormat="1" x14ac:dyDescent="0.2">
      <c r="A123" s="97"/>
      <c r="B123" s="97"/>
      <c r="C123" s="97"/>
      <c r="D123" s="97"/>
      <c r="E123" s="97"/>
      <c r="F123" s="97"/>
      <c r="G123" s="1"/>
      <c r="H123" s="1"/>
      <c r="I123" s="1"/>
      <c r="J123" s="2"/>
      <c r="K123" s="1"/>
      <c r="L123" s="3"/>
      <c r="M123" s="1"/>
      <c r="AP123" s="1"/>
      <c r="AQ123" s="1"/>
      <c r="AR123" s="1"/>
      <c r="AS123" s="1"/>
      <c r="AT123" s="1"/>
    </row>
    <row r="124" spans="1:46" s="18" customFormat="1" x14ac:dyDescent="0.2">
      <c r="A124" s="97"/>
      <c r="B124" s="97"/>
      <c r="C124" s="97"/>
      <c r="D124" s="97"/>
      <c r="E124" s="97"/>
      <c r="F124" s="97"/>
      <c r="G124" s="1"/>
      <c r="H124" s="1"/>
      <c r="I124" s="1"/>
      <c r="J124" s="2"/>
      <c r="K124" s="1"/>
      <c r="L124" s="3"/>
      <c r="M124" s="1"/>
      <c r="AP124" s="1"/>
      <c r="AQ124" s="1"/>
      <c r="AR124" s="1"/>
      <c r="AS124" s="1"/>
      <c r="AT124" s="1"/>
    </row>
    <row r="125" spans="1:46" s="18" customFormat="1" x14ac:dyDescent="0.2">
      <c r="A125" s="97"/>
      <c r="B125" s="97"/>
      <c r="C125" s="97"/>
      <c r="D125" s="97"/>
      <c r="E125" s="97"/>
      <c r="F125" s="97"/>
      <c r="G125" s="1"/>
      <c r="H125" s="1"/>
      <c r="I125" s="1"/>
      <c r="J125" s="2"/>
      <c r="K125" s="1"/>
      <c r="L125" s="3"/>
      <c r="M125" s="1"/>
      <c r="AP125" s="1"/>
      <c r="AQ125" s="1"/>
      <c r="AR125" s="1"/>
      <c r="AS125" s="1"/>
      <c r="AT125" s="1"/>
    </row>
    <row r="126" spans="1:46" s="18" customFormat="1" x14ac:dyDescent="0.2">
      <c r="A126" s="97"/>
      <c r="B126" s="97"/>
      <c r="C126" s="97"/>
      <c r="D126" s="97"/>
      <c r="E126" s="97"/>
      <c r="F126" s="97"/>
      <c r="G126" s="1"/>
      <c r="H126" s="1"/>
      <c r="I126" s="1"/>
      <c r="J126" s="2"/>
      <c r="K126" s="1"/>
      <c r="L126" s="3"/>
      <c r="M126" s="1"/>
      <c r="AP126" s="1"/>
      <c r="AQ126" s="1"/>
      <c r="AR126" s="1"/>
      <c r="AS126" s="1"/>
      <c r="AT126" s="1"/>
    </row>
    <row r="127" spans="1:46" s="18" customFormat="1" x14ac:dyDescent="0.2">
      <c r="A127" s="97"/>
      <c r="B127" s="97"/>
      <c r="C127" s="97"/>
      <c r="D127" s="97"/>
      <c r="E127" s="97"/>
      <c r="F127" s="97"/>
      <c r="G127" s="1"/>
      <c r="H127" s="1"/>
      <c r="I127" s="1"/>
      <c r="J127" s="2"/>
      <c r="K127" s="1"/>
      <c r="L127" s="3"/>
      <c r="M127" s="1"/>
      <c r="AP127" s="1"/>
      <c r="AQ127" s="1"/>
      <c r="AR127" s="1"/>
      <c r="AS127" s="1"/>
      <c r="AT127" s="1"/>
    </row>
    <row r="128" spans="1:46" s="18" customFormat="1" x14ac:dyDescent="0.2">
      <c r="A128" s="97"/>
      <c r="B128" s="97"/>
      <c r="C128" s="97"/>
      <c r="D128" s="97"/>
      <c r="E128" s="97"/>
      <c r="F128" s="97"/>
      <c r="G128" s="1"/>
      <c r="H128" s="1"/>
      <c r="I128" s="1"/>
      <c r="J128" s="2"/>
      <c r="K128" s="1"/>
      <c r="L128" s="3"/>
      <c r="M128" s="1"/>
      <c r="AP128" s="1"/>
      <c r="AQ128" s="1"/>
      <c r="AR128" s="1"/>
      <c r="AS128" s="1"/>
      <c r="AT128" s="1"/>
    </row>
    <row r="129" spans="1:46" s="18" customFormat="1" x14ac:dyDescent="0.2">
      <c r="A129" s="97"/>
      <c r="B129" s="97"/>
      <c r="C129" s="97"/>
      <c r="D129" s="97"/>
      <c r="E129" s="97"/>
      <c r="F129" s="97"/>
      <c r="G129" s="1"/>
      <c r="H129" s="1"/>
      <c r="I129" s="1"/>
      <c r="J129" s="2"/>
      <c r="K129" s="1"/>
      <c r="L129" s="3"/>
      <c r="M129" s="1"/>
      <c r="AP129" s="1"/>
      <c r="AQ129" s="1"/>
      <c r="AR129" s="1"/>
      <c r="AS129" s="1"/>
      <c r="AT129" s="1"/>
    </row>
    <row r="130" spans="1:46" s="18" customFormat="1" x14ac:dyDescent="0.2">
      <c r="A130" s="97"/>
      <c r="B130" s="97"/>
      <c r="C130" s="97"/>
      <c r="D130" s="97"/>
      <c r="E130" s="97"/>
      <c r="F130" s="97"/>
      <c r="G130" s="1"/>
      <c r="H130" s="1"/>
      <c r="I130" s="1"/>
      <c r="J130" s="2"/>
      <c r="K130" s="1"/>
      <c r="L130" s="3"/>
      <c r="M130" s="1"/>
      <c r="AP130" s="1"/>
      <c r="AQ130" s="1"/>
      <c r="AR130" s="1"/>
      <c r="AS130" s="1"/>
      <c r="AT130" s="1"/>
    </row>
    <row r="131" spans="1:46" s="18" customFormat="1" x14ac:dyDescent="0.2">
      <c r="A131" s="97"/>
      <c r="B131" s="97"/>
      <c r="C131" s="97"/>
      <c r="D131" s="97"/>
      <c r="E131" s="97"/>
      <c r="F131" s="97"/>
      <c r="G131" s="1"/>
      <c r="H131" s="1"/>
      <c r="I131" s="1"/>
      <c r="J131" s="2"/>
      <c r="K131" s="1"/>
      <c r="L131" s="3"/>
      <c r="M131" s="1"/>
      <c r="AP131" s="1"/>
      <c r="AQ131" s="1"/>
      <c r="AR131" s="1"/>
      <c r="AS131" s="1"/>
      <c r="AT131" s="1"/>
    </row>
    <row r="132" spans="1:46" s="18" customFormat="1" x14ac:dyDescent="0.2">
      <c r="A132" s="97"/>
      <c r="B132" s="97"/>
      <c r="C132" s="97"/>
      <c r="D132" s="97"/>
      <c r="E132" s="97"/>
      <c r="F132" s="97"/>
      <c r="G132" s="1"/>
      <c r="H132" s="1"/>
      <c r="I132" s="1"/>
      <c r="J132" s="2"/>
      <c r="K132" s="1"/>
      <c r="L132" s="3"/>
      <c r="M132" s="1"/>
      <c r="AP132" s="1"/>
      <c r="AQ132" s="1"/>
      <c r="AR132" s="1"/>
      <c r="AS132" s="1"/>
      <c r="AT132" s="1"/>
    </row>
    <row r="133" spans="1:46" s="18" customFormat="1" x14ac:dyDescent="0.2">
      <c r="A133" s="97"/>
      <c r="B133" s="97"/>
      <c r="C133" s="97"/>
      <c r="D133" s="97"/>
      <c r="E133" s="97"/>
      <c r="F133" s="97"/>
      <c r="G133" s="1"/>
      <c r="H133" s="1"/>
      <c r="I133" s="1"/>
      <c r="J133" s="2"/>
      <c r="K133" s="1"/>
      <c r="L133" s="3"/>
      <c r="M133" s="1"/>
      <c r="AP133" s="1"/>
      <c r="AQ133" s="1"/>
      <c r="AR133" s="1"/>
      <c r="AS133" s="1"/>
      <c r="AT133" s="1"/>
    </row>
    <row r="134" spans="1:46" s="18" customFormat="1" x14ac:dyDescent="0.2">
      <c r="A134" s="97"/>
      <c r="B134" s="97"/>
      <c r="C134" s="97"/>
      <c r="D134" s="97"/>
      <c r="E134" s="97"/>
      <c r="F134" s="97"/>
      <c r="G134" s="1"/>
      <c r="H134" s="1"/>
      <c r="I134" s="1"/>
      <c r="J134" s="2"/>
      <c r="K134" s="1"/>
      <c r="L134" s="3"/>
      <c r="M134" s="1"/>
      <c r="AP134" s="1"/>
      <c r="AQ134" s="1"/>
      <c r="AR134" s="1"/>
      <c r="AS134" s="1"/>
      <c r="AT134" s="1"/>
    </row>
    <row r="135" spans="1:46" s="18" customFormat="1" x14ac:dyDescent="0.2">
      <c r="A135" s="97"/>
      <c r="B135" s="97"/>
      <c r="C135" s="97"/>
      <c r="D135" s="97"/>
      <c r="E135" s="97"/>
      <c r="F135" s="97"/>
      <c r="G135" s="1"/>
      <c r="H135" s="1"/>
      <c r="I135" s="1"/>
      <c r="J135" s="2"/>
      <c r="K135" s="1"/>
      <c r="L135" s="3"/>
      <c r="M135" s="1"/>
      <c r="AP135" s="1"/>
      <c r="AQ135" s="1"/>
      <c r="AR135" s="1"/>
      <c r="AS135" s="1"/>
      <c r="AT135" s="1"/>
    </row>
    <row r="136" spans="1:46" s="18" customFormat="1" x14ac:dyDescent="0.2">
      <c r="A136" s="97"/>
      <c r="B136" s="97"/>
      <c r="C136" s="97"/>
      <c r="D136" s="97"/>
      <c r="E136" s="97"/>
      <c r="F136" s="97"/>
      <c r="G136" s="1"/>
      <c r="H136" s="1"/>
      <c r="I136" s="1"/>
      <c r="J136" s="2"/>
      <c r="K136" s="1"/>
      <c r="L136" s="3"/>
      <c r="M136" s="1"/>
      <c r="AP136" s="1"/>
      <c r="AQ136" s="1"/>
      <c r="AR136" s="1"/>
      <c r="AS136" s="1"/>
      <c r="AT136" s="1"/>
    </row>
    <row r="137" spans="1:46" s="18" customFormat="1" x14ac:dyDescent="0.2">
      <c r="A137" s="97"/>
      <c r="B137" s="97"/>
      <c r="C137" s="97"/>
      <c r="D137" s="97"/>
      <c r="E137" s="97"/>
      <c r="F137" s="97"/>
      <c r="G137" s="1"/>
      <c r="H137" s="1"/>
      <c r="I137" s="1"/>
      <c r="J137" s="2"/>
      <c r="K137" s="1"/>
      <c r="L137" s="3"/>
      <c r="M137" s="1"/>
      <c r="AP137" s="1"/>
      <c r="AQ137" s="1"/>
      <c r="AR137" s="1"/>
      <c r="AS137" s="1"/>
      <c r="AT137" s="1"/>
    </row>
    <row r="138" spans="1:46" s="18" customFormat="1" x14ac:dyDescent="0.2">
      <c r="A138" s="97"/>
      <c r="B138" s="97"/>
      <c r="C138" s="97"/>
      <c r="D138" s="97"/>
      <c r="E138" s="97"/>
      <c r="F138" s="97"/>
      <c r="G138" s="1"/>
      <c r="H138" s="1"/>
      <c r="I138" s="1"/>
      <c r="J138" s="2"/>
      <c r="K138" s="1"/>
      <c r="L138" s="3"/>
      <c r="M138" s="1"/>
      <c r="AP138" s="1"/>
      <c r="AQ138" s="1"/>
      <c r="AR138" s="1"/>
      <c r="AS138" s="1"/>
      <c r="AT138" s="1"/>
    </row>
    <row r="139" spans="1:46" s="18" customFormat="1" x14ac:dyDescent="0.2">
      <c r="A139" s="97"/>
      <c r="B139" s="97"/>
      <c r="C139" s="97"/>
      <c r="D139" s="97"/>
      <c r="E139" s="97"/>
      <c r="F139" s="97"/>
      <c r="G139" s="1"/>
      <c r="H139" s="1"/>
      <c r="I139" s="1"/>
      <c r="J139" s="2"/>
      <c r="K139" s="1"/>
      <c r="L139" s="3"/>
      <c r="M139" s="1"/>
      <c r="AP139" s="1"/>
      <c r="AQ139" s="1"/>
      <c r="AR139" s="1"/>
      <c r="AS139" s="1"/>
      <c r="AT139" s="1"/>
    </row>
    <row r="140" spans="1:46" s="18" customFormat="1" x14ac:dyDescent="0.2">
      <c r="A140" s="97"/>
      <c r="B140" s="97"/>
      <c r="C140" s="97"/>
      <c r="D140" s="97"/>
      <c r="E140" s="97"/>
      <c r="F140" s="97"/>
      <c r="G140" s="1"/>
      <c r="H140" s="1"/>
      <c r="I140" s="1"/>
      <c r="J140" s="2"/>
      <c r="K140" s="1"/>
      <c r="L140" s="3"/>
      <c r="M140" s="1"/>
      <c r="AP140" s="1"/>
      <c r="AQ140" s="1"/>
      <c r="AR140" s="1"/>
      <c r="AS140" s="1"/>
      <c r="AT140" s="1"/>
    </row>
    <row r="141" spans="1:46" s="18" customFormat="1" x14ac:dyDescent="0.2">
      <c r="A141" s="97"/>
      <c r="B141" s="97"/>
      <c r="C141" s="97"/>
      <c r="D141" s="97"/>
      <c r="E141" s="97"/>
      <c r="F141" s="97"/>
      <c r="G141" s="1"/>
      <c r="H141" s="1"/>
      <c r="I141" s="1"/>
      <c r="J141" s="2"/>
      <c r="K141" s="1"/>
      <c r="L141" s="3"/>
      <c r="M141" s="1"/>
      <c r="AP141" s="1"/>
      <c r="AQ141" s="1"/>
      <c r="AR141" s="1"/>
      <c r="AS141" s="1"/>
      <c r="AT141" s="1"/>
    </row>
    <row r="142" spans="1:46" s="18" customFormat="1" x14ac:dyDescent="0.2">
      <c r="A142" s="97"/>
      <c r="B142" s="97"/>
      <c r="C142" s="97"/>
      <c r="D142" s="97"/>
      <c r="E142" s="97"/>
      <c r="F142" s="97"/>
      <c r="G142" s="1"/>
      <c r="H142" s="1"/>
      <c r="I142" s="1"/>
      <c r="J142" s="2"/>
      <c r="K142" s="1"/>
      <c r="L142" s="3"/>
      <c r="M142" s="1"/>
      <c r="AP142" s="1"/>
      <c r="AQ142" s="1"/>
      <c r="AR142" s="1"/>
      <c r="AS142" s="1"/>
      <c r="AT142" s="1"/>
    </row>
    <row r="143" spans="1:46" s="18" customFormat="1" x14ac:dyDescent="0.2">
      <c r="A143" s="97"/>
      <c r="B143" s="97"/>
      <c r="C143" s="97"/>
      <c r="D143" s="97"/>
      <c r="E143" s="97"/>
      <c r="F143" s="97"/>
      <c r="G143" s="1"/>
      <c r="H143" s="1"/>
      <c r="I143" s="1"/>
      <c r="J143" s="2"/>
      <c r="K143" s="1"/>
      <c r="L143" s="3"/>
      <c r="M143" s="1"/>
      <c r="AP143" s="1"/>
      <c r="AQ143" s="1"/>
      <c r="AR143" s="1"/>
      <c r="AS143" s="1"/>
      <c r="AT143" s="1"/>
    </row>
    <row r="144" spans="1:46" s="18" customFormat="1" x14ac:dyDescent="0.2">
      <c r="A144" s="97"/>
      <c r="B144" s="97"/>
      <c r="C144" s="97"/>
      <c r="D144" s="97"/>
      <c r="E144" s="97"/>
      <c r="F144" s="97"/>
      <c r="G144" s="1"/>
      <c r="H144" s="1"/>
      <c r="I144" s="1"/>
      <c r="J144" s="2"/>
      <c r="K144" s="1"/>
      <c r="L144" s="3"/>
      <c r="M144" s="1"/>
      <c r="AP144" s="1"/>
      <c r="AQ144" s="1"/>
      <c r="AR144" s="1"/>
      <c r="AS144" s="1"/>
      <c r="AT144" s="1"/>
    </row>
    <row r="145" spans="1:46" s="18" customFormat="1" x14ac:dyDescent="0.2">
      <c r="A145" s="97"/>
      <c r="B145" s="97"/>
      <c r="C145" s="97"/>
      <c r="D145" s="97"/>
      <c r="E145"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97"/>
      <c r="G146" s="1"/>
      <c r="H146" s="1"/>
      <c r="I146" s="1"/>
      <c r="J146" s="2"/>
      <c r="K146" s="1"/>
      <c r="L146" s="3"/>
      <c r="M146" s="1"/>
      <c r="AP146" s="1"/>
      <c r="AQ146" s="1"/>
      <c r="AR146" s="1"/>
      <c r="AS146" s="1"/>
      <c r="AT146" s="1"/>
    </row>
    <row r="147" spans="1:46" s="18" customFormat="1" x14ac:dyDescent="0.2">
      <c r="A147" s="97"/>
      <c r="B147" s="97"/>
      <c r="C147" s="97"/>
      <c r="D147" s="97"/>
      <c r="E147" s="97"/>
      <c r="F147" s="97"/>
      <c r="G147" s="1"/>
      <c r="H147" s="1"/>
      <c r="I147" s="1"/>
      <c r="J147" s="2"/>
      <c r="K147" s="1"/>
      <c r="L147" s="3"/>
      <c r="M147" s="1"/>
      <c r="AP147" s="1"/>
      <c r="AQ147" s="1"/>
      <c r="AR147" s="1"/>
      <c r="AS147" s="1"/>
      <c r="AT147" s="1"/>
    </row>
    <row r="148" spans="1:46" s="18" customFormat="1" x14ac:dyDescent="0.2">
      <c r="A148" s="97"/>
      <c r="B148" s="97"/>
      <c r="C148" s="97"/>
      <c r="D148" s="97"/>
      <c r="E148" s="97"/>
      <c r="F148" s="97"/>
      <c r="G148" s="1"/>
      <c r="H148" s="1"/>
      <c r="I148" s="1"/>
      <c r="J148" s="2"/>
      <c r="K148" s="1"/>
      <c r="L148" s="3"/>
      <c r="M148" s="1"/>
      <c r="AP148" s="1"/>
      <c r="AQ148" s="1"/>
      <c r="AR148" s="1"/>
      <c r="AS148" s="1"/>
      <c r="AT148" s="1"/>
    </row>
    <row r="149" spans="1:46" s="18" customFormat="1" x14ac:dyDescent="0.2">
      <c r="A149" s="97"/>
      <c r="B149" s="97"/>
      <c r="C149" s="97"/>
      <c r="D149" s="97"/>
      <c r="E149" s="97"/>
      <c r="F149" s="97"/>
      <c r="G149" s="1"/>
      <c r="H149" s="1"/>
      <c r="I149" s="1"/>
      <c r="J149" s="2"/>
      <c r="K149" s="1"/>
      <c r="L149" s="3"/>
      <c r="M149" s="1"/>
      <c r="AP149" s="1"/>
      <c r="AQ149" s="1"/>
      <c r="AR149" s="1"/>
      <c r="AS149" s="1"/>
      <c r="AT149" s="1"/>
    </row>
    <row r="150" spans="1:46" s="18" customFormat="1" x14ac:dyDescent="0.2">
      <c r="A150" s="97"/>
      <c r="B150" s="97"/>
      <c r="C150" s="97"/>
      <c r="D150" s="97"/>
      <c r="E150" s="97"/>
      <c r="F150" s="97"/>
      <c r="G150" s="1"/>
      <c r="H150" s="1"/>
      <c r="I150" s="1"/>
      <c r="J150" s="2"/>
      <c r="K150" s="1"/>
      <c r="L150" s="3"/>
      <c r="M150" s="1"/>
      <c r="AP150" s="1"/>
      <c r="AQ150" s="1"/>
      <c r="AR150" s="1"/>
      <c r="AS150" s="1"/>
      <c r="AT150" s="1"/>
    </row>
    <row r="151" spans="1:46" s="18" customFormat="1" x14ac:dyDescent="0.2">
      <c r="A151" s="97"/>
      <c r="B151" s="97"/>
      <c r="C151" s="97"/>
      <c r="D151" s="97"/>
      <c r="E151" s="97"/>
      <c r="F151" s="97"/>
      <c r="G151" s="1"/>
      <c r="H151" s="1"/>
      <c r="I151" s="1"/>
      <c r="J151" s="2"/>
      <c r="K151" s="1"/>
      <c r="L151" s="3"/>
      <c r="M151" s="1"/>
      <c r="AP151" s="1"/>
      <c r="AQ151" s="1"/>
      <c r="AR151" s="1"/>
      <c r="AS151" s="1"/>
      <c r="AT151" s="1"/>
    </row>
    <row r="152" spans="1:46" s="18" customFormat="1" x14ac:dyDescent="0.2">
      <c r="A152" s="97"/>
      <c r="B152" s="97"/>
      <c r="C152" s="97"/>
      <c r="D152" s="97"/>
      <c r="E152" s="97"/>
      <c r="F152" s="97"/>
      <c r="G152" s="1"/>
      <c r="H152" s="1"/>
      <c r="I152" s="1"/>
      <c r="J152" s="2"/>
      <c r="K152" s="1"/>
      <c r="L152" s="3"/>
      <c r="M152" s="1"/>
      <c r="AP152" s="1"/>
      <c r="AQ152" s="1"/>
      <c r="AR152" s="1"/>
      <c r="AS152" s="1"/>
      <c r="AT152" s="1"/>
    </row>
    <row r="153" spans="1:46" s="18" customFormat="1" x14ac:dyDescent="0.2">
      <c r="A153" s="97"/>
      <c r="B153" s="97"/>
      <c r="C153" s="97"/>
      <c r="D153" s="97"/>
      <c r="E153" s="97"/>
      <c r="F153" s="97"/>
      <c r="G153" s="1"/>
      <c r="H153" s="1"/>
      <c r="I153" s="1"/>
      <c r="J153" s="2"/>
      <c r="K153" s="1"/>
      <c r="L153" s="3"/>
      <c r="M153" s="1"/>
      <c r="AP153" s="1"/>
      <c r="AQ153" s="1"/>
      <c r="AR153" s="1"/>
      <c r="AS153" s="1"/>
      <c r="AT153" s="1"/>
    </row>
    <row r="154" spans="1:46" s="18" customFormat="1" x14ac:dyDescent="0.2">
      <c r="A154" s="97"/>
      <c r="B154" s="97"/>
      <c r="C154" s="97"/>
      <c r="D154" s="97"/>
      <c r="E154" s="97"/>
      <c r="F154" s="97"/>
      <c r="G154" s="1"/>
      <c r="H154" s="1"/>
      <c r="I154" s="1"/>
      <c r="J154" s="2"/>
      <c r="K154" s="1"/>
      <c r="L154" s="3"/>
      <c r="M154" s="1"/>
      <c r="AP154" s="1"/>
      <c r="AQ154" s="1"/>
      <c r="AR154" s="1"/>
      <c r="AS154" s="1"/>
      <c r="AT154" s="1"/>
    </row>
    <row r="155" spans="1:46" s="18" customFormat="1" x14ac:dyDescent="0.2">
      <c r="A155" s="97"/>
      <c r="B155" s="97"/>
      <c r="C155" s="97"/>
      <c r="D155" s="97"/>
      <c r="E155" s="97"/>
      <c r="F155" s="97"/>
      <c r="G155" s="1"/>
      <c r="H155" s="1"/>
      <c r="I155" s="1"/>
      <c r="J155" s="2"/>
      <c r="K155" s="1"/>
      <c r="L155" s="3"/>
      <c r="M155" s="1"/>
      <c r="AP155" s="1"/>
      <c r="AQ155" s="1"/>
      <c r="AR155" s="1"/>
      <c r="AS155" s="1"/>
      <c r="AT155" s="1"/>
    </row>
    <row r="156" spans="1:46" s="18" customFormat="1" x14ac:dyDescent="0.2">
      <c r="A156" s="97"/>
      <c r="B156" s="97"/>
      <c r="C156" s="97"/>
      <c r="D156" s="97"/>
      <c r="E156" s="97"/>
      <c r="F156" s="97"/>
      <c r="G156" s="1"/>
      <c r="H156" s="1"/>
      <c r="I156" s="1"/>
      <c r="J156" s="2"/>
      <c r="K156" s="1"/>
      <c r="L156" s="3"/>
      <c r="M156" s="1"/>
      <c r="AP156" s="1"/>
      <c r="AQ156" s="1"/>
      <c r="AR156" s="1"/>
      <c r="AS156" s="1"/>
      <c r="AT156" s="1"/>
    </row>
    <row r="157" spans="1:46" s="18" customFormat="1" x14ac:dyDescent="0.2">
      <c r="A157" s="97"/>
      <c r="B157" s="97"/>
      <c r="C157" s="97"/>
      <c r="D157" s="97"/>
      <c r="E157" s="97"/>
      <c r="F157" s="97"/>
      <c r="G157" s="1"/>
      <c r="H157" s="1"/>
      <c r="I157" s="1"/>
      <c r="J157" s="2"/>
      <c r="K157" s="1"/>
      <c r="L157" s="3"/>
      <c r="M157" s="1"/>
      <c r="AP157" s="1"/>
      <c r="AQ157" s="1"/>
      <c r="AR157" s="1"/>
      <c r="AS157" s="1"/>
      <c r="AT157" s="1"/>
    </row>
    <row r="158" spans="1:46" s="18" customFormat="1" x14ac:dyDescent="0.2">
      <c r="A158" s="97"/>
      <c r="B158" s="97"/>
      <c r="C158" s="97"/>
      <c r="D158" s="97"/>
      <c r="E158" s="97"/>
      <c r="F158" s="97"/>
      <c r="G158" s="1"/>
      <c r="H158" s="1"/>
      <c r="I158" s="1"/>
      <c r="J158" s="2"/>
      <c r="K158" s="1"/>
      <c r="L158" s="3"/>
      <c r="M158" s="1"/>
      <c r="AP158" s="1"/>
      <c r="AQ158" s="1"/>
      <c r="AR158" s="1"/>
      <c r="AS158" s="1"/>
      <c r="AT158" s="1"/>
    </row>
    <row r="159" spans="1:46" s="18" customFormat="1" x14ac:dyDescent="0.2">
      <c r="A159" s="97"/>
      <c r="B159" s="97"/>
      <c r="C159" s="97"/>
      <c r="D159" s="97"/>
      <c r="E159" s="97"/>
      <c r="F159" s="97"/>
      <c r="G159" s="1"/>
      <c r="H159" s="1"/>
      <c r="I159" s="1"/>
      <c r="J159" s="2"/>
      <c r="K159" s="1"/>
      <c r="L159" s="3"/>
      <c r="M159" s="1"/>
      <c r="AP159" s="1"/>
      <c r="AQ159" s="1"/>
      <c r="AR159" s="1"/>
      <c r="AS159" s="1"/>
      <c r="AT159" s="1"/>
    </row>
    <row r="160" spans="1:46" s="18" customFormat="1" x14ac:dyDescent="0.2">
      <c r="A160" s="97"/>
      <c r="B160" s="97"/>
      <c r="C160" s="97"/>
      <c r="D160" s="97"/>
      <c r="E160" s="97"/>
      <c r="F160" s="97"/>
      <c r="G160" s="1"/>
      <c r="H160" s="1"/>
      <c r="I160" s="1"/>
      <c r="J160" s="2"/>
      <c r="K160" s="1"/>
      <c r="L160" s="3"/>
      <c r="M160" s="1"/>
      <c r="AP160" s="1"/>
      <c r="AQ160" s="1"/>
      <c r="AR160" s="1"/>
      <c r="AS160" s="1"/>
      <c r="AT160" s="1"/>
    </row>
    <row r="161" spans="1:46" s="18" customFormat="1" x14ac:dyDescent="0.2">
      <c r="A161" s="97"/>
      <c r="B161" s="97"/>
      <c r="C161" s="97"/>
      <c r="D161" s="97"/>
      <c r="E161" s="97"/>
      <c r="F161" s="97"/>
      <c r="G161" s="1"/>
      <c r="H161" s="1"/>
      <c r="I161" s="1"/>
      <c r="J161" s="2"/>
      <c r="K161" s="1"/>
      <c r="L161" s="3"/>
      <c r="M161" s="1"/>
      <c r="AP161" s="1"/>
      <c r="AQ161" s="1"/>
      <c r="AR161" s="1"/>
      <c r="AS161" s="1"/>
      <c r="AT161" s="1"/>
    </row>
    <row r="162" spans="1:46" s="18" customFormat="1" x14ac:dyDescent="0.2">
      <c r="A162" s="97"/>
      <c r="B162" s="97"/>
      <c r="C162" s="97"/>
      <c r="D162" s="97"/>
      <c r="E162" s="97"/>
      <c r="F162" s="97"/>
      <c r="G162" s="1"/>
      <c r="H162" s="1"/>
      <c r="I162" s="1"/>
      <c r="J162" s="2"/>
      <c r="K162" s="1"/>
      <c r="L162" s="3"/>
      <c r="M162" s="1"/>
      <c r="AP162" s="1"/>
      <c r="AQ162" s="1"/>
      <c r="AR162" s="1"/>
      <c r="AS162" s="1"/>
      <c r="AT162" s="1"/>
    </row>
    <row r="163" spans="1:46" s="18" customFormat="1" x14ac:dyDescent="0.2">
      <c r="A163" s="97"/>
      <c r="B163" s="97"/>
      <c r="C163" s="97"/>
      <c r="D163" s="97"/>
      <c r="E163" s="97"/>
      <c r="F163" s="97"/>
      <c r="G163" s="1"/>
      <c r="H163" s="1"/>
      <c r="I163" s="1"/>
      <c r="J163" s="2"/>
      <c r="K163" s="1"/>
      <c r="L163" s="3"/>
      <c r="M163" s="1"/>
      <c r="AP163" s="1"/>
      <c r="AQ163" s="1"/>
      <c r="AR163" s="1"/>
      <c r="AS163" s="1"/>
      <c r="AT163" s="1"/>
    </row>
    <row r="164" spans="1:46" s="18" customFormat="1" x14ac:dyDescent="0.2">
      <c r="A164" s="97"/>
      <c r="B164" s="97"/>
      <c r="C164" s="97"/>
      <c r="D164" s="97"/>
      <c r="E164" s="97"/>
      <c r="F164" s="97"/>
      <c r="G164" s="1"/>
      <c r="H164" s="1"/>
      <c r="I164" s="1"/>
      <c r="J164" s="2"/>
      <c r="K164" s="1"/>
      <c r="L164" s="3"/>
      <c r="M164" s="1"/>
      <c r="AP164" s="1"/>
      <c r="AQ164" s="1"/>
      <c r="AR164" s="1"/>
      <c r="AS164" s="1"/>
      <c r="AT164" s="1"/>
    </row>
    <row r="165" spans="1:46" s="18" customFormat="1" x14ac:dyDescent="0.2">
      <c r="A165" s="97"/>
      <c r="B165" s="97"/>
      <c r="C165" s="97"/>
      <c r="D165" s="97"/>
      <c r="E165" s="97"/>
      <c r="F165" s="97"/>
      <c r="G165" s="1"/>
      <c r="H165" s="1"/>
      <c r="I165" s="1"/>
      <c r="J165" s="2"/>
      <c r="K165" s="1"/>
      <c r="L165" s="3"/>
      <c r="M165" s="1"/>
      <c r="AP165" s="1"/>
      <c r="AQ165" s="1"/>
      <c r="AR165" s="1"/>
      <c r="AS165" s="1"/>
      <c r="AT165" s="1"/>
    </row>
    <row r="166" spans="1:46" s="18" customFormat="1" x14ac:dyDescent="0.2">
      <c r="A166" s="97"/>
      <c r="B166" s="97"/>
      <c r="C166" s="97"/>
      <c r="D166" s="97"/>
      <c r="E166" s="97"/>
      <c r="F166" s="97"/>
      <c r="G166" s="1"/>
      <c r="H166" s="1"/>
      <c r="I166" s="1"/>
      <c r="J166" s="2"/>
      <c r="K166" s="1"/>
      <c r="L166" s="3"/>
      <c r="M166" s="1"/>
      <c r="AP166" s="1"/>
      <c r="AQ166" s="1"/>
      <c r="AR166" s="1"/>
      <c r="AS166" s="1"/>
      <c r="AT166" s="1"/>
    </row>
    <row r="167" spans="1:46" s="18" customFormat="1" x14ac:dyDescent="0.2">
      <c r="A167" s="97"/>
      <c r="B167" s="97"/>
      <c r="C167" s="97"/>
      <c r="D167" s="97"/>
      <c r="E167" s="97"/>
      <c r="F167" s="97"/>
      <c r="G167" s="1"/>
      <c r="H167" s="1"/>
      <c r="I167" s="1"/>
      <c r="J167" s="2"/>
      <c r="K167" s="1"/>
      <c r="L167" s="3"/>
      <c r="M167" s="1"/>
      <c r="AP167" s="1"/>
      <c r="AQ167" s="1"/>
      <c r="AR167" s="1"/>
      <c r="AS167" s="1"/>
      <c r="AT167" s="1"/>
    </row>
    <row r="168" spans="1:46" s="18" customFormat="1" x14ac:dyDescent="0.2">
      <c r="A168" s="97"/>
      <c r="B168" s="97"/>
      <c r="C168" s="97"/>
      <c r="D168" s="97"/>
      <c r="E168" s="97"/>
      <c r="F168" s="97"/>
      <c r="G168" s="1"/>
      <c r="H168" s="1"/>
      <c r="I168" s="1"/>
      <c r="J168" s="2"/>
      <c r="K168" s="1"/>
      <c r="L168" s="3"/>
      <c r="M168" s="1"/>
      <c r="AP168" s="1"/>
      <c r="AQ168" s="1"/>
      <c r="AR168" s="1"/>
      <c r="AS168" s="1"/>
      <c r="AT168" s="1"/>
    </row>
    <row r="169" spans="1:46" s="18" customFormat="1" x14ac:dyDescent="0.2">
      <c r="A169" s="97"/>
      <c r="B169" s="97"/>
      <c r="C169" s="97"/>
      <c r="D169" s="97"/>
      <c r="E169" s="97"/>
      <c r="F169" s="97"/>
      <c r="G169" s="1"/>
      <c r="H169" s="1"/>
      <c r="I169" s="1"/>
      <c r="J169" s="2"/>
      <c r="K169" s="1"/>
      <c r="L169" s="3"/>
      <c r="M169" s="1"/>
      <c r="AP169" s="1"/>
      <c r="AQ169" s="1"/>
      <c r="AR169" s="1"/>
      <c r="AS169" s="1"/>
      <c r="AT169" s="1"/>
    </row>
    <row r="170" spans="1:46" s="18" customFormat="1" x14ac:dyDescent="0.2">
      <c r="A170" s="97"/>
      <c r="B170" s="97"/>
      <c r="C170" s="97"/>
      <c r="D170" s="97"/>
      <c r="E170" s="97"/>
      <c r="F170" s="97"/>
      <c r="G170" s="1"/>
      <c r="H170" s="1"/>
      <c r="I170" s="1"/>
      <c r="J170" s="2"/>
      <c r="K170" s="1"/>
      <c r="L170" s="3"/>
      <c r="M170" s="1"/>
      <c r="AP170" s="1"/>
      <c r="AQ170" s="1"/>
      <c r="AR170" s="1"/>
      <c r="AS170" s="1"/>
      <c r="AT170" s="1"/>
    </row>
    <row r="171" spans="1:46" s="18" customFormat="1" x14ac:dyDescent="0.2">
      <c r="A171" s="97"/>
      <c r="B171" s="97"/>
      <c r="C171" s="97"/>
      <c r="D171" s="97"/>
      <c r="E171" s="97"/>
      <c r="F171" s="97"/>
      <c r="G171" s="1"/>
      <c r="H171" s="1"/>
      <c r="I171" s="1"/>
      <c r="J171" s="2"/>
      <c r="K171" s="1"/>
      <c r="L171" s="3"/>
      <c r="M171" s="1"/>
      <c r="AP171" s="1"/>
      <c r="AQ171" s="1"/>
      <c r="AR171" s="1"/>
      <c r="AS171" s="1"/>
      <c r="AT171" s="1"/>
    </row>
    <row r="172" spans="1:46" s="18" customFormat="1" x14ac:dyDescent="0.2">
      <c r="A172" s="97"/>
      <c r="B172" s="97"/>
      <c r="C172" s="97"/>
      <c r="D172" s="97"/>
      <c r="E172" s="97"/>
      <c r="F172" s="97"/>
      <c r="G172" s="1"/>
      <c r="H172" s="1"/>
      <c r="I172" s="1"/>
      <c r="J172" s="2"/>
      <c r="K172" s="1"/>
      <c r="L172" s="3"/>
      <c r="M172" s="1"/>
      <c r="AP172" s="1"/>
      <c r="AQ172" s="1"/>
      <c r="AR172" s="1"/>
      <c r="AS172" s="1"/>
      <c r="AT172" s="1"/>
    </row>
    <row r="173" spans="1:46" s="18" customFormat="1" x14ac:dyDescent="0.2">
      <c r="A173" s="97"/>
      <c r="B173" s="97"/>
      <c r="C173" s="97"/>
      <c r="D173" s="97"/>
      <c r="E173" s="97"/>
      <c r="F173" s="97"/>
      <c r="G173" s="1"/>
      <c r="H173" s="1"/>
      <c r="I173" s="1"/>
      <c r="J173" s="2"/>
      <c r="K173" s="1"/>
      <c r="L173" s="3"/>
      <c r="M173" s="1"/>
      <c r="AP173" s="1"/>
      <c r="AQ173" s="1"/>
      <c r="AR173" s="1"/>
      <c r="AS173" s="1"/>
      <c r="AT173" s="1"/>
    </row>
    <row r="174" spans="1:46" s="18" customFormat="1" x14ac:dyDescent="0.2">
      <c r="A174" s="97"/>
      <c r="B174" s="97"/>
      <c r="C174" s="97"/>
      <c r="D174" s="97"/>
      <c r="E174" s="97"/>
      <c r="F174" s="97"/>
      <c r="G174" s="1"/>
      <c r="H174" s="1"/>
      <c r="I174" s="1"/>
      <c r="J174" s="2"/>
      <c r="K174" s="1"/>
      <c r="L174" s="3"/>
      <c r="M174" s="1"/>
      <c r="AP174" s="1"/>
      <c r="AQ174" s="1"/>
      <c r="AR174" s="1"/>
      <c r="AS174" s="1"/>
      <c r="AT174" s="1"/>
    </row>
    <row r="175" spans="1:46" s="18" customFormat="1" x14ac:dyDescent="0.2">
      <c r="A175" s="97"/>
      <c r="B175" s="97"/>
      <c r="C175" s="97"/>
      <c r="D175" s="97"/>
      <c r="E175" s="97"/>
      <c r="F175" s="97"/>
      <c r="G175" s="1"/>
      <c r="H175" s="1"/>
      <c r="I175" s="1"/>
      <c r="J175" s="2"/>
      <c r="K175" s="1"/>
      <c r="L175" s="3"/>
      <c r="M175" s="1"/>
      <c r="AP175" s="1"/>
      <c r="AQ175" s="1"/>
      <c r="AR175" s="1"/>
      <c r="AS175" s="1"/>
      <c r="AT175" s="1"/>
    </row>
    <row r="176" spans="1:46" s="18" customFormat="1" x14ac:dyDescent="0.2">
      <c r="A176" s="97"/>
      <c r="B176" s="97"/>
      <c r="C176" s="97"/>
      <c r="D176" s="97"/>
      <c r="E176" s="97"/>
      <c r="F176" s="97"/>
      <c r="G176" s="1"/>
      <c r="H176" s="1"/>
      <c r="I176" s="1"/>
      <c r="J176" s="2"/>
      <c r="K176" s="1"/>
      <c r="L176" s="3"/>
      <c r="M176" s="1"/>
      <c r="AP176" s="1"/>
      <c r="AQ176" s="1"/>
      <c r="AR176" s="1"/>
      <c r="AS176" s="1"/>
      <c r="AT176" s="1"/>
    </row>
    <row r="177" spans="1:46" s="18" customFormat="1" x14ac:dyDescent="0.2">
      <c r="A177" s="97"/>
      <c r="B177" s="97"/>
      <c r="C177" s="97"/>
      <c r="D177" s="97"/>
      <c r="E177" s="97"/>
      <c r="F177" s="97"/>
      <c r="G177" s="1"/>
      <c r="H177" s="1"/>
      <c r="I177" s="1"/>
      <c r="J177" s="2"/>
      <c r="K177" s="1"/>
      <c r="L177" s="3"/>
      <c r="M177" s="1"/>
      <c r="AP177" s="1"/>
      <c r="AQ177" s="1"/>
      <c r="AR177" s="1"/>
      <c r="AS177" s="1"/>
      <c r="AT177" s="1"/>
    </row>
    <row r="178" spans="1:46" s="18" customFormat="1" x14ac:dyDescent="0.2">
      <c r="A178" s="97"/>
      <c r="B178" s="97"/>
      <c r="C178" s="97"/>
      <c r="D178" s="97"/>
      <c r="E178" s="97"/>
      <c r="F178" s="97"/>
      <c r="G178" s="1"/>
      <c r="H178" s="1"/>
      <c r="I178" s="1"/>
      <c r="J178" s="2"/>
      <c r="K178" s="1"/>
      <c r="L178" s="3"/>
      <c r="M178" s="1"/>
      <c r="AP178" s="1"/>
      <c r="AQ178" s="1"/>
      <c r="AR178" s="1"/>
      <c r="AS178" s="1"/>
      <c r="AT178" s="1"/>
    </row>
    <row r="179" spans="1:46" s="18" customFormat="1" x14ac:dyDescent="0.2">
      <c r="A179" s="97"/>
      <c r="B179" s="97"/>
      <c r="C179" s="97"/>
      <c r="D179" s="97"/>
      <c r="E179" s="97"/>
      <c r="F179" s="97"/>
      <c r="G179" s="1"/>
      <c r="H179" s="1"/>
      <c r="I179" s="1"/>
      <c r="J179" s="2"/>
      <c r="K179" s="1"/>
      <c r="L179" s="3"/>
      <c r="M179" s="1"/>
      <c r="AP179" s="1"/>
      <c r="AQ179" s="1"/>
      <c r="AR179" s="1"/>
      <c r="AS179" s="1"/>
      <c r="AT179" s="1"/>
    </row>
    <row r="180" spans="1:46" s="18" customFormat="1" x14ac:dyDescent="0.2">
      <c r="A180" s="97"/>
      <c r="B180" s="97"/>
      <c r="C180" s="97"/>
      <c r="D180" s="97"/>
      <c r="E180" s="97"/>
      <c r="F180" s="97"/>
      <c r="G180" s="1"/>
      <c r="H180" s="1"/>
      <c r="I180" s="1"/>
      <c r="J180" s="2"/>
      <c r="K180" s="1"/>
      <c r="L180" s="3"/>
      <c r="M180" s="1"/>
      <c r="AP180" s="1"/>
      <c r="AQ180" s="1"/>
      <c r="AR180" s="1"/>
      <c r="AS180" s="1"/>
      <c r="AT180" s="1"/>
    </row>
    <row r="181" spans="1:46" s="18" customFormat="1" x14ac:dyDescent="0.2">
      <c r="A181" s="97"/>
      <c r="B181" s="97"/>
      <c r="C181" s="97"/>
      <c r="D181" s="97"/>
      <c r="E181" s="97"/>
      <c r="F181" s="97"/>
      <c r="G181" s="1"/>
      <c r="H181" s="1"/>
      <c r="I181" s="1"/>
      <c r="J181" s="2"/>
      <c r="K181" s="1"/>
      <c r="L181" s="3"/>
      <c r="M181" s="1"/>
      <c r="AP181" s="1"/>
      <c r="AQ181" s="1"/>
      <c r="AR181" s="1"/>
      <c r="AS181" s="1"/>
      <c r="AT181" s="1"/>
    </row>
    <row r="182" spans="1:46" s="18" customFormat="1" x14ac:dyDescent="0.2">
      <c r="A182" s="97"/>
      <c r="B182" s="97"/>
      <c r="C182" s="97"/>
      <c r="D182" s="97"/>
      <c r="E182" s="97"/>
      <c r="F182" s="97"/>
      <c r="G182" s="1"/>
      <c r="H182" s="1"/>
      <c r="I182" s="1"/>
      <c r="J182" s="2"/>
      <c r="K182" s="1"/>
      <c r="L182" s="3"/>
      <c r="M182" s="1"/>
      <c r="AP182" s="1"/>
      <c r="AQ182" s="1"/>
      <c r="AR182" s="1"/>
      <c r="AS182" s="1"/>
      <c r="AT182" s="1"/>
    </row>
    <row r="183" spans="1:46" s="18" customFormat="1" x14ac:dyDescent="0.2">
      <c r="A183" s="97"/>
      <c r="B183" s="97"/>
      <c r="C183" s="97"/>
      <c r="D183" s="97"/>
      <c r="E183" s="97"/>
      <c r="F183" s="97"/>
      <c r="G183" s="1"/>
      <c r="H183" s="1"/>
      <c r="I183" s="1"/>
      <c r="J183" s="2"/>
      <c r="K183" s="1"/>
      <c r="L183" s="3"/>
      <c r="M183" s="1"/>
      <c r="AP183" s="1"/>
      <c r="AQ183" s="1"/>
      <c r="AR183" s="1"/>
      <c r="AS183" s="1"/>
      <c r="AT183" s="1"/>
    </row>
    <row r="184" spans="1:46" s="18" customFormat="1" x14ac:dyDescent="0.2">
      <c r="A184" s="97"/>
      <c r="B184" s="97"/>
      <c r="C184" s="97"/>
      <c r="D184" s="97"/>
      <c r="E184" s="97"/>
      <c r="F184" s="97"/>
      <c r="G184" s="1"/>
      <c r="H184" s="1"/>
      <c r="I184" s="1"/>
      <c r="J184" s="2"/>
      <c r="K184" s="1"/>
      <c r="L184" s="3"/>
      <c r="M184" s="1"/>
      <c r="AP184" s="1"/>
      <c r="AQ184" s="1"/>
      <c r="AR184" s="1"/>
      <c r="AS184" s="1"/>
      <c r="AT184" s="1"/>
    </row>
    <row r="185" spans="1:46" s="18" customFormat="1" x14ac:dyDescent="0.2">
      <c r="A185" s="97"/>
      <c r="B185" s="97"/>
      <c r="C185" s="97"/>
      <c r="D185" s="97"/>
      <c r="E185" s="97"/>
      <c r="F185" s="97"/>
      <c r="G185" s="1"/>
      <c r="H185" s="1"/>
      <c r="I185" s="1"/>
      <c r="J185" s="2"/>
      <c r="K185" s="1"/>
      <c r="L185" s="3"/>
      <c r="M185" s="1"/>
      <c r="AP185" s="1"/>
      <c r="AQ185" s="1"/>
      <c r="AR185" s="1"/>
      <c r="AS185" s="1"/>
      <c r="AT185" s="1"/>
    </row>
    <row r="186" spans="1:46" s="18" customFormat="1" x14ac:dyDescent="0.2">
      <c r="A186" s="97"/>
      <c r="B186" s="97"/>
      <c r="C186" s="97"/>
      <c r="D186" s="97"/>
      <c r="E186" s="97"/>
      <c r="F186" s="97"/>
      <c r="G186" s="1"/>
      <c r="H186" s="1"/>
      <c r="I186" s="1"/>
      <c r="J186" s="2"/>
      <c r="K186" s="1"/>
      <c r="L186" s="3"/>
      <c r="M186" s="1"/>
      <c r="AP186" s="1"/>
      <c r="AQ186" s="1"/>
      <c r="AR186" s="1"/>
      <c r="AS186" s="1"/>
      <c r="AT186" s="1"/>
    </row>
    <row r="187" spans="1:46" s="18" customFormat="1" x14ac:dyDescent="0.2">
      <c r="A187" s="97"/>
      <c r="B187" s="97"/>
      <c r="C187" s="97"/>
      <c r="D187" s="97"/>
      <c r="E187" s="97"/>
      <c r="F187" s="97"/>
      <c r="G187" s="1"/>
      <c r="H187" s="1"/>
      <c r="I187" s="1"/>
      <c r="J187" s="2"/>
      <c r="K187" s="1"/>
      <c r="L187" s="3"/>
      <c r="M187" s="1"/>
      <c r="AP187" s="1"/>
      <c r="AQ187" s="1"/>
      <c r="AR187" s="1"/>
      <c r="AS187" s="1"/>
      <c r="AT187" s="1"/>
    </row>
    <row r="188" spans="1:46" s="18" customFormat="1" x14ac:dyDescent="0.2">
      <c r="A188" s="97"/>
      <c r="B188" s="97"/>
      <c r="C188" s="97"/>
      <c r="D188" s="97"/>
      <c r="E188" s="97"/>
      <c r="F188" s="97"/>
      <c r="G188" s="1"/>
      <c r="H188" s="1"/>
      <c r="I188" s="1"/>
      <c r="J188" s="2"/>
      <c r="K188" s="1"/>
      <c r="L188" s="3"/>
      <c r="M188" s="1"/>
      <c r="AP188" s="1"/>
      <c r="AQ188" s="1"/>
      <c r="AR188" s="1"/>
      <c r="AS188" s="1"/>
      <c r="AT188" s="1"/>
    </row>
    <row r="189" spans="1:46" s="18" customFormat="1" x14ac:dyDescent="0.2">
      <c r="A189" s="97"/>
      <c r="B189" s="97"/>
      <c r="C189" s="97"/>
      <c r="D189" s="97"/>
      <c r="E189" s="97"/>
      <c r="F189" s="97"/>
      <c r="G189" s="1"/>
      <c r="H189" s="1"/>
      <c r="I189" s="1"/>
      <c r="J189" s="2"/>
      <c r="K189" s="1"/>
      <c r="L189" s="3"/>
      <c r="M189" s="1"/>
      <c r="AP189" s="1"/>
      <c r="AQ189" s="1"/>
      <c r="AR189" s="1"/>
      <c r="AS189" s="1"/>
      <c r="AT189" s="1"/>
    </row>
    <row r="190" spans="1:46" s="18" customFormat="1" x14ac:dyDescent="0.2">
      <c r="A190" s="97"/>
      <c r="B190" s="97"/>
      <c r="C190" s="97"/>
      <c r="D190" s="97"/>
      <c r="E190" s="97"/>
      <c r="F190" s="97"/>
      <c r="G190" s="1"/>
      <c r="H190" s="1"/>
      <c r="I190" s="1"/>
      <c r="J190" s="2"/>
      <c r="K190" s="1"/>
      <c r="L190" s="3"/>
      <c r="M190" s="1"/>
      <c r="AP190" s="1"/>
      <c r="AQ190" s="1"/>
      <c r="AR190" s="1"/>
      <c r="AS190" s="1"/>
      <c r="AT190" s="1"/>
    </row>
    <row r="191" spans="1:46" s="18" customFormat="1" x14ac:dyDescent="0.2">
      <c r="A191" s="97"/>
      <c r="B191" s="97"/>
      <c r="C191" s="97"/>
      <c r="D191" s="97"/>
      <c r="E191" s="97"/>
      <c r="F191" s="97"/>
      <c r="G191" s="1"/>
      <c r="H191" s="1"/>
      <c r="I191" s="1"/>
      <c r="J191" s="2"/>
      <c r="K191" s="1"/>
      <c r="L191" s="3"/>
      <c r="M191" s="1"/>
      <c r="AP191" s="1"/>
      <c r="AQ191" s="1"/>
      <c r="AR191" s="1"/>
      <c r="AS191" s="1"/>
      <c r="AT191" s="1"/>
    </row>
    <row r="192" spans="1:46" s="18" customFormat="1" x14ac:dyDescent="0.2">
      <c r="A192" s="97"/>
      <c r="B192" s="97"/>
      <c r="C192" s="97"/>
      <c r="D192" s="97"/>
      <c r="E192" s="97"/>
      <c r="F192" s="97"/>
      <c r="G192" s="1"/>
      <c r="H192" s="1"/>
      <c r="I192" s="1"/>
      <c r="J192" s="2"/>
      <c r="K192" s="1"/>
      <c r="L192" s="3"/>
      <c r="M192" s="1"/>
      <c r="AP192" s="1"/>
      <c r="AQ192" s="1"/>
      <c r="AR192" s="1"/>
      <c r="AS192" s="1"/>
      <c r="AT192" s="1"/>
    </row>
    <row r="193" spans="1:46" s="18" customFormat="1" x14ac:dyDescent="0.2">
      <c r="A193" s="97"/>
      <c r="B193" s="97"/>
      <c r="C193" s="97"/>
      <c r="D193" s="97"/>
      <c r="E193" s="97"/>
      <c r="F193" s="97"/>
      <c r="G193" s="1"/>
      <c r="H193" s="1"/>
      <c r="I193" s="1"/>
      <c r="J193" s="2"/>
      <c r="K193" s="1"/>
      <c r="L193" s="3"/>
      <c r="M193" s="1"/>
      <c r="AP193" s="1"/>
      <c r="AQ193" s="1"/>
      <c r="AR193" s="1"/>
      <c r="AS193" s="1"/>
      <c r="AT193" s="1"/>
    </row>
    <row r="194" spans="1:46" s="18" customFormat="1" x14ac:dyDescent="0.2">
      <c r="A194" s="97"/>
      <c r="B194" s="97"/>
      <c r="C194" s="97"/>
      <c r="D194" s="97"/>
      <c r="E194" s="97"/>
      <c r="F194" s="97"/>
      <c r="G194" s="1"/>
      <c r="H194" s="1"/>
      <c r="I194" s="1"/>
      <c r="J194" s="2"/>
      <c r="K194" s="1"/>
      <c r="L194" s="3"/>
      <c r="M194" s="1"/>
      <c r="AP194" s="1"/>
      <c r="AQ194" s="1"/>
      <c r="AR194" s="1"/>
      <c r="AS194" s="1"/>
      <c r="AT194" s="1"/>
    </row>
    <row r="195" spans="1:46" s="18" customFormat="1" x14ac:dyDescent="0.2">
      <c r="A195" s="97"/>
      <c r="B195" s="97"/>
      <c r="C195" s="97"/>
      <c r="D195" s="97"/>
      <c r="E195" s="97"/>
      <c r="F195" s="97"/>
      <c r="G195" s="1"/>
      <c r="H195" s="1"/>
      <c r="I195" s="1"/>
      <c r="J195" s="2"/>
      <c r="K195" s="1"/>
      <c r="L195" s="3"/>
      <c r="M195" s="1"/>
      <c r="AP195" s="1"/>
      <c r="AQ195" s="1"/>
      <c r="AR195" s="1"/>
      <c r="AS195" s="1"/>
      <c r="AT195" s="1"/>
    </row>
    <row r="196" spans="1:46" s="18" customFormat="1" x14ac:dyDescent="0.2">
      <c r="A196" s="97"/>
      <c r="B196" s="97"/>
      <c r="C196" s="97"/>
      <c r="D196" s="97"/>
      <c r="E196" s="97"/>
      <c r="F196" s="97"/>
      <c r="G196" s="1"/>
      <c r="H196" s="1"/>
      <c r="I196" s="1"/>
      <c r="J196" s="2"/>
      <c r="K196" s="1"/>
      <c r="L196" s="3"/>
      <c r="M196" s="1"/>
      <c r="AP196" s="1"/>
      <c r="AQ196" s="1"/>
      <c r="AR196" s="1"/>
      <c r="AS196" s="1"/>
      <c r="AT196" s="1"/>
    </row>
    <row r="197" spans="1:46" s="18" customFormat="1" x14ac:dyDescent="0.2">
      <c r="A197" s="97"/>
      <c r="B197" s="97"/>
      <c r="C197" s="97"/>
      <c r="D197" s="97"/>
      <c r="E197" s="97"/>
      <c r="F197" s="97"/>
      <c r="G197" s="1"/>
      <c r="H197" s="1"/>
      <c r="I197" s="1"/>
      <c r="J197" s="2"/>
      <c r="K197" s="1"/>
      <c r="L197" s="3"/>
      <c r="M197" s="1"/>
      <c r="AP197" s="1"/>
      <c r="AQ197" s="1"/>
      <c r="AR197" s="1"/>
      <c r="AS197" s="1"/>
      <c r="AT197" s="1"/>
    </row>
    <row r="198" spans="1:46" s="18" customFormat="1" x14ac:dyDescent="0.2">
      <c r="A198" s="97"/>
      <c r="B198" s="97"/>
      <c r="C198" s="97"/>
      <c r="D198" s="97"/>
      <c r="E198" s="97"/>
      <c r="F198" s="97"/>
      <c r="G198" s="1"/>
      <c r="H198" s="1"/>
      <c r="I198" s="1"/>
      <c r="J198" s="2"/>
      <c r="K198" s="1"/>
      <c r="L198" s="3"/>
      <c r="M198" s="1"/>
      <c r="AP198" s="1"/>
      <c r="AQ198" s="1"/>
      <c r="AR198" s="1"/>
      <c r="AS198" s="1"/>
      <c r="AT198" s="1"/>
    </row>
    <row r="199" spans="1:46" s="18" customFormat="1" x14ac:dyDescent="0.2">
      <c r="A199" s="97"/>
      <c r="B199" s="97"/>
      <c r="C199" s="97"/>
      <c r="D199" s="97"/>
      <c r="E199" s="97"/>
      <c r="F199" s="97"/>
      <c r="G199" s="1"/>
      <c r="H199" s="1"/>
      <c r="I199" s="1"/>
      <c r="J199" s="2"/>
      <c r="K199" s="1"/>
      <c r="L199" s="3"/>
      <c r="M199" s="1"/>
      <c r="AP199" s="1"/>
      <c r="AQ199" s="1"/>
      <c r="AR199" s="1"/>
      <c r="AS199" s="1"/>
      <c r="AT199" s="1"/>
    </row>
    <row r="200" spans="1:46" s="18" customFormat="1" x14ac:dyDescent="0.2">
      <c r="A200" s="97"/>
      <c r="B200" s="97"/>
      <c r="C200" s="97"/>
      <c r="D200" s="97"/>
      <c r="E200" s="97"/>
      <c r="F200" s="97"/>
      <c r="G200" s="1"/>
      <c r="H200" s="1"/>
      <c r="I200" s="1"/>
      <c r="J200" s="2"/>
      <c r="K200" s="1"/>
      <c r="L200" s="3"/>
      <c r="M200" s="1"/>
      <c r="AP200" s="1"/>
      <c r="AQ200" s="1"/>
      <c r="AR200" s="1"/>
      <c r="AS200" s="1"/>
      <c r="AT200" s="1"/>
    </row>
    <row r="201" spans="1:46" s="18" customFormat="1" x14ac:dyDescent="0.2">
      <c r="A201" s="97"/>
      <c r="B201" s="97"/>
      <c r="C201" s="97"/>
      <c r="D201" s="97"/>
      <c r="E201" s="97"/>
      <c r="F201" s="97"/>
      <c r="G201" s="1"/>
      <c r="H201" s="1"/>
      <c r="I201" s="1"/>
      <c r="J201" s="2"/>
      <c r="K201" s="1"/>
      <c r="L201" s="3"/>
      <c r="M201" s="1"/>
      <c r="AP201" s="1"/>
      <c r="AQ201" s="1"/>
      <c r="AR201" s="1"/>
      <c r="AS201" s="1"/>
      <c r="AT201" s="1"/>
    </row>
    <row r="202" spans="1:46" s="18" customFormat="1" x14ac:dyDescent="0.2">
      <c r="A202" s="97"/>
      <c r="B202" s="97"/>
      <c r="C202" s="97"/>
      <c r="D202" s="97"/>
      <c r="E202" s="97"/>
      <c r="F202" s="97"/>
      <c r="G202" s="1"/>
      <c r="H202" s="1"/>
      <c r="I202" s="1"/>
      <c r="J202" s="2"/>
      <c r="K202" s="1"/>
      <c r="L202" s="3"/>
      <c r="M202" s="1"/>
      <c r="AP202" s="1"/>
      <c r="AQ202" s="1"/>
      <c r="AR202" s="1"/>
      <c r="AS202" s="1"/>
      <c r="AT202" s="1"/>
    </row>
    <row r="203" spans="1:46" s="18" customFormat="1" x14ac:dyDescent="0.2">
      <c r="A203" s="97"/>
      <c r="B203" s="97"/>
      <c r="C203" s="97"/>
      <c r="D203" s="97"/>
      <c r="E203" s="97"/>
      <c r="F203" s="97"/>
      <c r="G203" s="1"/>
      <c r="H203" s="1"/>
      <c r="I203" s="1"/>
      <c r="J203" s="2"/>
      <c r="K203" s="1"/>
      <c r="L203" s="3"/>
      <c r="M203" s="1"/>
      <c r="AP203" s="1"/>
      <c r="AQ203" s="1"/>
      <c r="AR203" s="1"/>
      <c r="AS203" s="1"/>
      <c r="AT203" s="1"/>
    </row>
    <row r="204" spans="1:46" s="18" customFormat="1" x14ac:dyDescent="0.2">
      <c r="A204" s="97"/>
      <c r="B204" s="97"/>
      <c r="C204" s="97"/>
      <c r="D204" s="97"/>
      <c r="E204" s="97"/>
      <c r="F204" s="97"/>
      <c r="G204" s="1"/>
      <c r="H204" s="1"/>
      <c r="I204" s="1"/>
      <c r="J204" s="2"/>
      <c r="K204" s="1"/>
      <c r="L204" s="3"/>
      <c r="M204" s="1"/>
      <c r="AP204" s="1"/>
      <c r="AQ204" s="1"/>
      <c r="AR204" s="1"/>
      <c r="AS204" s="1"/>
      <c r="AT204" s="1"/>
    </row>
    <row r="205" spans="1:46" s="18" customFormat="1" x14ac:dyDescent="0.2">
      <c r="A205" s="97"/>
      <c r="B205" s="97"/>
      <c r="C205" s="97"/>
      <c r="D205" s="97"/>
      <c r="E205" s="97"/>
      <c r="F205" s="97"/>
      <c r="G205" s="1"/>
      <c r="H205" s="1"/>
      <c r="I205" s="1"/>
      <c r="J205" s="2"/>
      <c r="K205" s="1"/>
      <c r="L205" s="3"/>
      <c r="M205" s="1"/>
      <c r="AP205" s="1"/>
      <c r="AQ205" s="1"/>
      <c r="AR205" s="1"/>
      <c r="AS205" s="1"/>
      <c r="AT205" s="1"/>
    </row>
    <row r="206" spans="1:46" s="18" customFormat="1" x14ac:dyDescent="0.2">
      <c r="A206" s="97"/>
      <c r="B206" s="97"/>
      <c r="C206" s="97"/>
      <c r="D206" s="97"/>
      <c r="E206" s="97"/>
      <c r="F206" s="97"/>
      <c r="G206" s="1"/>
      <c r="H206" s="1"/>
      <c r="I206" s="1"/>
      <c r="J206" s="2"/>
      <c r="K206" s="1"/>
      <c r="L206" s="3"/>
      <c r="M206" s="1"/>
      <c r="AP206" s="1"/>
      <c r="AQ206" s="1"/>
      <c r="AR206" s="1"/>
      <c r="AS206" s="1"/>
      <c r="AT206" s="1"/>
    </row>
    <row r="207" spans="1:46" s="18" customFormat="1" x14ac:dyDescent="0.2">
      <c r="A207" s="97"/>
      <c r="B207" s="97"/>
      <c r="C207" s="97"/>
      <c r="D207" s="97"/>
      <c r="E207" s="97"/>
      <c r="F207" s="97"/>
      <c r="G207" s="1"/>
      <c r="H207" s="1"/>
      <c r="I207" s="1"/>
      <c r="J207" s="2"/>
      <c r="K207" s="1"/>
      <c r="L207" s="3"/>
      <c r="M207" s="1"/>
      <c r="AP207" s="1"/>
      <c r="AQ207" s="1"/>
      <c r="AR207" s="1"/>
      <c r="AS207" s="1"/>
      <c r="AT207" s="1"/>
    </row>
    <row r="208" spans="1:46" s="18" customFormat="1" x14ac:dyDescent="0.2">
      <c r="A208" s="97"/>
      <c r="B208" s="97"/>
      <c r="C208" s="97"/>
      <c r="D208" s="97"/>
      <c r="E208" s="97"/>
      <c r="F208" s="97"/>
      <c r="G208" s="1"/>
      <c r="H208" s="1"/>
      <c r="I208" s="1"/>
      <c r="J208" s="2"/>
      <c r="K208" s="1"/>
      <c r="L208" s="3"/>
      <c r="M208" s="1"/>
      <c r="AP208" s="1"/>
      <c r="AQ208" s="1"/>
      <c r="AR208" s="1"/>
      <c r="AS208" s="1"/>
      <c r="AT208" s="1"/>
    </row>
    <row r="209" spans="1:46" s="18" customFormat="1" x14ac:dyDescent="0.2">
      <c r="A209" s="97"/>
      <c r="B209" s="97"/>
      <c r="C209" s="97"/>
      <c r="D209" s="97"/>
      <c r="E209" s="97"/>
      <c r="F209" s="97"/>
      <c r="G209" s="1"/>
      <c r="H209" s="1"/>
      <c r="I209" s="1"/>
      <c r="J209" s="2"/>
      <c r="K209" s="1"/>
      <c r="L209" s="3"/>
      <c r="M209" s="1"/>
      <c r="AP209" s="1"/>
      <c r="AQ209" s="1"/>
      <c r="AR209" s="1"/>
      <c r="AS209" s="1"/>
      <c r="AT209" s="1"/>
    </row>
    <row r="210" spans="1:46" s="18" customFormat="1" x14ac:dyDescent="0.2">
      <c r="A210" s="97"/>
      <c r="B210" s="97"/>
      <c r="C210" s="97"/>
      <c r="D210" s="97"/>
      <c r="E210" s="97"/>
      <c r="F210" s="97"/>
      <c r="G210" s="1"/>
      <c r="H210" s="1"/>
      <c r="I210" s="1"/>
      <c r="J210" s="2"/>
      <c r="K210" s="1"/>
      <c r="L210" s="3"/>
      <c r="M210" s="1"/>
      <c r="AP210" s="1"/>
      <c r="AQ210" s="1"/>
      <c r="AR210" s="1"/>
      <c r="AS210" s="1"/>
      <c r="AT210" s="1"/>
    </row>
    <row r="211" spans="1:46" s="18" customFormat="1" x14ac:dyDescent="0.2">
      <c r="A211" s="97"/>
      <c r="B211" s="97"/>
      <c r="C211" s="97"/>
      <c r="D211" s="97"/>
      <c r="E211" s="97"/>
      <c r="F211" s="97"/>
      <c r="G211" s="1"/>
      <c r="H211" s="1"/>
      <c r="I211" s="1"/>
      <c r="J211" s="2"/>
      <c r="K211" s="1"/>
      <c r="L211" s="3"/>
      <c r="M211" s="1"/>
      <c r="AP211" s="1"/>
      <c r="AQ211" s="1"/>
      <c r="AR211" s="1"/>
      <c r="AS211" s="1"/>
      <c r="AT211" s="1"/>
    </row>
    <row r="212" spans="1:46" s="18" customFormat="1" x14ac:dyDescent="0.2">
      <c r="A212" s="97"/>
      <c r="B212" s="97"/>
      <c r="C212" s="97"/>
      <c r="D212" s="97"/>
      <c r="E212" s="97"/>
      <c r="F212" s="97"/>
      <c r="G212" s="1"/>
      <c r="H212" s="1"/>
      <c r="I212" s="1"/>
      <c r="J212" s="2"/>
      <c r="K212" s="1"/>
      <c r="L212" s="3"/>
      <c r="M212" s="1"/>
      <c r="AP212" s="1"/>
      <c r="AQ212" s="1"/>
      <c r="AR212" s="1"/>
      <c r="AS212" s="1"/>
      <c r="AT212" s="1"/>
    </row>
    <row r="213" spans="1:46" s="18" customFormat="1" x14ac:dyDescent="0.2">
      <c r="A213" s="97"/>
      <c r="B213" s="97"/>
      <c r="C213" s="97"/>
      <c r="D213" s="97"/>
      <c r="E213" s="97"/>
      <c r="F213" s="97"/>
      <c r="G213" s="1"/>
      <c r="H213" s="1"/>
      <c r="I213" s="1"/>
      <c r="J213" s="2"/>
      <c r="K213" s="1"/>
      <c r="L213" s="3"/>
      <c r="M213" s="1"/>
      <c r="AP213" s="1"/>
      <c r="AQ213" s="1"/>
      <c r="AR213" s="1"/>
      <c r="AS213" s="1"/>
      <c r="AT213" s="1"/>
    </row>
    <row r="214" spans="1:46" s="18" customFormat="1" x14ac:dyDescent="0.2">
      <c r="A214" s="97"/>
      <c r="B214" s="97"/>
      <c r="C214" s="97"/>
      <c r="D214" s="97"/>
      <c r="E214" s="97"/>
      <c r="F214" s="97"/>
      <c r="G214" s="1"/>
      <c r="H214" s="1"/>
      <c r="I214" s="1"/>
      <c r="J214" s="2"/>
      <c r="K214" s="1"/>
      <c r="L214" s="3"/>
      <c r="M214" s="1"/>
      <c r="AP214" s="1"/>
      <c r="AQ214" s="1"/>
      <c r="AR214" s="1"/>
      <c r="AS214" s="1"/>
      <c r="AT214" s="1"/>
    </row>
    <row r="215" spans="1:46" s="18" customFormat="1" x14ac:dyDescent="0.2">
      <c r="A215" s="97"/>
      <c r="B215" s="97"/>
      <c r="C215" s="97"/>
      <c r="D215" s="97"/>
      <c r="E215" s="97"/>
      <c r="F215" s="97"/>
      <c r="G215" s="1"/>
      <c r="H215" s="1"/>
      <c r="I215" s="1"/>
      <c r="J215" s="2"/>
      <c r="K215" s="1"/>
      <c r="L215" s="3"/>
      <c r="M215" s="1"/>
      <c r="AP215" s="1"/>
      <c r="AQ215" s="1"/>
      <c r="AR215" s="1"/>
      <c r="AS215" s="1"/>
      <c r="AT215" s="1"/>
    </row>
    <row r="216" spans="1:46" s="18" customFormat="1" x14ac:dyDescent="0.2">
      <c r="A216" s="97"/>
      <c r="B216" s="97"/>
      <c r="C216" s="97"/>
      <c r="D216" s="97"/>
      <c r="E216" s="97"/>
      <c r="F216" s="97"/>
      <c r="G216" s="1"/>
      <c r="H216" s="1"/>
      <c r="I216" s="1"/>
      <c r="J216" s="2"/>
      <c r="K216" s="1"/>
      <c r="L216" s="3"/>
      <c r="M216" s="1"/>
      <c r="AP216" s="1"/>
      <c r="AQ216" s="1"/>
      <c r="AR216" s="1"/>
      <c r="AS216" s="1"/>
      <c r="AT216" s="1"/>
    </row>
    <row r="217" spans="1:46" s="18" customFormat="1" x14ac:dyDescent="0.2">
      <c r="A217" s="97"/>
      <c r="B217" s="97"/>
      <c r="C217" s="97"/>
      <c r="D217" s="97"/>
      <c r="E217" s="97"/>
      <c r="F217" s="97"/>
      <c r="G217" s="1"/>
      <c r="H217" s="1"/>
      <c r="I217" s="1"/>
      <c r="J217" s="2"/>
      <c r="K217" s="1"/>
      <c r="L217" s="3"/>
      <c r="M217" s="1"/>
      <c r="AP217" s="1"/>
      <c r="AQ217" s="1"/>
      <c r="AR217" s="1"/>
      <c r="AS217" s="1"/>
      <c r="AT217" s="1"/>
    </row>
    <row r="218" spans="1:46" s="18" customFormat="1" x14ac:dyDescent="0.2">
      <c r="A218" s="97"/>
      <c r="B218" s="97"/>
      <c r="C218" s="97"/>
      <c r="D218" s="97"/>
      <c r="E218" s="97"/>
      <c r="F218" s="97"/>
      <c r="G218" s="1"/>
      <c r="H218" s="1"/>
      <c r="I218" s="1"/>
      <c r="J218" s="2"/>
      <c r="K218" s="1"/>
      <c r="L218" s="3"/>
      <c r="M218" s="1"/>
      <c r="AP218" s="1"/>
      <c r="AQ218" s="1"/>
      <c r="AR218" s="1"/>
      <c r="AS218" s="1"/>
      <c r="AT218" s="1"/>
    </row>
    <row r="219" spans="1:46" s="18" customFormat="1" x14ac:dyDescent="0.2">
      <c r="A219" s="97"/>
      <c r="B219" s="97"/>
      <c r="C219" s="97"/>
      <c r="D219" s="97"/>
      <c r="E219" s="97"/>
      <c r="F219" s="97"/>
      <c r="G219" s="1"/>
      <c r="H219" s="1"/>
      <c r="I219" s="1"/>
      <c r="J219" s="2"/>
      <c r="K219" s="1"/>
      <c r="L219" s="3"/>
      <c r="M219" s="1"/>
      <c r="AP219" s="1"/>
      <c r="AQ219" s="1"/>
      <c r="AR219" s="1"/>
      <c r="AS219" s="1"/>
      <c r="AT219" s="1"/>
    </row>
    <row r="220" spans="1:46" s="18" customFormat="1" x14ac:dyDescent="0.2">
      <c r="A220" s="97"/>
      <c r="B220" s="97"/>
      <c r="C220" s="97"/>
      <c r="D220" s="97"/>
      <c r="E220" s="97"/>
      <c r="F220" s="97"/>
      <c r="G220" s="1"/>
      <c r="H220" s="1"/>
      <c r="I220" s="1"/>
      <c r="J220" s="2"/>
      <c r="K220" s="1"/>
      <c r="L220" s="3"/>
      <c r="M220" s="1"/>
      <c r="AP220" s="1"/>
      <c r="AQ220" s="1"/>
      <c r="AR220" s="1"/>
      <c r="AS220" s="1"/>
      <c r="AT220" s="1"/>
    </row>
    <row r="221" spans="1:46" s="18" customFormat="1" x14ac:dyDescent="0.2">
      <c r="A221" s="97"/>
      <c r="B221" s="97"/>
      <c r="C221" s="97"/>
      <c r="D221" s="97"/>
      <c r="E221" s="97"/>
      <c r="F221" s="97"/>
      <c r="G221" s="1"/>
      <c r="H221" s="1"/>
      <c r="I221" s="1"/>
      <c r="J221" s="2"/>
      <c r="K221" s="1"/>
      <c r="L221" s="3"/>
      <c r="M221" s="1"/>
      <c r="AP221" s="1"/>
      <c r="AQ221" s="1"/>
      <c r="AR221" s="1"/>
      <c r="AS221" s="1"/>
      <c r="AT221" s="1"/>
    </row>
    <row r="222" spans="1:46" s="18" customFormat="1" x14ac:dyDescent="0.2">
      <c r="A222" s="97"/>
      <c r="B222" s="97"/>
      <c r="C222" s="97"/>
      <c r="D222" s="97"/>
      <c r="E222" s="97"/>
      <c r="F222" s="97"/>
      <c r="G222" s="1"/>
      <c r="H222" s="1"/>
      <c r="I222" s="1"/>
      <c r="J222" s="2"/>
      <c r="K222" s="1"/>
      <c r="L222" s="3"/>
      <c r="M222" s="1"/>
      <c r="AP222" s="1"/>
      <c r="AQ222" s="1"/>
      <c r="AR222" s="1"/>
      <c r="AS222" s="1"/>
      <c r="AT222" s="1"/>
    </row>
    <row r="223" spans="1:46" s="18" customFormat="1" x14ac:dyDescent="0.2">
      <c r="A223" s="97"/>
      <c r="B223" s="97"/>
      <c r="C223" s="97"/>
      <c r="D223" s="97"/>
      <c r="E223" s="97"/>
      <c r="F223" s="97"/>
      <c r="G223" s="1"/>
      <c r="H223" s="1"/>
      <c r="I223" s="1"/>
      <c r="J223" s="2"/>
      <c r="K223" s="1"/>
      <c r="L223" s="3"/>
      <c r="M223" s="1"/>
      <c r="AP223" s="1"/>
      <c r="AQ223" s="1"/>
      <c r="AR223" s="1"/>
      <c r="AS223" s="1"/>
      <c r="AT223" s="1"/>
    </row>
    <row r="224" spans="1:46" s="18" customFormat="1" x14ac:dyDescent="0.2">
      <c r="A224" s="97"/>
      <c r="B224" s="97"/>
      <c r="C224" s="97"/>
      <c r="D224" s="97"/>
      <c r="E224" s="97"/>
      <c r="F224" s="97"/>
      <c r="G224" s="1"/>
      <c r="H224" s="1"/>
      <c r="I224" s="1"/>
      <c r="J224" s="2"/>
      <c r="K224" s="1"/>
      <c r="L224" s="3"/>
      <c r="M224" s="1"/>
      <c r="AP224" s="1"/>
      <c r="AQ224" s="1"/>
      <c r="AR224" s="1"/>
      <c r="AS224" s="1"/>
      <c r="AT224" s="1"/>
    </row>
    <row r="225" spans="1:46" s="18" customFormat="1" x14ac:dyDescent="0.2">
      <c r="A225" s="97"/>
      <c r="B225" s="97"/>
      <c r="C225" s="97"/>
      <c r="D225" s="97"/>
      <c r="E225" s="97"/>
      <c r="F225" s="97"/>
      <c r="G225" s="1"/>
      <c r="H225" s="1"/>
      <c r="I225" s="1"/>
      <c r="J225" s="2"/>
      <c r="K225" s="1"/>
      <c r="L225" s="3"/>
      <c r="M225" s="1"/>
      <c r="AP225" s="1"/>
      <c r="AQ225" s="1"/>
      <c r="AR225" s="1"/>
      <c r="AS225" s="1"/>
      <c r="AT225" s="1"/>
    </row>
    <row r="226" spans="1:46" s="18" customFormat="1" x14ac:dyDescent="0.2">
      <c r="A226" s="97"/>
      <c r="B226" s="97"/>
      <c r="C226" s="97"/>
      <c r="D226" s="97"/>
      <c r="E226" s="97"/>
      <c r="F226" s="97"/>
      <c r="G226" s="1"/>
      <c r="H226" s="1"/>
      <c r="I226" s="1"/>
      <c r="J226" s="2"/>
      <c r="K226" s="1"/>
      <c r="L226" s="3"/>
      <c r="M226" s="1"/>
      <c r="AP226" s="1"/>
      <c r="AQ226" s="1"/>
      <c r="AR226" s="1"/>
      <c r="AS226" s="1"/>
      <c r="AT226" s="1"/>
    </row>
    <row r="227" spans="1:46" s="18" customFormat="1" x14ac:dyDescent="0.2">
      <c r="A227" s="97"/>
      <c r="B227" s="97"/>
      <c r="C227" s="97"/>
      <c r="D227" s="97"/>
      <c r="E227" s="97"/>
      <c r="F227" s="97"/>
      <c r="G227" s="1"/>
      <c r="H227" s="1"/>
      <c r="I227" s="1"/>
      <c r="J227" s="2"/>
      <c r="K227" s="1"/>
      <c r="L227" s="3"/>
      <c r="M227" s="1"/>
      <c r="AP227" s="1"/>
      <c r="AQ227" s="1"/>
      <c r="AR227" s="1"/>
      <c r="AS227" s="1"/>
      <c r="AT227" s="1"/>
    </row>
    <row r="228" spans="1:46" s="18" customFormat="1" x14ac:dyDescent="0.2">
      <c r="A228" s="97"/>
      <c r="B228" s="97"/>
      <c r="C228" s="97"/>
      <c r="D228" s="97"/>
      <c r="E228" s="97"/>
      <c r="F228" s="97"/>
      <c r="G228" s="1"/>
      <c r="H228" s="1"/>
      <c r="I228" s="1"/>
      <c r="J228" s="2"/>
      <c r="K228" s="1"/>
      <c r="L228" s="3"/>
      <c r="M228" s="1"/>
      <c r="AP228" s="1"/>
      <c r="AQ228" s="1"/>
      <c r="AR228" s="1"/>
      <c r="AS228" s="1"/>
      <c r="AT228" s="1"/>
    </row>
    <row r="229" spans="1:46" s="18" customFormat="1" x14ac:dyDescent="0.2">
      <c r="A229" s="97"/>
      <c r="B229" s="97"/>
      <c r="C229" s="97"/>
      <c r="D229" s="97"/>
      <c r="E229" s="97"/>
      <c r="F229" s="97"/>
      <c r="G229" s="1"/>
      <c r="H229" s="1"/>
      <c r="I229" s="1"/>
      <c r="J229" s="2"/>
      <c r="K229" s="1"/>
      <c r="L229" s="3"/>
      <c r="M229" s="1"/>
      <c r="AP229" s="1"/>
      <c r="AQ229" s="1"/>
      <c r="AR229" s="1"/>
      <c r="AS229" s="1"/>
      <c r="AT229" s="1"/>
    </row>
    <row r="230" spans="1:46" s="18" customFormat="1" x14ac:dyDescent="0.2">
      <c r="A230" s="97"/>
      <c r="B230" s="97"/>
      <c r="C230" s="97"/>
      <c r="D230" s="97"/>
      <c r="E230" s="97"/>
      <c r="F230" s="97"/>
      <c r="G230" s="1"/>
      <c r="H230" s="1"/>
      <c r="I230" s="1"/>
      <c r="J230" s="2"/>
      <c r="K230" s="1"/>
      <c r="L230" s="3"/>
      <c r="M230" s="1"/>
      <c r="AP230" s="1"/>
      <c r="AQ230" s="1"/>
      <c r="AR230" s="1"/>
      <c r="AS230" s="1"/>
      <c r="AT230" s="1"/>
    </row>
    <row r="231" spans="1:46" s="18" customFormat="1" x14ac:dyDescent="0.2">
      <c r="A231" s="97"/>
      <c r="B231" s="97"/>
      <c r="C231" s="97"/>
      <c r="D231" s="97"/>
      <c r="E231" s="97"/>
      <c r="F231" s="97"/>
      <c r="G231" s="1"/>
      <c r="H231" s="1"/>
      <c r="I231" s="1"/>
      <c r="J231" s="2"/>
      <c r="K231" s="1"/>
      <c r="L231" s="3"/>
      <c r="M231" s="1"/>
      <c r="AP231" s="1"/>
      <c r="AQ231" s="1"/>
      <c r="AR231" s="1"/>
      <c r="AS231" s="1"/>
      <c r="AT231" s="1"/>
    </row>
    <row r="232" spans="1:46" s="18" customFormat="1" x14ac:dyDescent="0.2">
      <c r="A232" s="97"/>
      <c r="B232" s="97"/>
      <c r="C232" s="97"/>
      <c r="D232" s="97"/>
      <c r="E232" s="97"/>
      <c r="F232" s="97"/>
      <c r="G232" s="1"/>
      <c r="H232" s="1"/>
      <c r="I232" s="1"/>
      <c r="J232" s="2"/>
      <c r="K232" s="1"/>
      <c r="L232" s="3"/>
      <c r="M232" s="1"/>
      <c r="N232" s="1"/>
      <c r="AP232" s="1"/>
      <c r="AQ232" s="1"/>
      <c r="AR232" s="1"/>
      <c r="AS232" s="1"/>
      <c r="AT232" s="1"/>
    </row>
    <row r="233" spans="1:46" s="18" customFormat="1" x14ac:dyDescent="0.2">
      <c r="A233" s="97"/>
      <c r="B233" s="97"/>
      <c r="C233" s="97"/>
      <c r="D233" s="97"/>
      <c r="E233" s="97"/>
      <c r="F233" s="97"/>
      <c r="G233" s="1"/>
      <c r="H233" s="1"/>
      <c r="I233" s="1"/>
      <c r="J233" s="2"/>
      <c r="K233" s="1"/>
      <c r="L233" s="3"/>
      <c r="M233" s="1"/>
      <c r="N233" s="1"/>
      <c r="AP233" s="1"/>
      <c r="AQ233" s="1"/>
      <c r="AR233" s="1"/>
      <c r="AS233" s="1"/>
      <c r="AT233" s="1"/>
    </row>
  </sheetData>
  <mergeCells count="1">
    <mergeCell ref="P3:R3"/>
  </mergeCells>
  <conditionalFormatting sqref="N44:O44 N47:AO47 S44:AO44 P21:R23 N31:R43 AE31:AO43 R39:AD39 R43:AD43">
    <cfRule type="cellIs" dxfId="430" priority="26" operator="lessThan">
      <formula>0</formula>
    </cfRule>
  </conditionalFormatting>
  <conditionalFormatting sqref="R44">
    <cfRule type="cellIs" dxfId="429" priority="25" operator="lessThan">
      <formula>0</formula>
    </cfRule>
  </conditionalFormatting>
  <conditionalFormatting sqref="P44">
    <cfRule type="cellIs" dxfId="428" priority="23" operator="lessThan">
      <formula>0</formula>
    </cfRule>
  </conditionalFormatting>
  <conditionalFormatting sqref="Q44">
    <cfRule type="cellIs" dxfId="427" priority="24" operator="lessThan">
      <formula>0</formula>
    </cfRule>
  </conditionalFormatting>
  <conditionalFormatting sqref="N45:AO45">
    <cfRule type="cellIs" dxfId="426" priority="22" operator="lessThan">
      <formula>0</formula>
    </cfRule>
  </conditionalFormatting>
  <conditionalFormatting sqref="P14:R16 R15:AD15 P16:AD16">
    <cfRule type="cellIs" dxfId="425" priority="21" operator="lessThan">
      <formula>0</formula>
    </cfRule>
  </conditionalFormatting>
  <conditionalFormatting sqref="P29:R29">
    <cfRule type="cellIs" dxfId="424" priority="20" operator="lessThan">
      <formula>0</formula>
    </cfRule>
  </conditionalFormatting>
  <conditionalFormatting sqref="P14:R16 R15:AD15 P16:AD16">
    <cfRule type="cellIs" dxfId="423" priority="19" operator="lessThan">
      <formula>0</formula>
    </cfRule>
  </conditionalFormatting>
  <conditionalFormatting sqref="P17:R19">
    <cfRule type="cellIs" dxfId="422" priority="18" operator="lessThan">
      <formula>0</formula>
    </cfRule>
  </conditionalFormatting>
  <conditionalFormatting sqref="P17:R19">
    <cfRule type="cellIs" dxfId="421" priority="17" operator="lessThan">
      <formula>0</formula>
    </cfRule>
  </conditionalFormatting>
  <conditionalFormatting sqref="Q15:AD15">
    <cfRule type="cellIs" dxfId="420" priority="16" operator="lessThan">
      <formula>0</formula>
    </cfRule>
  </conditionalFormatting>
  <conditionalFormatting sqref="P26:R28">
    <cfRule type="cellIs" dxfId="419" priority="15" operator="lessThan">
      <formula>0</formula>
    </cfRule>
  </conditionalFormatting>
  <conditionalFormatting sqref="P26:R28">
    <cfRule type="cellIs" dxfId="418" priority="14" operator="lessThan">
      <formula>0</formula>
    </cfRule>
  </conditionalFormatting>
  <conditionalFormatting sqref="S23:AD23 T21:AD22 S31:AD43">
    <cfRule type="cellIs" dxfId="417" priority="13" operator="lessThan">
      <formula>0</formula>
    </cfRule>
  </conditionalFormatting>
  <conditionalFormatting sqref="S14:AD16">
    <cfRule type="cellIs" dxfId="416" priority="12" operator="lessThan">
      <formula>0</formula>
    </cfRule>
  </conditionalFormatting>
  <conditionalFormatting sqref="S29:AD29">
    <cfRule type="cellIs" dxfId="415" priority="11" operator="lessThan">
      <formula>0</formula>
    </cfRule>
  </conditionalFormatting>
  <conditionalFormatting sqref="S14:AD16">
    <cfRule type="cellIs" dxfId="414" priority="10" operator="lessThan">
      <formula>0</formula>
    </cfRule>
  </conditionalFormatting>
  <conditionalFormatting sqref="S17:AD19 P17:AD17">
    <cfRule type="cellIs" dxfId="413" priority="9" operator="lessThan">
      <formula>0</formula>
    </cfRule>
  </conditionalFormatting>
  <conditionalFormatting sqref="S17:AD19 P17:AD17">
    <cfRule type="cellIs" dxfId="412" priority="8" operator="lessThan">
      <formula>0</formula>
    </cfRule>
  </conditionalFormatting>
  <conditionalFormatting sqref="S15:AD15">
    <cfRule type="cellIs" dxfId="411" priority="7" operator="lessThan">
      <formula>0</formula>
    </cfRule>
  </conditionalFormatting>
  <conditionalFormatting sqref="S26:AD28">
    <cfRule type="cellIs" dxfId="410" priority="6" operator="lessThan">
      <formula>0</formula>
    </cfRule>
  </conditionalFormatting>
  <conditionalFormatting sqref="S26:AD28">
    <cfRule type="cellIs" dxfId="409" priority="5" operator="lessThan">
      <formula>0</formula>
    </cfRule>
  </conditionalFormatting>
  <conditionalFormatting sqref="S21:AD21">
    <cfRule type="cellIs" dxfId="408" priority="4" operator="lessThan">
      <formula>0</formula>
    </cfRule>
  </conditionalFormatting>
  <conditionalFormatting sqref="S21:AD21">
    <cfRule type="cellIs" dxfId="407" priority="3" operator="lessThan">
      <formula>0</formula>
    </cfRule>
  </conditionalFormatting>
  <conditionalFormatting sqref="S22:AD22">
    <cfRule type="cellIs" dxfId="406" priority="2" operator="lessThan">
      <formula>0</formula>
    </cfRule>
  </conditionalFormatting>
  <conditionalFormatting sqref="S22:AD22">
    <cfRule type="cellIs" dxfId="405" priority="1"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62760"/>
  </sheetPr>
  <dimension ref="A1:BA237"/>
  <sheetViews>
    <sheetView zoomScale="85" zoomScaleNormal="85" workbookViewId="0">
      <pane xSplit="12" ySplit="6" topLeftCell="M21" activePane="bottomRight" state="frozen"/>
      <selection activeCell="G62" sqref="G62"/>
      <selection pane="topRight" activeCell="G62" sqref="G62"/>
      <selection pane="bottomLeft" activeCell="G62" sqref="G62"/>
      <selection pane="bottomRight" activeCell="R21" sqref="R21"/>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6" width="16" style="18" hidden="1" customWidth="1" outlineLevel="1"/>
    <col min="17"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468</v>
      </c>
      <c r="N3" s="643"/>
      <c r="O3" s="643"/>
      <c r="P3" s="643"/>
      <c r="Q3" s="643"/>
      <c r="R3" s="643"/>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Consolidated Balance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Q9" s="18" t="s">
        <v>8</v>
      </c>
    </row>
    <row r="10" spans="1:43" s="97" customFormat="1" ht="12.6" thickBot="1" x14ac:dyDescent="0.25">
      <c r="A10" s="1"/>
      <c r="B10" s="1"/>
      <c r="J10" s="98"/>
      <c r="L10" s="99"/>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row>
    <row r="11" spans="1:43" s="97" customFormat="1" ht="12.6" thickTop="1" x14ac:dyDescent="0.2">
      <c r="A11" s="1"/>
      <c r="B11" s="1"/>
      <c r="C11" s="320" t="s">
        <v>21</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101"/>
      <c r="AF11" s="101"/>
      <c r="AG11" s="101"/>
      <c r="AH11" s="101"/>
      <c r="AI11" s="101"/>
      <c r="AJ11" s="101"/>
      <c r="AK11" s="101"/>
      <c r="AL11" s="101"/>
      <c r="AM11" s="101"/>
      <c r="AN11" s="101"/>
      <c r="AO11" s="101"/>
    </row>
    <row r="12" spans="1:43" s="97" customFormat="1" ht="12.6" x14ac:dyDescent="0.25">
      <c r="A12" s="1"/>
      <c r="B12" s="1"/>
      <c r="E12" s="32"/>
      <c r="J12" s="98"/>
      <c r="L12" s="99"/>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row>
    <row r="13" spans="1:43" s="97" customFormat="1" ht="12.6" x14ac:dyDescent="0.25">
      <c r="A13" s="1"/>
      <c r="B13" s="1"/>
      <c r="C13" s="32" t="s">
        <v>22</v>
      </c>
      <c r="E13" s="32"/>
      <c r="J13" s="98"/>
      <c r="L13" s="99"/>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x14ac:dyDescent="0.2">
      <c r="A14" s="1"/>
      <c r="B14" s="1"/>
      <c r="D14" s="97" t="s">
        <v>451</v>
      </c>
      <c r="J14" s="98" t="s">
        <v>1205</v>
      </c>
      <c r="L14" s="99" t="s">
        <v>23</v>
      </c>
      <c r="N14" s="101"/>
      <c r="O14" s="101"/>
      <c r="P14" s="101"/>
      <c r="Q14" s="101">
        <f>Act_BS_Cash</f>
        <v>277034</v>
      </c>
      <c r="R14" s="101">
        <f t="shared" ref="R14" si="2">Act_BS_Cash</f>
        <v>422580</v>
      </c>
      <c r="S14" s="101" t="e">
        <f t="shared" ref="S14:AD14" si="3">CF_Ending_Cash</f>
        <v>#NAME?</v>
      </c>
      <c r="T14" s="101" t="e">
        <f t="shared" si="3"/>
        <v>#NAME?</v>
      </c>
      <c r="U14" s="101" t="e">
        <f t="shared" si="3"/>
        <v>#NAME?</v>
      </c>
      <c r="V14" s="101" t="e">
        <f t="shared" si="3"/>
        <v>#NAME?</v>
      </c>
      <c r="W14" s="101" t="e">
        <f t="shared" si="3"/>
        <v>#NAME?</v>
      </c>
      <c r="X14" s="101" t="e">
        <f t="shared" si="3"/>
        <v>#NAME?</v>
      </c>
      <c r="Y14" s="101" t="e">
        <f t="shared" si="3"/>
        <v>#NAME?</v>
      </c>
      <c r="Z14" s="101" t="e">
        <f t="shared" si="3"/>
        <v>#NAME?</v>
      </c>
      <c r="AA14" s="101" t="e">
        <f t="shared" si="3"/>
        <v>#NAME?</v>
      </c>
      <c r="AB14" s="101" t="e">
        <f t="shared" si="3"/>
        <v>#NAME?</v>
      </c>
      <c r="AC14" s="101" t="e">
        <f t="shared" si="3"/>
        <v>#NAME?</v>
      </c>
      <c r="AD14" s="101" t="e">
        <f t="shared" si="3"/>
        <v>#NAME?</v>
      </c>
      <c r="AE14" s="101"/>
      <c r="AF14" s="101"/>
      <c r="AG14" s="101"/>
      <c r="AH14" s="101"/>
      <c r="AI14" s="101"/>
      <c r="AJ14" s="101"/>
      <c r="AK14" s="101"/>
      <c r="AL14" s="101"/>
      <c r="AM14" s="101"/>
      <c r="AN14" s="101"/>
      <c r="AO14" s="101"/>
    </row>
    <row r="15" spans="1:43" s="97" customFormat="1" x14ac:dyDescent="0.2">
      <c r="A15" s="1"/>
      <c r="B15" s="1"/>
      <c r="D15" s="97" t="s">
        <v>827</v>
      </c>
      <c r="J15" s="98" t="s">
        <v>1205</v>
      </c>
      <c r="L15" s="99" t="s">
        <v>891</v>
      </c>
      <c r="N15" s="101"/>
      <c r="O15" s="101"/>
      <c r="P15" s="101"/>
      <c r="Q15" s="101">
        <f>Act_BS_Cur_Investments</f>
        <v>42988</v>
      </c>
      <c r="R15" s="101">
        <f t="shared" ref="R15" si="4">Act_BS_Cur_Investments</f>
        <v>59350</v>
      </c>
      <c r="S15" s="101">
        <f t="shared" ref="S15:AD15" si="5">R15</f>
        <v>59350</v>
      </c>
      <c r="T15" s="101">
        <f t="shared" si="5"/>
        <v>59350</v>
      </c>
      <c r="U15" s="101">
        <f t="shared" si="5"/>
        <v>59350</v>
      </c>
      <c r="V15" s="101">
        <f t="shared" si="5"/>
        <v>59350</v>
      </c>
      <c r="W15" s="101">
        <f t="shared" si="5"/>
        <v>59350</v>
      </c>
      <c r="X15" s="101">
        <f t="shared" si="5"/>
        <v>59350</v>
      </c>
      <c r="Y15" s="101">
        <f t="shared" si="5"/>
        <v>59350</v>
      </c>
      <c r="Z15" s="101">
        <f t="shared" si="5"/>
        <v>59350</v>
      </c>
      <c r="AA15" s="101">
        <f t="shared" si="5"/>
        <v>59350</v>
      </c>
      <c r="AB15" s="101">
        <f t="shared" si="5"/>
        <v>59350</v>
      </c>
      <c r="AC15" s="101">
        <f t="shared" si="5"/>
        <v>59350</v>
      </c>
      <c r="AD15" s="101">
        <f t="shared" si="5"/>
        <v>59350</v>
      </c>
      <c r="AE15" s="101"/>
      <c r="AF15" s="101"/>
      <c r="AG15" s="101"/>
      <c r="AH15" s="101"/>
      <c r="AI15" s="101"/>
      <c r="AJ15" s="101"/>
      <c r="AK15" s="101"/>
      <c r="AL15" s="101"/>
      <c r="AM15" s="101"/>
      <c r="AN15" s="101"/>
      <c r="AO15" s="101"/>
    </row>
    <row r="16" spans="1:43" s="97" customFormat="1" x14ac:dyDescent="0.2">
      <c r="A16" s="1"/>
      <c r="B16" s="1"/>
      <c r="D16" s="97" t="s">
        <v>829</v>
      </c>
      <c r="J16" s="98" t="s">
        <v>1205</v>
      </c>
      <c r="L16" s="99" t="s">
        <v>892</v>
      </c>
      <c r="N16" s="101"/>
      <c r="O16" s="101"/>
      <c r="P16" s="101"/>
      <c r="Q16" s="101">
        <f>Act_BS_Trade_Receivables</f>
        <v>82251</v>
      </c>
      <c r="R16" s="101">
        <f t="shared" ref="R16" si="6">Act_BS_Trade_Receivables</f>
        <v>79005</v>
      </c>
      <c r="S16" s="101">
        <f t="shared" ref="S16:AD16" si="7">Asset_Liability_Receivables</f>
        <v>99768.707431892821</v>
      </c>
      <c r="T16" s="101">
        <f t="shared" si="7"/>
        <v>117179.34023056988</v>
      </c>
      <c r="U16" s="101">
        <f t="shared" si="7"/>
        <v>138867.23123849754</v>
      </c>
      <c r="V16" s="101">
        <f t="shared" si="7"/>
        <v>166161.290297628</v>
      </c>
      <c r="W16" s="101">
        <f t="shared" si="7"/>
        <v>200855.9083859254</v>
      </c>
      <c r="X16" s="101">
        <f t="shared" si="7"/>
        <v>245382.0600313897</v>
      </c>
      <c r="Y16" s="101">
        <f t="shared" si="7"/>
        <v>303042.39847262733</v>
      </c>
      <c r="Z16" s="101">
        <f t="shared" si="7"/>
        <v>378334.41984413203</v>
      </c>
      <c r="AA16" s="101">
        <f t="shared" si="7"/>
        <v>477394.8492414761</v>
      </c>
      <c r="AB16" s="101">
        <f t="shared" si="7"/>
        <v>608610.90221877873</v>
      </c>
      <c r="AC16" s="101">
        <f t="shared" si="7"/>
        <v>783461.292124336</v>
      </c>
      <c r="AD16" s="101">
        <f t="shared" si="7"/>
        <v>1017673.5662925707</v>
      </c>
      <c r="AE16" s="101"/>
      <c r="AF16" s="101"/>
      <c r="AG16" s="101"/>
      <c r="AH16" s="101"/>
      <c r="AI16" s="101"/>
      <c r="AJ16" s="101"/>
      <c r="AK16" s="101"/>
      <c r="AL16" s="101"/>
      <c r="AM16" s="101"/>
      <c r="AN16" s="101"/>
      <c r="AO16" s="101"/>
    </row>
    <row r="17" spans="1:41" s="97" customFormat="1" ht="12.6" x14ac:dyDescent="0.25">
      <c r="A17" s="1"/>
      <c r="B17" s="1"/>
      <c r="D17" s="97" t="s">
        <v>830</v>
      </c>
      <c r="E17" s="32"/>
      <c r="J17" s="98" t="s">
        <v>1205</v>
      </c>
      <c r="L17" s="99" t="s">
        <v>893</v>
      </c>
      <c r="N17" s="101"/>
      <c r="O17" s="101"/>
      <c r="P17" s="101"/>
      <c r="Q17" s="101">
        <f>Act_BS_Other_Receivables</f>
        <v>1365</v>
      </c>
      <c r="R17" s="101">
        <f t="shared" ref="R17" si="8">Act_BS_Other_Receivables</f>
        <v>8891</v>
      </c>
      <c r="S17" s="101">
        <f t="shared" ref="S17:AD17" si="9">R17</f>
        <v>8891</v>
      </c>
      <c r="T17" s="101">
        <f t="shared" si="9"/>
        <v>8891</v>
      </c>
      <c r="U17" s="101">
        <f t="shared" si="9"/>
        <v>8891</v>
      </c>
      <c r="V17" s="101">
        <f t="shared" si="9"/>
        <v>8891</v>
      </c>
      <c r="W17" s="101">
        <f t="shared" si="9"/>
        <v>8891</v>
      </c>
      <c r="X17" s="101">
        <f t="shared" si="9"/>
        <v>8891</v>
      </c>
      <c r="Y17" s="101">
        <f t="shared" si="9"/>
        <v>8891</v>
      </c>
      <c r="Z17" s="101">
        <f t="shared" si="9"/>
        <v>8891</v>
      </c>
      <c r="AA17" s="101">
        <f t="shared" si="9"/>
        <v>8891</v>
      </c>
      <c r="AB17" s="101">
        <f t="shared" si="9"/>
        <v>8891</v>
      </c>
      <c r="AC17" s="101">
        <f t="shared" si="9"/>
        <v>8891</v>
      </c>
      <c r="AD17" s="101">
        <f t="shared" si="9"/>
        <v>8891</v>
      </c>
      <c r="AE17" s="101"/>
      <c r="AF17" s="101"/>
      <c r="AG17" s="101"/>
      <c r="AH17" s="101"/>
      <c r="AI17" s="101"/>
      <c r="AJ17" s="101"/>
      <c r="AK17" s="101"/>
      <c r="AL17" s="101"/>
      <c r="AM17" s="101"/>
      <c r="AN17" s="101"/>
      <c r="AO17" s="101"/>
    </row>
    <row r="18" spans="1:41" s="97" customFormat="1" ht="12.6" x14ac:dyDescent="0.25">
      <c r="A18" s="1"/>
      <c r="B18" s="1"/>
      <c r="D18" s="97" t="s">
        <v>833</v>
      </c>
      <c r="E18" s="32"/>
      <c r="J18" s="98" t="s">
        <v>1205</v>
      </c>
      <c r="L18" s="99" t="s">
        <v>894</v>
      </c>
      <c r="N18" s="101"/>
      <c r="O18" s="101"/>
      <c r="P18" s="101"/>
      <c r="Q18" s="101">
        <f>Act_BS_Inventories</f>
        <v>10749</v>
      </c>
      <c r="R18" s="101">
        <f t="shared" ref="R18" si="10">Act_BS_Inventories</f>
        <v>13585</v>
      </c>
      <c r="S18" s="101">
        <f t="shared" ref="S18:AD18" si="11">Asset_Liability_Inventory</f>
        <v>16755.469480253847</v>
      </c>
      <c r="T18" s="101">
        <f t="shared" si="11"/>
        <v>19679.465731175365</v>
      </c>
      <c r="U18" s="101">
        <f t="shared" si="11"/>
        <v>23321.798134073058</v>
      </c>
      <c r="V18" s="101">
        <f t="shared" si="11"/>
        <v>27905.647973660289</v>
      </c>
      <c r="W18" s="101">
        <f t="shared" si="11"/>
        <v>33732.370895818742</v>
      </c>
      <c r="X18" s="101">
        <f t="shared" si="11"/>
        <v>41210.232383380127</v>
      </c>
      <c r="Y18" s="101">
        <f t="shared" si="11"/>
        <v>50893.890374366842</v>
      </c>
      <c r="Z18" s="101">
        <f t="shared" si="11"/>
        <v>63538.66846832048</v>
      </c>
      <c r="AA18" s="101">
        <f t="shared" si="11"/>
        <v>80175.187515147918</v>
      </c>
      <c r="AB18" s="101">
        <f t="shared" si="11"/>
        <v>102212.02278718383</v>
      </c>
      <c r="AC18" s="101">
        <f t="shared" si="11"/>
        <v>131576.94538751931</v>
      </c>
      <c r="AD18" s="101">
        <f t="shared" si="11"/>
        <v>170911.2889180863</v>
      </c>
      <c r="AE18" s="101"/>
      <c r="AF18" s="101"/>
      <c r="AG18" s="101"/>
      <c r="AH18" s="101"/>
      <c r="AI18" s="101"/>
      <c r="AJ18" s="101"/>
      <c r="AK18" s="101"/>
      <c r="AL18" s="101"/>
      <c r="AM18" s="101"/>
      <c r="AN18" s="101"/>
      <c r="AO18" s="101"/>
    </row>
    <row r="19" spans="1:41" s="97" customFormat="1" ht="12.6" x14ac:dyDescent="0.25">
      <c r="A19" s="1"/>
      <c r="B19" s="1"/>
      <c r="D19" s="97" t="s">
        <v>835</v>
      </c>
      <c r="E19" s="32"/>
      <c r="J19" s="98" t="s">
        <v>1205</v>
      </c>
      <c r="L19" s="99" t="s">
        <v>895</v>
      </c>
      <c r="N19" s="101"/>
      <c r="O19" s="101"/>
      <c r="P19" s="101"/>
      <c r="Q19" s="101">
        <f>Act_BS_Tax_Receivables</f>
        <v>22777</v>
      </c>
      <c r="R19" s="101">
        <f t="shared" ref="R19" si="12">Act_BS_Tax_Receivables</f>
        <v>21718</v>
      </c>
      <c r="S19" s="101">
        <f t="shared" ref="S19:AD19" si="13">R19</f>
        <v>21718</v>
      </c>
      <c r="T19" s="101">
        <f t="shared" si="13"/>
        <v>21718</v>
      </c>
      <c r="U19" s="101">
        <f t="shared" si="13"/>
        <v>21718</v>
      </c>
      <c r="V19" s="101">
        <f t="shared" si="13"/>
        <v>21718</v>
      </c>
      <c r="W19" s="101">
        <f t="shared" si="13"/>
        <v>21718</v>
      </c>
      <c r="X19" s="101">
        <f t="shared" si="13"/>
        <v>21718</v>
      </c>
      <c r="Y19" s="101">
        <f t="shared" si="13"/>
        <v>21718</v>
      </c>
      <c r="Z19" s="101">
        <f t="shared" si="13"/>
        <v>21718</v>
      </c>
      <c r="AA19" s="101">
        <f t="shared" si="13"/>
        <v>21718</v>
      </c>
      <c r="AB19" s="101">
        <f t="shared" si="13"/>
        <v>21718</v>
      </c>
      <c r="AC19" s="101">
        <f t="shared" si="13"/>
        <v>21718</v>
      </c>
      <c r="AD19" s="101">
        <f t="shared" si="13"/>
        <v>21718</v>
      </c>
      <c r="AE19" s="101"/>
      <c r="AF19" s="101"/>
      <c r="AG19" s="101"/>
      <c r="AH19" s="101"/>
      <c r="AI19" s="101"/>
      <c r="AJ19" s="101"/>
      <c r="AK19" s="101"/>
      <c r="AL19" s="101"/>
      <c r="AM19" s="101"/>
      <c r="AN19" s="101"/>
      <c r="AO19" s="101"/>
    </row>
    <row r="20" spans="1:41" s="97" customFormat="1" ht="12.6" x14ac:dyDescent="0.25">
      <c r="A20" s="1"/>
      <c r="B20" s="1"/>
      <c r="D20" s="97" t="s">
        <v>838</v>
      </c>
      <c r="E20" s="32"/>
      <c r="J20" s="98" t="s">
        <v>1205</v>
      </c>
      <c r="L20" s="99" t="s">
        <v>917</v>
      </c>
      <c r="N20" s="101"/>
      <c r="O20" s="101"/>
      <c r="P20" s="101"/>
      <c r="Q20" s="101">
        <f>Act_BS_Contract_Assets</f>
        <v>11451</v>
      </c>
      <c r="R20" s="101">
        <f>Act_BS_Contract_Assets</f>
        <v>12607</v>
      </c>
      <c r="S20" s="101">
        <f t="shared" ref="S20:AD20" si="14">Asset_Liability_Contracts</f>
        <v>14826.327741749097</v>
      </c>
      <c r="T20" s="101">
        <f t="shared" si="14"/>
        <v>17413.669551711395</v>
      </c>
      <c r="U20" s="101">
        <f t="shared" si="14"/>
        <v>20636.641848214043</v>
      </c>
      <c r="V20" s="101">
        <f t="shared" si="14"/>
        <v>24692.729928633176</v>
      </c>
      <c r="W20" s="101">
        <f t="shared" si="14"/>
        <v>29848.592842894795</v>
      </c>
      <c r="X20" s="101">
        <f t="shared" si="14"/>
        <v>36465.490408949088</v>
      </c>
      <c r="Y20" s="101">
        <f t="shared" si="14"/>
        <v>45034.219997969325</v>
      </c>
      <c r="Z20" s="101">
        <f t="shared" si="14"/>
        <v>56223.140992608372</v>
      </c>
      <c r="AA20" s="101">
        <f t="shared" si="14"/>
        <v>70944.213664478273</v>
      </c>
      <c r="AB20" s="101">
        <f t="shared" si="14"/>
        <v>90443.836908051569</v>
      </c>
      <c r="AC20" s="101">
        <f t="shared" si="14"/>
        <v>116427.82781303654</v>
      </c>
      <c r="AD20" s="101">
        <f t="shared" si="14"/>
        <v>151233.4099173166</v>
      </c>
      <c r="AE20" s="101"/>
      <c r="AF20" s="101"/>
      <c r="AG20" s="101"/>
      <c r="AH20" s="101"/>
      <c r="AI20" s="101"/>
      <c r="AJ20" s="101"/>
      <c r="AK20" s="101"/>
      <c r="AL20" s="101"/>
      <c r="AM20" s="101"/>
      <c r="AN20" s="101"/>
      <c r="AO20" s="101"/>
    </row>
    <row r="21" spans="1:41" s="97" customFormat="1" ht="12.6" x14ac:dyDescent="0.25">
      <c r="A21" s="1"/>
      <c r="B21" s="1"/>
      <c r="D21" s="97" t="s">
        <v>840</v>
      </c>
      <c r="E21" s="32"/>
      <c r="J21" s="98" t="s">
        <v>1205</v>
      </c>
      <c r="L21" s="99" t="s">
        <v>896</v>
      </c>
      <c r="N21" s="101"/>
      <c r="O21" s="101"/>
      <c r="P21" s="101"/>
      <c r="Q21" s="101">
        <f>Act_BS_Other_Curr_FA</f>
        <v>1640</v>
      </c>
      <c r="R21" s="101">
        <f t="shared" ref="R21" si="15">Act_BS_Other_Curr_FA</f>
        <v>10704</v>
      </c>
      <c r="S21" s="101">
        <f t="shared" ref="S21:AD21" si="16">R21</f>
        <v>10704</v>
      </c>
      <c r="T21" s="101">
        <f t="shared" si="16"/>
        <v>10704</v>
      </c>
      <c r="U21" s="101">
        <f t="shared" si="16"/>
        <v>10704</v>
      </c>
      <c r="V21" s="101">
        <f t="shared" si="16"/>
        <v>10704</v>
      </c>
      <c r="W21" s="101">
        <f t="shared" si="16"/>
        <v>10704</v>
      </c>
      <c r="X21" s="101">
        <f t="shared" si="16"/>
        <v>10704</v>
      </c>
      <c r="Y21" s="101">
        <f t="shared" si="16"/>
        <v>10704</v>
      </c>
      <c r="Z21" s="101">
        <f t="shared" si="16"/>
        <v>10704</v>
      </c>
      <c r="AA21" s="101">
        <f t="shared" si="16"/>
        <v>10704</v>
      </c>
      <c r="AB21" s="101">
        <f t="shared" si="16"/>
        <v>10704</v>
      </c>
      <c r="AC21" s="101">
        <f t="shared" si="16"/>
        <v>10704</v>
      </c>
      <c r="AD21" s="101">
        <f t="shared" si="16"/>
        <v>10704</v>
      </c>
      <c r="AE21" s="101"/>
      <c r="AF21" s="101"/>
      <c r="AG21" s="101"/>
      <c r="AH21" s="101"/>
      <c r="AI21" s="101"/>
      <c r="AJ21" s="101"/>
      <c r="AK21" s="101"/>
      <c r="AL21" s="101"/>
      <c r="AM21" s="101"/>
      <c r="AN21" s="101"/>
      <c r="AO21" s="101"/>
    </row>
    <row r="22" spans="1:41" s="97" customFormat="1" x14ac:dyDescent="0.2">
      <c r="A22" s="1"/>
      <c r="B22" s="1"/>
      <c r="D22" s="97" t="s">
        <v>842</v>
      </c>
      <c r="J22" s="98" t="s">
        <v>1205</v>
      </c>
      <c r="L22" s="99" t="s">
        <v>897</v>
      </c>
      <c r="N22" s="101"/>
      <c r="O22" s="101"/>
      <c r="P22" s="101"/>
      <c r="Q22" s="101">
        <f>Act_BS_Prepaid_Expenses</f>
        <v>19275</v>
      </c>
      <c r="R22" s="101">
        <f t="shared" ref="R22" si="17">Act_BS_Prepaid_Expenses</f>
        <v>30404</v>
      </c>
      <c r="S22" s="101">
        <f t="shared" ref="S22:AD22" si="18">Asset_Liability_Pre_Payments</f>
        <v>30305.179534285486</v>
      </c>
      <c r="T22" s="101">
        <f t="shared" si="18"/>
        <v>35593.735097958757</v>
      </c>
      <c r="U22" s="101">
        <f t="shared" si="18"/>
        <v>42181.526476973457</v>
      </c>
      <c r="V22" s="101">
        <f t="shared" si="18"/>
        <v>50472.215825344501</v>
      </c>
      <c r="W22" s="101">
        <f t="shared" si="18"/>
        <v>61010.857220063161</v>
      </c>
      <c r="X22" s="101">
        <f t="shared" si="18"/>
        <v>74535.869764780829</v>
      </c>
      <c r="Y22" s="101">
        <f t="shared" si="18"/>
        <v>92050.448769046634</v>
      </c>
      <c r="Z22" s="101">
        <f t="shared" si="18"/>
        <v>114920.72827748209</v>
      </c>
      <c r="AA22" s="101">
        <f t="shared" si="18"/>
        <v>145010.7652730929</v>
      </c>
      <c r="AB22" s="101">
        <f t="shared" si="18"/>
        <v>184868.21302014374</v>
      </c>
      <c r="AC22" s="101">
        <f t="shared" si="18"/>
        <v>237979.78070628428</v>
      </c>
      <c r="AD22" s="101">
        <f t="shared" si="18"/>
        <v>309122.77935289894</v>
      </c>
      <c r="AE22" s="101"/>
      <c r="AF22" s="101"/>
      <c r="AG22" s="101"/>
      <c r="AH22" s="101"/>
      <c r="AI22" s="101"/>
      <c r="AJ22" s="101"/>
      <c r="AK22" s="101"/>
      <c r="AL22" s="101"/>
      <c r="AM22" s="101"/>
      <c r="AN22" s="101"/>
      <c r="AO22" s="101"/>
    </row>
    <row r="23" spans="1:41" s="97" customFormat="1" ht="12.6" x14ac:dyDescent="0.25">
      <c r="A23" s="1"/>
      <c r="B23" s="1"/>
      <c r="D23" s="27" t="s">
        <v>844</v>
      </c>
      <c r="E23" s="27"/>
      <c r="F23" s="27"/>
      <c r="G23" s="27"/>
      <c r="H23" s="27"/>
      <c r="I23" s="27"/>
      <c r="J23" s="372" t="s">
        <v>1205</v>
      </c>
      <c r="K23" s="27"/>
      <c r="L23" s="83"/>
      <c r="M23" s="27"/>
      <c r="N23" s="66"/>
      <c r="O23" s="66"/>
      <c r="P23" s="66"/>
      <c r="Q23" s="66">
        <f>SUM(Q14:Q22)</f>
        <v>469530</v>
      </c>
      <c r="R23" s="66">
        <f t="shared" ref="R23" si="19">SUM(R14:R22)</f>
        <v>658844</v>
      </c>
      <c r="S23" s="66" t="e">
        <f t="shared" ref="S23:AD23" si="20">SUM(S14:S22)</f>
        <v>#NAME?</v>
      </c>
      <c r="T23" s="66" t="e">
        <f t="shared" si="20"/>
        <v>#NAME?</v>
      </c>
      <c r="U23" s="66" t="e">
        <f t="shared" si="20"/>
        <v>#NAME?</v>
      </c>
      <c r="V23" s="66" t="e">
        <f t="shared" si="20"/>
        <v>#NAME?</v>
      </c>
      <c r="W23" s="66" t="e">
        <f t="shared" si="20"/>
        <v>#NAME?</v>
      </c>
      <c r="X23" s="66" t="e">
        <f t="shared" si="20"/>
        <v>#NAME?</v>
      </c>
      <c r="Y23" s="66" t="e">
        <f t="shared" si="20"/>
        <v>#NAME?</v>
      </c>
      <c r="Z23" s="66" t="e">
        <f t="shared" si="20"/>
        <v>#NAME?</v>
      </c>
      <c r="AA23" s="66" t="e">
        <f t="shared" si="20"/>
        <v>#NAME?</v>
      </c>
      <c r="AB23" s="66" t="e">
        <f t="shared" si="20"/>
        <v>#NAME?</v>
      </c>
      <c r="AC23" s="66" t="e">
        <f t="shared" si="20"/>
        <v>#NAME?</v>
      </c>
      <c r="AD23" s="66" t="e">
        <f t="shared" si="20"/>
        <v>#NAME?</v>
      </c>
      <c r="AE23" s="103"/>
      <c r="AF23" s="101"/>
      <c r="AG23" s="101"/>
      <c r="AH23" s="101"/>
      <c r="AI23" s="101"/>
      <c r="AJ23" s="101"/>
      <c r="AK23" s="101"/>
      <c r="AL23" s="101"/>
      <c r="AM23" s="101"/>
      <c r="AN23" s="101"/>
      <c r="AO23" s="101"/>
    </row>
    <row r="24" spans="1:41" s="97" customFormat="1" ht="12.6" x14ac:dyDescent="0.25">
      <c r="A24" s="1"/>
      <c r="B24" s="1"/>
      <c r="E24" s="32"/>
      <c r="J24" s="98"/>
      <c r="L24" s="99"/>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row>
    <row r="25" spans="1:41" s="97" customFormat="1" ht="12.6" x14ac:dyDescent="0.25">
      <c r="A25" s="1"/>
      <c r="B25" s="1"/>
      <c r="C25" s="32" t="s">
        <v>90</v>
      </c>
      <c r="E25" s="32"/>
      <c r="J25" s="98"/>
      <c r="L25" s="99"/>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1:41" s="97" customFormat="1" x14ac:dyDescent="0.2">
      <c r="A26" s="1"/>
      <c r="B26" s="1"/>
      <c r="D26" s="97" t="s">
        <v>449</v>
      </c>
      <c r="J26" s="98" t="s">
        <v>1205</v>
      </c>
      <c r="L26" s="99" t="s">
        <v>898</v>
      </c>
      <c r="N26" s="101"/>
      <c r="O26" s="101"/>
      <c r="P26" s="101"/>
      <c r="Q26" s="101">
        <f>Act_BS_LT_Investments</f>
        <v>41229</v>
      </c>
      <c r="R26" s="101">
        <f t="shared" ref="R26" si="21">Act_BS_LT_Investments</f>
        <v>58999</v>
      </c>
      <c r="S26" s="101">
        <f t="shared" ref="S26:AD26" si="22">R26</f>
        <v>58999</v>
      </c>
      <c r="T26" s="101">
        <f t="shared" si="22"/>
        <v>58999</v>
      </c>
      <c r="U26" s="101">
        <f t="shared" si="22"/>
        <v>58999</v>
      </c>
      <c r="V26" s="101">
        <f t="shared" si="22"/>
        <v>58999</v>
      </c>
      <c r="W26" s="101">
        <f t="shared" si="22"/>
        <v>58999</v>
      </c>
      <c r="X26" s="101">
        <f t="shared" si="22"/>
        <v>58999</v>
      </c>
      <c r="Y26" s="101">
        <f t="shared" si="22"/>
        <v>58999</v>
      </c>
      <c r="Z26" s="101">
        <f t="shared" si="22"/>
        <v>58999</v>
      </c>
      <c r="AA26" s="101">
        <f t="shared" si="22"/>
        <v>58999</v>
      </c>
      <c r="AB26" s="101">
        <f t="shared" si="22"/>
        <v>58999</v>
      </c>
      <c r="AC26" s="101">
        <f t="shared" si="22"/>
        <v>58999</v>
      </c>
      <c r="AD26" s="101">
        <f t="shared" si="22"/>
        <v>58999</v>
      </c>
      <c r="AE26" s="101"/>
      <c r="AF26" s="101"/>
      <c r="AG26" s="101"/>
      <c r="AH26" s="101"/>
      <c r="AI26" s="101"/>
      <c r="AJ26" s="101"/>
      <c r="AK26" s="101"/>
      <c r="AL26" s="101"/>
      <c r="AM26" s="101"/>
      <c r="AN26" s="101"/>
      <c r="AO26" s="101"/>
    </row>
    <row r="27" spans="1:41" s="97" customFormat="1" x14ac:dyDescent="0.2">
      <c r="A27" s="1"/>
      <c r="B27" s="1"/>
      <c r="D27" s="97" t="s">
        <v>447</v>
      </c>
      <c r="J27" s="98" t="s">
        <v>1205</v>
      </c>
      <c r="L27" s="99" t="s">
        <v>25</v>
      </c>
      <c r="N27" s="101"/>
      <c r="O27" s="101"/>
      <c r="P27" s="101"/>
      <c r="Q27" s="101">
        <f>Act_BS_PPE</f>
        <v>239229</v>
      </c>
      <c r="R27" s="101">
        <f t="shared" ref="R27" si="23">Act_BS_PPE</f>
        <v>337297</v>
      </c>
      <c r="S27" s="101">
        <f t="shared" ref="S27:AD27" si="24">Asset_Liability_PPE_Closing_Bal</f>
        <v>342989.70037083997</v>
      </c>
      <c r="T27" s="101">
        <f t="shared" si="24"/>
        <v>344311.80148335989</v>
      </c>
      <c r="U27" s="101">
        <f t="shared" si="24"/>
        <v>341263.3033375598</v>
      </c>
      <c r="V27" s="101">
        <f t="shared" si="24"/>
        <v>333844.20593343966</v>
      </c>
      <c r="W27" s="101">
        <f t="shared" si="24"/>
        <v>322054.50927099952</v>
      </c>
      <c r="X27" s="101">
        <f t="shared" si="24"/>
        <v>305894.21335023933</v>
      </c>
      <c r="Y27" s="101">
        <f t="shared" si="24"/>
        <v>285363.31817115913</v>
      </c>
      <c r="Z27" s="101">
        <f t="shared" si="24"/>
        <v>260461.82373375888</v>
      </c>
      <c r="AA27" s="101">
        <f t="shared" si="24"/>
        <v>231189.73003803857</v>
      </c>
      <c r="AB27" s="101">
        <f t="shared" si="24"/>
        <v>197547.03708399821</v>
      </c>
      <c r="AC27" s="101">
        <f t="shared" si="24"/>
        <v>159533.74487163778</v>
      </c>
      <c r="AD27" s="101">
        <f t="shared" si="24"/>
        <v>117149.85340095742</v>
      </c>
      <c r="AE27" s="101"/>
      <c r="AF27" s="101"/>
      <c r="AG27" s="101"/>
      <c r="AH27" s="101"/>
      <c r="AI27" s="101"/>
      <c r="AJ27" s="101"/>
      <c r="AK27" s="101"/>
      <c r="AL27" s="101"/>
      <c r="AM27" s="101"/>
      <c r="AN27" s="101"/>
      <c r="AO27" s="101"/>
    </row>
    <row r="28" spans="1:41" s="97" customFormat="1" x14ac:dyDescent="0.2">
      <c r="A28" s="1"/>
      <c r="B28" s="1"/>
      <c r="D28" s="97" t="s">
        <v>448</v>
      </c>
      <c r="J28" s="98" t="s">
        <v>1205</v>
      </c>
      <c r="L28" s="99" t="s">
        <v>492</v>
      </c>
      <c r="N28" s="101"/>
      <c r="O28" s="101"/>
      <c r="P28" s="101"/>
      <c r="Q28" s="101">
        <f>Act_BS_Intangible</f>
        <v>116994</v>
      </c>
      <c r="R28" s="101">
        <f t="shared" ref="R28" si="25">Act_BS_Intangible</f>
        <v>98036</v>
      </c>
      <c r="S28" s="101">
        <f t="shared" ref="S28:AD28" si="26">Asset_Liability_IA_Closing_Bal</f>
        <v>93816.559006817552</v>
      </c>
      <c r="T28" s="101">
        <f t="shared" si="26"/>
        <v>84171.956523861445</v>
      </c>
      <c r="U28" s="101">
        <f t="shared" si="26"/>
        <v>74243.91304772289</v>
      </c>
      <c r="V28" s="101">
        <f t="shared" si="26"/>
        <v>64032.428578401887</v>
      </c>
      <c r="W28" s="101">
        <f t="shared" si="26"/>
        <v>53537.503115898435</v>
      </c>
      <c r="X28" s="101">
        <f t="shared" si="26"/>
        <v>42759.136660212534</v>
      </c>
      <c r="Y28" s="101">
        <f t="shared" si="26"/>
        <v>31697.329211344186</v>
      </c>
      <c r="Z28" s="101">
        <f t="shared" si="26"/>
        <v>20352.080769293359</v>
      </c>
      <c r="AA28" s="101">
        <f t="shared" si="26"/>
        <v>8723.3913340601139</v>
      </c>
      <c r="AB28" s="101">
        <f t="shared" si="26"/>
        <v>0</v>
      </c>
      <c r="AC28" s="101">
        <f t="shared" si="26"/>
        <v>0</v>
      </c>
      <c r="AD28" s="101">
        <f t="shared" si="26"/>
        <v>0</v>
      </c>
      <c r="AE28" s="101"/>
      <c r="AF28" s="101"/>
      <c r="AG28" s="101"/>
      <c r="AH28" s="101"/>
      <c r="AI28" s="101"/>
      <c r="AJ28" s="101"/>
      <c r="AK28" s="101"/>
      <c r="AL28" s="101"/>
      <c r="AM28" s="101"/>
      <c r="AN28" s="101"/>
      <c r="AO28" s="101"/>
    </row>
    <row r="29" spans="1:41" x14ac:dyDescent="0.2">
      <c r="D29" s="1" t="s">
        <v>848</v>
      </c>
      <c r="J29" s="98" t="s">
        <v>1205</v>
      </c>
      <c r="L29" s="99" t="s">
        <v>899</v>
      </c>
      <c r="Q29" s="25">
        <f>Act_BS_Goodwill</f>
        <v>255919</v>
      </c>
      <c r="R29" s="25">
        <f t="shared" ref="R29" si="27">Act_BS_Goodwill</f>
        <v>247370</v>
      </c>
      <c r="S29" s="101">
        <f t="shared" ref="S29:AD29" si="28">R29</f>
        <v>247370</v>
      </c>
      <c r="T29" s="101">
        <f t="shared" si="28"/>
        <v>247370</v>
      </c>
      <c r="U29" s="101">
        <f t="shared" si="28"/>
        <v>247370</v>
      </c>
      <c r="V29" s="101">
        <f t="shared" si="28"/>
        <v>247370</v>
      </c>
      <c r="W29" s="101">
        <f t="shared" si="28"/>
        <v>247370</v>
      </c>
      <c r="X29" s="101">
        <f t="shared" si="28"/>
        <v>247370</v>
      </c>
      <c r="Y29" s="101">
        <f t="shared" si="28"/>
        <v>247370</v>
      </c>
      <c r="Z29" s="101">
        <f t="shared" si="28"/>
        <v>247370</v>
      </c>
      <c r="AA29" s="101">
        <f t="shared" si="28"/>
        <v>247370</v>
      </c>
      <c r="AB29" s="101">
        <f t="shared" si="28"/>
        <v>247370</v>
      </c>
      <c r="AC29" s="101">
        <f t="shared" si="28"/>
        <v>247370</v>
      </c>
      <c r="AD29" s="101">
        <f t="shared" si="28"/>
        <v>247370</v>
      </c>
    </row>
    <row r="30" spans="1:41" x14ac:dyDescent="0.2">
      <c r="D30" s="1" t="s">
        <v>850</v>
      </c>
      <c r="J30" s="98" t="s">
        <v>1205</v>
      </c>
      <c r="L30" s="99" t="s">
        <v>900</v>
      </c>
      <c r="Q30" s="25">
        <f>Act_BS_Deferred_Tax</f>
        <v>34330</v>
      </c>
      <c r="R30" s="25">
        <f t="shared" ref="R30" si="29">Act_BS_Deferred_Tax</f>
        <v>24950</v>
      </c>
      <c r="S30" s="101">
        <f t="shared" ref="S30:AD30" si="30">R30</f>
        <v>24950</v>
      </c>
      <c r="T30" s="101">
        <f t="shared" si="30"/>
        <v>24950</v>
      </c>
      <c r="U30" s="101">
        <f t="shared" si="30"/>
        <v>24950</v>
      </c>
      <c r="V30" s="101">
        <f t="shared" si="30"/>
        <v>24950</v>
      </c>
      <c r="W30" s="101">
        <f t="shared" si="30"/>
        <v>24950</v>
      </c>
      <c r="X30" s="101">
        <f t="shared" si="30"/>
        <v>24950</v>
      </c>
      <c r="Y30" s="101">
        <f t="shared" si="30"/>
        <v>24950</v>
      </c>
      <c r="Z30" s="101">
        <f t="shared" si="30"/>
        <v>24950</v>
      </c>
      <c r="AA30" s="101">
        <f t="shared" si="30"/>
        <v>24950</v>
      </c>
      <c r="AB30" s="101">
        <f t="shared" si="30"/>
        <v>24950</v>
      </c>
      <c r="AC30" s="101">
        <f t="shared" si="30"/>
        <v>24950</v>
      </c>
      <c r="AD30" s="101">
        <f t="shared" si="30"/>
        <v>24950</v>
      </c>
    </row>
    <row r="31" spans="1:41" x14ac:dyDescent="0.2">
      <c r="D31" s="1" t="s">
        <v>851</v>
      </c>
      <c r="J31" s="98" t="s">
        <v>1205</v>
      </c>
      <c r="L31" s="99" t="s">
        <v>901</v>
      </c>
      <c r="Q31" s="25">
        <f>Act_BS_Non_Cur_Tax_Rec</f>
        <v>22718</v>
      </c>
      <c r="R31" s="25">
        <f t="shared" ref="R31" si="31">Act_BS_Non_Cur_Tax_Rec</f>
        <v>36485</v>
      </c>
      <c r="S31" s="101">
        <f t="shared" ref="S31:AD31" si="32">R31</f>
        <v>36485</v>
      </c>
      <c r="T31" s="101">
        <f t="shared" si="32"/>
        <v>36485</v>
      </c>
      <c r="U31" s="101">
        <f t="shared" si="32"/>
        <v>36485</v>
      </c>
      <c r="V31" s="101">
        <f t="shared" si="32"/>
        <v>36485</v>
      </c>
      <c r="W31" s="101">
        <f t="shared" si="32"/>
        <v>36485</v>
      </c>
      <c r="X31" s="101">
        <f t="shared" si="32"/>
        <v>36485</v>
      </c>
      <c r="Y31" s="101">
        <f t="shared" si="32"/>
        <v>36485</v>
      </c>
      <c r="Z31" s="101">
        <f t="shared" si="32"/>
        <v>36485</v>
      </c>
      <c r="AA31" s="101">
        <f t="shared" si="32"/>
        <v>36485</v>
      </c>
      <c r="AB31" s="101">
        <f t="shared" si="32"/>
        <v>36485</v>
      </c>
      <c r="AC31" s="101">
        <f t="shared" si="32"/>
        <v>36485</v>
      </c>
      <c r="AD31" s="101">
        <f t="shared" si="32"/>
        <v>36485</v>
      </c>
    </row>
    <row r="32" spans="1:41" x14ac:dyDescent="0.2">
      <c r="D32" s="1" t="s">
        <v>852</v>
      </c>
      <c r="J32" s="98" t="s">
        <v>1205</v>
      </c>
      <c r="L32" s="99" t="s">
        <v>902</v>
      </c>
      <c r="Q32" s="25">
        <f>Act_BS_Other_FA_NonCur</f>
        <v>23</v>
      </c>
      <c r="R32" s="25">
        <f t="shared" ref="R32" si="33">Act_BS_Other_FA_NonCur</f>
        <v>22</v>
      </c>
      <c r="S32" s="101">
        <f t="shared" ref="S32:AD32" si="34">R32</f>
        <v>22</v>
      </c>
      <c r="T32" s="101">
        <f t="shared" si="34"/>
        <v>22</v>
      </c>
      <c r="U32" s="101">
        <f t="shared" si="34"/>
        <v>22</v>
      </c>
      <c r="V32" s="101">
        <f t="shared" si="34"/>
        <v>22</v>
      </c>
      <c r="W32" s="101">
        <f t="shared" si="34"/>
        <v>22</v>
      </c>
      <c r="X32" s="101">
        <f t="shared" si="34"/>
        <v>22</v>
      </c>
      <c r="Y32" s="101">
        <f t="shared" si="34"/>
        <v>22</v>
      </c>
      <c r="Z32" s="101">
        <f t="shared" si="34"/>
        <v>22</v>
      </c>
      <c r="AA32" s="101">
        <f t="shared" si="34"/>
        <v>22</v>
      </c>
      <c r="AB32" s="101">
        <f t="shared" si="34"/>
        <v>22</v>
      </c>
      <c r="AC32" s="101">
        <f t="shared" si="34"/>
        <v>22</v>
      </c>
      <c r="AD32" s="101">
        <f t="shared" si="34"/>
        <v>22</v>
      </c>
    </row>
    <row r="33" spans="1:41" x14ac:dyDescent="0.2">
      <c r="D33" s="1" t="s">
        <v>853</v>
      </c>
      <c r="J33" s="98" t="s">
        <v>1205</v>
      </c>
      <c r="L33" s="99" t="s">
        <v>903</v>
      </c>
      <c r="Q33" s="25">
        <f>Act_BS_Other_NonCur_Assets</f>
        <v>940</v>
      </c>
      <c r="R33" s="25">
        <f t="shared" ref="R33" si="35">Act_BS_Other_NonCur_Assets</f>
        <v>892</v>
      </c>
      <c r="S33" s="101">
        <f t="shared" ref="S33:AD33" si="36">R33</f>
        <v>892</v>
      </c>
      <c r="T33" s="101">
        <f t="shared" si="36"/>
        <v>892</v>
      </c>
      <c r="U33" s="101">
        <f t="shared" si="36"/>
        <v>892</v>
      </c>
      <c r="V33" s="101">
        <f t="shared" si="36"/>
        <v>892</v>
      </c>
      <c r="W33" s="101">
        <f t="shared" si="36"/>
        <v>892</v>
      </c>
      <c r="X33" s="101">
        <f t="shared" si="36"/>
        <v>892</v>
      </c>
      <c r="Y33" s="101">
        <f t="shared" si="36"/>
        <v>892</v>
      </c>
      <c r="Z33" s="101">
        <f t="shared" si="36"/>
        <v>892</v>
      </c>
      <c r="AA33" s="101">
        <f t="shared" si="36"/>
        <v>892</v>
      </c>
      <c r="AB33" s="101">
        <f t="shared" si="36"/>
        <v>892</v>
      </c>
      <c r="AC33" s="101">
        <f t="shared" si="36"/>
        <v>892</v>
      </c>
      <c r="AD33" s="101">
        <f t="shared" si="36"/>
        <v>892</v>
      </c>
    </row>
    <row r="34" spans="1:41" s="97" customFormat="1" ht="12.6" x14ac:dyDescent="0.25">
      <c r="A34" s="1"/>
      <c r="B34" s="1"/>
      <c r="D34" s="27" t="s">
        <v>858</v>
      </c>
      <c r="E34" s="27"/>
      <c r="F34" s="27"/>
      <c r="G34" s="27"/>
      <c r="H34" s="27"/>
      <c r="I34" s="27"/>
      <c r="J34" s="372" t="s">
        <v>1205</v>
      </c>
      <c r="K34" s="27"/>
      <c r="L34" s="83"/>
      <c r="M34" s="27"/>
      <c r="N34" s="66"/>
      <c r="O34" s="66"/>
      <c r="P34" s="66"/>
      <c r="Q34" s="66">
        <f>SUM(Q26:Q33)</f>
        <v>711382</v>
      </c>
      <c r="R34" s="66">
        <f t="shared" ref="R34" si="37">SUM(R26:R33)</f>
        <v>804051</v>
      </c>
      <c r="S34" s="66">
        <f t="shared" ref="S34:AD34" si="38">SUM(S26:S33)</f>
        <v>805524.25937765755</v>
      </c>
      <c r="T34" s="66">
        <f t="shared" si="38"/>
        <v>797201.75800722139</v>
      </c>
      <c r="U34" s="66">
        <f t="shared" si="38"/>
        <v>784225.21638528269</v>
      </c>
      <c r="V34" s="66">
        <f t="shared" si="38"/>
        <v>766594.63451184158</v>
      </c>
      <c r="W34" s="66">
        <f t="shared" si="38"/>
        <v>744310.01238689793</v>
      </c>
      <c r="X34" s="66">
        <f t="shared" si="38"/>
        <v>717371.35001045186</v>
      </c>
      <c r="Y34" s="66">
        <f t="shared" si="38"/>
        <v>685778.64738250338</v>
      </c>
      <c r="Z34" s="66">
        <f t="shared" si="38"/>
        <v>649531.90450305224</v>
      </c>
      <c r="AA34" s="66">
        <f t="shared" si="38"/>
        <v>608631.12137209869</v>
      </c>
      <c r="AB34" s="66">
        <f t="shared" si="38"/>
        <v>566265.03708399821</v>
      </c>
      <c r="AC34" s="66">
        <f t="shared" si="38"/>
        <v>528251.74487163778</v>
      </c>
      <c r="AD34" s="66">
        <f t="shared" si="38"/>
        <v>485867.85340095742</v>
      </c>
      <c r="AE34" s="103"/>
      <c r="AF34" s="101"/>
      <c r="AG34" s="101"/>
      <c r="AH34" s="101"/>
      <c r="AI34" s="101"/>
      <c r="AJ34" s="101"/>
      <c r="AK34" s="101"/>
      <c r="AL34" s="101"/>
      <c r="AM34" s="101"/>
      <c r="AN34" s="101"/>
      <c r="AO34" s="101"/>
    </row>
    <row r="35" spans="1:41" s="97" customFormat="1" ht="12.6" x14ac:dyDescent="0.25">
      <c r="A35" s="1"/>
      <c r="B35" s="1"/>
      <c r="D35" s="32"/>
      <c r="J35" s="98"/>
      <c r="L35" s="99"/>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1" ht="12.6" x14ac:dyDescent="0.25">
      <c r="D36" s="27" t="s">
        <v>859</v>
      </c>
      <c r="E36" s="28"/>
      <c r="F36" s="28"/>
      <c r="G36" s="28"/>
      <c r="H36" s="28"/>
      <c r="I36" s="28"/>
      <c r="J36" s="372" t="s">
        <v>1205</v>
      </c>
      <c r="K36" s="28"/>
      <c r="L36" s="30" t="s">
        <v>1050</v>
      </c>
      <c r="M36" s="28"/>
      <c r="N36" s="28"/>
      <c r="O36" s="130"/>
      <c r="P36" s="130"/>
      <c r="Q36" s="66">
        <f>Q34+Q23</f>
        <v>1180912</v>
      </c>
      <c r="R36" s="66">
        <f t="shared" ref="R36" si="39">R34+R23</f>
        <v>1462895</v>
      </c>
      <c r="S36" s="66" t="e">
        <f t="shared" ref="S36:AD36" si="40">S34+S23</f>
        <v>#NAME?</v>
      </c>
      <c r="T36" s="66" t="e">
        <f t="shared" si="40"/>
        <v>#NAME?</v>
      </c>
      <c r="U36" s="66" t="e">
        <f t="shared" si="40"/>
        <v>#NAME?</v>
      </c>
      <c r="V36" s="66" t="e">
        <f t="shared" si="40"/>
        <v>#NAME?</v>
      </c>
      <c r="W36" s="66" t="e">
        <f t="shared" si="40"/>
        <v>#NAME?</v>
      </c>
      <c r="X36" s="66" t="e">
        <f t="shared" si="40"/>
        <v>#NAME?</v>
      </c>
      <c r="Y36" s="66" t="e">
        <f t="shared" si="40"/>
        <v>#NAME?</v>
      </c>
      <c r="Z36" s="66" t="e">
        <f t="shared" si="40"/>
        <v>#NAME?</v>
      </c>
      <c r="AA36" s="66" t="e">
        <f t="shared" si="40"/>
        <v>#NAME?</v>
      </c>
      <c r="AB36" s="66" t="e">
        <f t="shared" si="40"/>
        <v>#NAME?</v>
      </c>
      <c r="AC36" s="66" t="e">
        <f t="shared" si="40"/>
        <v>#NAME?</v>
      </c>
      <c r="AD36" s="66" t="e">
        <f t="shared" si="40"/>
        <v>#NAME?</v>
      </c>
    </row>
    <row r="37" spans="1:41" ht="12.6" x14ac:dyDescent="0.25">
      <c r="J37" s="37"/>
    </row>
    <row r="38" spans="1:41" ht="12.6" x14ac:dyDescent="0.25">
      <c r="C38" s="35" t="s">
        <v>27</v>
      </c>
      <c r="J38" s="37"/>
      <c r="Q38" s="25"/>
      <c r="R38" s="25"/>
    </row>
    <row r="39" spans="1:41" ht="12.6" x14ac:dyDescent="0.25">
      <c r="C39" s="35"/>
      <c r="D39" s="1" t="s">
        <v>860</v>
      </c>
      <c r="J39" s="98" t="s">
        <v>1205</v>
      </c>
      <c r="L39" s="99" t="s">
        <v>904</v>
      </c>
      <c r="Q39" s="25">
        <f>Act_BS_Debt_Current</f>
        <v>6343</v>
      </c>
      <c r="R39" s="25">
        <f t="shared" ref="R39" si="41">Act_BS_Debt_Current</f>
        <v>15392</v>
      </c>
      <c r="S39" s="101">
        <f t="shared" ref="S39:AD39" si="42">Finance_Loans_Current_Portion</f>
        <v>32249.125</v>
      </c>
      <c r="T39" s="101">
        <f t="shared" si="42"/>
        <v>32249.125</v>
      </c>
      <c r="U39" s="101">
        <f t="shared" si="42"/>
        <v>50999.125</v>
      </c>
      <c r="V39" s="101">
        <f t="shared" si="42"/>
        <v>50999.125</v>
      </c>
      <c r="W39" s="101">
        <f t="shared" si="42"/>
        <v>49921.125</v>
      </c>
      <c r="X39" s="101">
        <f t="shared" si="42"/>
        <v>49921.125</v>
      </c>
      <c r="Y39" s="101">
        <f t="shared" si="42"/>
        <v>31171.125</v>
      </c>
      <c r="Z39" s="101">
        <f t="shared" si="42"/>
        <v>31171.125</v>
      </c>
      <c r="AA39" s="101">
        <f t="shared" si="42"/>
        <v>0</v>
      </c>
      <c r="AB39" s="101">
        <f t="shared" si="42"/>
        <v>0</v>
      </c>
      <c r="AC39" s="101">
        <f t="shared" si="42"/>
        <v>0</v>
      </c>
      <c r="AD39" s="101">
        <f t="shared" si="42"/>
        <v>0</v>
      </c>
    </row>
    <row r="40" spans="1:41" ht="12.6" x14ac:dyDescent="0.25">
      <c r="C40" s="35"/>
      <c r="D40" s="1" t="s">
        <v>861</v>
      </c>
      <c r="J40" s="98" t="s">
        <v>1205</v>
      </c>
      <c r="L40" s="99" t="s">
        <v>905</v>
      </c>
      <c r="Q40" s="25">
        <f>Act_BS_Lease_Current</f>
        <v>14388</v>
      </c>
      <c r="R40" s="25">
        <f t="shared" ref="R40" si="43">Act_BS_Lease_Current</f>
        <v>14616</v>
      </c>
      <c r="S40" s="101">
        <f t="shared" ref="S40:AD40" si="44">R40</f>
        <v>14616</v>
      </c>
      <c r="T40" s="101">
        <f t="shared" si="44"/>
        <v>14616</v>
      </c>
      <c r="U40" s="101">
        <f t="shared" si="44"/>
        <v>14616</v>
      </c>
      <c r="V40" s="101">
        <f t="shared" si="44"/>
        <v>14616</v>
      </c>
      <c r="W40" s="101">
        <f t="shared" si="44"/>
        <v>14616</v>
      </c>
      <c r="X40" s="101">
        <f t="shared" si="44"/>
        <v>14616</v>
      </c>
      <c r="Y40" s="101">
        <f t="shared" si="44"/>
        <v>14616</v>
      </c>
      <c r="Z40" s="101">
        <f t="shared" si="44"/>
        <v>14616</v>
      </c>
      <c r="AA40" s="101">
        <f t="shared" si="44"/>
        <v>14616</v>
      </c>
      <c r="AB40" s="101">
        <f t="shared" si="44"/>
        <v>14616</v>
      </c>
      <c r="AC40" s="101">
        <f t="shared" si="44"/>
        <v>14616</v>
      </c>
      <c r="AD40" s="101">
        <f t="shared" si="44"/>
        <v>14616</v>
      </c>
    </row>
    <row r="41" spans="1:41" s="97" customFormat="1" x14ac:dyDescent="0.2">
      <c r="A41" s="1"/>
      <c r="B41" s="1"/>
      <c r="D41" s="97" t="s">
        <v>450</v>
      </c>
      <c r="J41" s="98" t="s">
        <v>1205</v>
      </c>
      <c r="L41" s="99" t="s">
        <v>28</v>
      </c>
      <c r="N41" s="101"/>
      <c r="O41" s="101"/>
      <c r="P41" s="101"/>
      <c r="Q41" s="101">
        <f>Act_BS_Payables</f>
        <v>31319</v>
      </c>
      <c r="R41" s="101">
        <f t="shared" ref="R41" si="45">Act_BS_Payables</f>
        <v>42549</v>
      </c>
      <c r="S41" s="101">
        <f t="shared" ref="S41:AD41" si="46">Asset_Liability_Payables</f>
        <v>50692.759258446029</v>
      </c>
      <c r="T41" s="101">
        <f t="shared" si="46"/>
        <v>59539.150473878421</v>
      </c>
      <c r="U41" s="101">
        <f t="shared" si="46"/>
        <v>70558.828547174213</v>
      </c>
      <c r="V41" s="101">
        <f t="shared" si="46"/>
        <v>84427.016285447084</v>
      </c>
      <c r="W41" s="101">
        <f t="shared" si="46"/>
        <v>102055.44876277882</v>
      </c>
      <c r="X41" s="101">
        <f t="shared" si="46"/>
        <v>124679.31093528845</v>
      </c>
      <c r="Y41" s="101">
        <f t="shared" si="46"/>
        <v>153976.6901496833</v>
      </c>
      <c r="Z41" s="101">
        <f t="shared" si="46"/>
        <v>192232.77676955835</v>
      </c>
      <c r="AA41" s="101">
        <f t="shared" si="46"/>
        <v>242565.65797788595</v>
      </c>
      <c r="AB41" s="101">
        <f t="shared" si="46"/>
        <v>309236.90145332832</v>
      </c>
      <c r="AC41" s="101">
        <f t="shared" si="46"/>
        <v>398078.87354942475</v>
      </c>
      <c r="AD41" s="101">
        <f t="shared" si="46"/>
        <v>517082.78505031794</v>
      </c>
      <c r="AE41" s="101"/>
      <c r="AF41" s="101"/>
      <c r="AG41" s="101"/>
      <c r="AH41" s="101"/>
      <c r="AI41" s="101"/>
      <c r="AJ41" s="101"/>
      <c r="AK41" s="101"/>
      <c r="AL41" s="101"/>
      <c r="AM41" s="101"/>
      <c r="AN41" s="101"/>
      <c r="AO41" s="101"/>
    </row>
    <row r="42" spans="1:41" s="97" customFormat="1" x14ac:dyDescent="0.2">
      <c r="A42" s="1"/>
      <c r="B42" s="1"/>
      <c r="D42" s="97" t="s">
        <v>511</v>
      </c>
      <c r="J42" s="98" t="s">
        <v>1205</v>
      </c>
      <c r="L42" s="99" t="s">
        <v>906</v>
      </c>
      <c r="N42" s="101"/>
      <c r="O42" s="101"/>
      <c r="P42" s="101"/>
      <c r="Q42" s="101">
        <f>Act_BS_Provisions_Current</f>
        <v>33150</v>
      </c>
      <c r="R42" s="101">
        <f t="shared" ref="R42" si="47">Act_BS_Provisions_Current</f>
        <v>41848</v>
      </c>
      <c r="S42" s="101">
        <f t="shared" ref="S42:AD42" si="48">R42</f>
        <v>41848</v>
      </c>
      <c r="T42" s="101">
        <f t="shared" si="48"/>
        <v>41848</v>
      </c>
      <c r="U42" s="101">
        <f t="shared" si="48"/>
        <v>41848</v>
      </c>
      <c r="V42" s="101">
        <f t="shared" si="48"/>
        <v>41848</v>
      </c>
      <c r="W42" s="101">
        <f t="shared" si="48"/>
        <v>41848</v>
      </c>
      <c r="X42" s="101">
        <f t="shared" si="48"/>
        <v>41848</v>
      </c>
      <c r="Y42" s="101">
        <f t="shared" si="48"/>
        <v>41848</v>
      </c>
      <c r="Z42" s="101">
        <f t="shared" si="48"/>
        <v>41848</v>
      </c>
      <c r="AA42" s="101">
        <f t="shared" si="48"/>
        <v>41848</v>
      </c>
      <c r="AB42" s="101">
        <f t="shared" si="48"/>
        <v>41848</v>
      </c>
      <c r="AC42" s="101">
        <f t="shared" si="48"/>
        <v>41848</v>
      </c>
      <c r="AD42" s="101">
        <f t="shared" si="48"/>
        <v>41848</v>
      </c>
      <c r="AE42" s="101"/>
      <c r="AF42" s="101"/>
      <c r="AG42" s="101"/>
      <c r="AH42" s="101"/>
      <c r="AI42" s="101"/>
      <c r="AJ42" s="101"/>
      <c r="AK42" s="101"/>
      <c r="AL42" s="101"/>
      <c r="AM42" s="101"/>
      <c r="AN42" s="101"/>
      <c r="AO42" s="101"/>
    </row>
    <row r="43" spans="1:41" s="97" customFormat="1" x14ac:dyDescent="0.2">
      <c r="A43" s="1"/>
      <c r="B43" s="1"/>
      <c r="D43" s="97" t="s">
        <v>862</v>
      </c>
      <c r="J43" s="98" t="s">
        <v>1205</v>
      </c>
      <c r="L43" s="99" t="s">
        <v>918</v>
      </c>
      <c r="N43" s="101"/>
      <c r="O43" s="101"/>
      <c r="P43" s="101"/>
      <c r="Q43" s="101">
        <f>Act_BS_Contract_Liabilities_Current</f>
        <v>71067</v>
      </c>
      <c r="R43" s="101">
        <f>Act_BS_Contract_Liabilities_Current</f>
        <v>66477</v>
      </c>
      <c r="S43" s="101">
        <f>Asset_Liability_Contract_Current</f>
        <v>85162.883598510714</v>
      </c>
      <c r="T43" s="101">
        <f t="shared" ref="T43:AD43" si="49">Asset_Liability_Contract_Current</f>
        <v>100024.65471469302</v>
      </c>
      <c r="U43" s="101">
        <f t="shared" si="49"/>
        <v>118537.50694008832</v>
      </c>
      <c r="V43" s="101">
        <f t="shared" si="49"/>
        <v>141835.80191068706</v>
      </c>
      <c r="W43" s="101">
        <f t="shared" si="49"/>
        <v>171451.23742953929</v>
      </c>
      <c r="X43" s="101">
        <f t="shared" si="49"/>
        <v>209458.90102747563</v>
      </c>
      <c r="Y43" s="101">
        <f t="shared" si="49"/>
        <v>258677.94793428277</v>
      </c>
      <c r="Z43" s="101">
        <f t="shared" si="49"/>
        <v>322947.45504737488</v>
      </c>
      <c r="AA43" s="101">
        <f t="shared" si="49"/>
        <v>407505.75027981063</v>
      </c>
      <c r="AB43" s="101">
        <f t="shared" si="49"/>
        <v>519512.18730406981</v>
      </c>
      <c r="AC43" s="101">
        <f t="shared" si="49"/>
        <v>668765.03206851031</v>
      </c>
      <c r="AD43" s="101">
        <f t="shared" si="49"/>
        <v>868689.36862411955</v>
      </c>
      <c r="AE43" s="101"/>
      <c r="AF43" s="101"/>
      <c r="AG43" s="101"/>
      <c r="AH43" s="101"/>
      <c r="AI43" s="101"/>
      <c r="AJ43" s="101"/>
      <c r="AK43" s="101"/>
      <c r="AL43" s="101"/>
      <c r="AM43" s="101"/>
      <c r="AN43" s="101"/>
      <c r="AO43" s="101"/>
    </row>
    <row r="44" spans="1:41" s="97" customFormat="1" x14ac:dyDescent="0.2">
      <c r="A44" s="1"/>
      <c r="B44" s="1"/>
      <c r="D44" s="97" t="s">
        <v>863</v>
      </c>
      <c r="J44" s="98" t="s">
        <v>1205</v>
      </c>
      <c r="L44" s="99" t="s">
        <v>907</v>
      </c>
      <c r="N44" s="101"/>
      <c r="O44" s="101"/>
      <c r="P44" s="101"/>
      <c r="Q44" s="101">
        <f>Act_BS_Deferred_Income_Current</f>
        <v>2338</v>
      </c>
      <c r="R44" s="101">
        <f t="shared" ref="R44" si="50">Act_BS_Deferred_Income_Current</f>
        <v>4172</v>
      </c>
      <c r="S44" s="101">
        <f t="shared" ref="S44:AD44" si="51">R44</f>
        <v>4172</v>
      </c>
      <c r="T44" s="101">
        <f t="shared" si="51"/>
        <v>4172</v>
      </c>
      <c r="U44" s="101">
        <f t="shared" si="51"/>
        <v>4172</v>
      </c>
      <c r="V44" s="101">
        <f t="shared" si="51"/>
        <v>4172</v>
      </c>
      <c r="W44" s="101">
        <f t="shared" si="51"/>
        <v>4172</v>
      </c>
      <c r="X44" s="101">
        <f t="shared" si="51"/>
        <v>4172</v>
      </c>
      <c r="Y44" s="101">
        <f t="shared" si="51"/>
        <v>4172</v>
      </c>
      <c r="Z44" s="101">
        <f t="shared" si="51"/>
        <v>4172</v>
      </c>
      <c r="AA44" s="101">
        <f t="shared" si="51"/>
        <v>4172</v>
      </c>
      <c r="AB44" s="101">
        <f t="shared" si="51"/>
        <v>4172</v>
      </c>
      <c r="AC44" s="101">
        <f t="shared" si="51"/>
        <v>4172</v>
      </c>
      <c r="AD44" s="101">
        <f t="shared" si="51"/>
        <v>4172</v>
      </c>
      <c r="AE44" s="101"/>
      <c r="AF44" s="101"/>
      <c r="AG44" s="101"/>
      <c r="AH44" s="101"/>
      <c r="AI44" s="101"/>
      <c r="AJ44" s="101"/>
      <c r="AK44" s="101"/>
      <c r="AL44" s="101"/>
      <c r="AM44" s="101"/>
      <c r="AN44" s="101"/>
      <c r="AO44" s="101"/>
    </row>
    <row r="45" spans="1:41" s="97" customFormat="1" x14ac:dyDescent="0.2">
      <c r="A45" s="1"/>
      <c r="B45" s="1"/>
      <c r="D45" s="97" t="s">
        <v>866</v>
      </c>
      <c r="J45" s="98" t="s">
        <v>1205</v>
      </c>
      <c r="L45" s="99" t="s">
        <v>908</v>
      </c>
      <c r="N45" s="101"/>
      <c r="O45" s="101"/>
      <c r="P45" s="101"/>
      <c r="Q45" s="101">
        <f>Act_BS_Tax_Payable</f>
        <v>7305</v>
      </c>
      <c r="R45" s="101">
        <f t="shared" ref="R45" si="52">Act_BS_Tax_Payable</f>
        <v>3362</v>
      </c>
      <c r="S45" s="101">
        <f t="shared" ref="S45:AD46" si="53">R45</f>
        <v>3362</v>
      </c>
      <c r="T45" s="101">
        <f t="shared" si="53"/>
        <v>3362</v>
      </c>
      <c r="U45" s="101">
        <f t="shared" si="53"/>
        <v>3362</v>
      </c>
      <c r="V45" s="101">
        <f t="shared" si="53"/>
        <v>3362</v>
      </c>
      <c r="W45" s="101">
        <f t="shared" si="53"/>
        <v>3362</v>
      </c>
      <c r="X45" s="101">
        <f t="shared" si="53"/>
        <v>3362</v>
      </c>
      <c r="Y45" s="101">
        <f t="shared" si="53"/>
        <v>3362</v>
      </c>
      <c r="Z45" s="101">
        <f t="shared" si="53"/>
        <v>3362</v>
      </c>
      <c r="AA45" s="101">
        <f t="shared" si="53"/>
        <v>3362</v>
      </c>
      <c r="AB45" s="101">
        <f t="shared" si="53"/>
        <v>3362</v>
      </c>
      <c r="AC45" s="101">
        <f t="shared" si="53"/>
        <v>3362</v>
      </c>
      <c r="AD45" s="101">
        <f t="shared" si="53"/>
        <v>3362</v>
      </c>
      <c r="AE45" s="101"/>
      <c r="AF45" s="101"/>
      <c r="AG45" s="101"/>
      <c r="AH45" s="101"/>
      <c r="AI45" s="101"/>
      <c r="AJ45" s="101"/>
      <c r="AK45" s="101"/>
      <c r="AL45" s="101"/>
      <c r="AM45" s="101"/>
      <c r="AN45" s="101"/>
      <c r="AO45" s="101"/>
    </row>
    <row r="46" spans="1:41" x14ac:dyDescent="0.2">
      <c r="D46" s="1" t="s">
        <v>881</v>
      </c>
      <c r="J46" s="98" t="s">
        <v>1205</v>
      </c>
      <c r="L46" s="99" t="s">
        <v>909</v>
      </c>
      <c r="Q46" s="25">
        <f>Act_BS_Other_FA_Current</f>
        <v>190</v>
      </c>
      <c r="R46" s="25">
        <f t="shared" ref="R46" si="54">Act_BS_Other_FA_Current</f>
        <v>0</v>
      </c>
      <c r="S46" s="101">
        <f t="shared" si="53"/>
        <v>0</v>
      </c>
      <c r="T46" s="101">
        <f t="shared" si="53"/>
        <v>0</v>
      </c>
      <c r="U46" s="101">
        <f t="shared" si="53"/>
        <v>0</v>
      </c>
      <c r="V46" s="101">
        <f t="shared" si="53"/>
        <v>0</v>
      </c>
      <c r="W46" s="101">
        <f t="shared" si="53"/>
        <v>0</v>
      </c>
      <c r="X46" s="101">
        <f t="shared" si="53"/>
        <v>0</v>
      </c>
      <c r="Y46" s="101">
        <f t="shared" si="53"/>
        <v>0</v>
      </c>
      <c r="Z46" s="101">
        <f t="shared" si="53"/>
        <v>0</v>
      </c>
      <c r="AA46" s="101">
        <f t="shared" si="53"/>
        <v>0</v>
      </c>
      <c r="AB46" s="101">
        <f t="shared" si="53"/>
        <v>0</v>
      </c>
      <c r="AC46" s="101">
        <f t="shared" si="53"/>
        <v>0</v>
      </c>
      <c r="AD46" s="101">
        <f t="shared" si="53"/>
        <v>0</v>
      </c>
    </row>
    <row r="47" spans="1:41" x14ac:dyDescent="0.2">
      <c r="D47" s="1" t="s">
        <v>882</v>
      </c>
      <c r="J47" s="98" t="s">
        <v>1205</v>
      </c>
      <c r="L47" s="99" t="s">
        <v>1033</v>
      </c>
      <c r="Q47" s="25">
        <f>Act_BS_Other_NonCurrent_Assets</f>
        <v>12855</v>
      </c>
      <c r="R47" s="25">
        <f t="shared" ref="R47" si="55">Act_BS_Other_NonCurrent_Assets</f>
        <v>20043</v>
      </c>
      <c r="S47" s="101">
        <f t="shared" ref="S47:AD47" si="56">Asset_Liability_OCL</f>
        <v>20074.895232956409</v>
      </c>
      <c r="T47" s="101">
        <f t="shared" si="56"/>
        <v>23578.164327742612</v>
      </c>
      <c r="U47" s="101">
        <f t="shared" si="56"/>
        <v>27942.079136452936</v>
      </c>
      <c r="V47" s="101">
        <f t="shared" si="56"/>
        <v>33434.035384038987</v>
      </c>
      <c r="W47" s="101">
        <f t="shared" si="56"/>
        <v>40415.090277883981</v>
      </c>
      <c r="X47" s="101">
        <f t="shared" si="56"/>
        <v>49374.390768166646</v>
      </c>
      <c r="Y47" s="101">
        <f t="shared" si="56"/>
        <v>60976.478066880423</v>
      </c>
      <c r="Z47" s="101">
        <f t="shared" si="56"/>
        <v>76126.312918076466</v>
      </c>
      <c r="AA47" s="101">
        <f t="shared" si="56"/>
        <v>96058.692449412934</v>
      </c>
      <c r="AB47" s="101">
        <f t="shared" si="56"/>
        <v>122461.24475469976</v>
      </c>
      <c r="AC47" s="101">
        <f t="shared" si="56"/>
        <v>157643.65163505165</v>
      </c>
      <c r="AD47" s="101">
        <f t="shared" si="56"/>
        <v>204770.5212440365</v>
      </c>
    </row>
    <row r="48" spans="1:41" s="97" customFormat="1" ht="12.6" x14ac:dyDescent="0.25">
      <c r="A48" s="1"/>
      <c r="B48" s="1"/>
      <c r="D48" s="27" t="s">
        <v>868</v>
      </c>
      <c r="E48" s="27"/>
      <c r="F48" s="27"/>
      <c r="G48" s="27"/>
      <c r="H48" s="27"/>
      <c r="I48" s="27"/>
      <c r="J48" s="372" t="s">
        <v>1205</v>
      </c>
      <c r="K48" s="27"/>
      <c r="L48" s="83"/>
      <c r="M48" s="27"/>
      <c r="N48" s="66"/>
      <c r="O48" s="66"/>
      <c r="P48" s="66"/>
      <c r="Q48" s="66">
        <f>SUM(Q39:Q47)</f>
        <v>178955</v>
      </c>
      <c r="R48" s="66">
        <f t="shared" ref="R48" si="57">SUM(R39:R47)</f>
        <v>208459</v>
      </c>
      <c r="S48" s="66">
        <f t="shared" ref="S48:AD48" si="58">SUM(S39:S47)</f>
        <v>252177.66308991317</v>
      </c>
      <c r="T48" s="66">
        <f t="shared" si="58"/>
        <v>279389.09451631404</v>
      </c>
      <c r="U48" s="66">
        <f t="shared" si="58"/>
        <v>332035.53962371551</v>
      </c>
      <c r="V48" s="66">
        <f t="shared" si="58"/>
        <v>374693.97858017316</v>
      </c>
      <c r="W48" s="66">
        <f t="shared" si="58"/>
        <v>427840.90147020208</v>
      </c>
      <c r="X48" s="66">
        <f t="shared" si="58"/>
        <v>497431.72773093067</v>
      </c>
      <c r="Y48" s="66">
        <f t="shared" si="58"/>
        <v>568800.24115084647</v>
      </c>
      <c r="Z48" s="66">
        <f t="shared" si="58"/>
        <v>686475.66973500978</v>
      </c>
      <c r="AA48" s="66">
        <f t="shared" si="58"/>
        <v>810128.10070710944</v>
      </c>
      <c r="AB48" s="66">
        <f t="shared" si="58"/>
        <v>1015208.3335120978</v>
      </c>
      <c r="AC48" s="66">
        <f t="shared" si="58"/>
        <v>1288485.5572529868</v>
      </c>
      <c r="AD48" s="66">
        <f t="shared" si="58"/>
        <v>1654540.6749184739</v>
      </c>
      <c r="AE48" s="103"/>
      <c r="AF48" s="101"/>
      <c r="AG48" s="101"/>
      <c r="AH48" s="101"/>
      <c r="AI48" s="101"/>
      <c r="AJ48" s="101"/>
      <c r="AK48" s="101"/>
      <c r="AL48" s="101"/>
      <c r="AM48" s="101"/>
      <c r="AN48" s="101"/>
      <c r="AO48" s="101"/>
    </row>
    <row r="49" spans="1:41" s="97" customFormat="1" x14ac:dyDescent="0.2">
      <c r="A49" s="1"/>
      <c r="B49" s="1"/>
      <c r="J49" s="98"/>
      <c r="L49" s="99"/>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row>
    <row r="50" spans="1:41" ht="12.6" x14ac:dyDescent="0.25">
      <c r="C50" s="35" t="s">
        <v>869</v>
      </c>
      <c r="Q50" s="25"/>
      <c r="R50" s="25"/>
    </row>
    <row r="51" spans="1:41" s="97" customFormat="1" x14ac:dyDescent="0.2">
      <c r="A51" s="1"/>
      <c r="B51" s="1"/>
      <c r="D51" s="97" t="s">
        <v>452</v>
      </c>
      <c r="J51" s="98" t="s">
        <v>1205</v>
      </c>
      <c r="L51" s="99" t="s">
        <v>910</v>
      </c>
      <c r="N51" s="101"/>
      <c r="O51" s="101"/>
      <c r="P51" s="101"/>
      <c r="Q51" s="101">
        <f>Act_BS_Debt_Non_Current</f>
        <v>324886</v>
      </c>
      <c r="R51" s="101">
        <f t="shared" ref="R51" si="59">Act_BS_Debt_Non_Current</f>
        <v>331019</v>
      </c>
      <c r="S51" s="101">
        <f t="shared" ref="S51:AD51" si="60">Finance_Loans_Non_Current_Portion</f>
        <v>296431.875</v>
      </c>
      <c r="T51" s="101">
        <f t="shared" si="60"/>
        <v>264182.75</v>
      </c>
      <c r="U51" s="101">
        <f t="shared" si="60"/>
        <v>213183.625</v>
      </c>
      <c r="V51" s="101">
        <f t="shared" si="60"/>
        <v>162184.5</v>
      </c>
      <c r="W51" s="101">
        <f t="shared" si="60"/>
        <v>112263.375</v>
      </c>
      <c r="X51" s="101">
        <f t="shared" si="60"/>
        <v>62342.25</v>
      </c>
      <c r="Y51" s="101">
        <f t="shared" si="60"/>
        <v>31171.125</v>
      </c>
      <c r="Z51" s="101">
        <f t="shared" si="60"/>
        <v>0</v>
      </c>
      <c r="AA51" s="101">
        <f t="shared" si="60"/>
        <v>0</v>
      </c>
      <c r="AB51" s="101">
        <f t="shared" si="60"/>
        <v>0</v>
      </c>
      <c r="AC51" s="101">
        <f t="shared" si="60"/>
        <v>0</v>
      </c>
      <c r="AD51" s="101">
        <f t="shared" si="60"/>
        <v>0</v>
      </c>
      <c r="AE51" s="101"/>
      <c r="AF51" s="101"/>
      <c r="AG51" s="101"/>
      <c r="AH51" s="101"/>
      <c r="AI51" s="101"/>
      <c r="AJ51" s="101"/>
      <c r="AK51" s="101"/>
      <c r="AL51" s="101"/>
      <c r="AM51" s="101"/>
      <c r="AN51" s="101"/>
      <c r="AO51" s="101"/>
    </row>
    <row r="52" spans="1:41" s="97" customFormat="1" x14ac:dyDescent="0.2">
      <c r="A52" s="1"/>
      <c r="B52" s="1"/>
      <c r="D52" s="97" t="s">
        <v>870</v>
      </c>
      <c r="J52" s="98" t="s">
        <v>1205</v>
      </c>
      <c r="L52" s="99" t="s">
        <v>911</v>
      </c>
      <c r="N52" s="101"/>
      <c r="O52" s="101"/>
      <c r="P52" s="101"/>
      <c r="Q52" s="101">
        <f>Act_BS_Lease_Non_Current</f>
        <v>117482</v>
      </c>
      <c r="R52" s="101">
        <f t="shared" ref="R52" si="61">Act_BS_Lease_Non_Current</f>
        <v>130938</v>
      </c>
      <c r="S52" s="101">
        <f t="shared" ref="S52:AD57" si="62">R52</f>
        <v>130938</v>
      </c>
      <c r="T52" s="101">
        <f t="shared" si="62"/>
        <v>130938</v>
      </c>
      <c r="U52" s="101">
        <f t="shared" si="62"/>
        <v>130938</v>
      </c>
      <c r="V52" s="101">
        <f t="shared" si="62"/>
        <v>130938</v>
      </c>
      <c r="W52" s="101">
        <f t="shared" si="62"/>
        <v>130938</v>
      </c>
      <c r="X52" s="101">
        <f t="shared" si="62"/>
        <v>130938</v>
      </c>
      <c r="Y52" s="101">
        <f t="shared" si="62"/>
        <v>130938</v>
      </c>
      <c r="Z52" s="101">
        <f t="shared" si="62"/>
        <v>130938</v>
      </c>
      <c r="AA52" s="101">
        <f t="shared" si="62"/>
        <v>130938</v>
      </c>
      <c r="AB52" s="101">
        <f t="shared" si="62"/>
        <v>130938</v>
      </c>
      <c r="AC52" s="101">
        <f t="shared" si="62"/>
        <v>130938</v>
      </c>
      <c r="AD52" s="101">
        <f t="shared" si="62"/>
        <v>130938</v>
      </c>
      <c r="AE52" s="101"/>
      <c r="AF52" s="101"/>
      <c r="AG52" s="101"/>
      <c r="AH52" s="101"/>
      <c r="AI52" s="101"/>
      <c r="AJ52" s="101"/>
      <c r="AK52" s="101"/>
      <c r="AL52" s="101"/>
      <c r="AM52" s="101"/>
      <c r="AN52" s="101"/>
      <c r="AO52" s="101"/>
    </row>
    <row r="53" spans="1:41" ht="12.6" x14ac:dyDescent="0.25">
      <c r="C53" s="35"/>
      <c r="D53" s="1" t="s">
        <v>873</v>
      </c>
      <c r="J53" s="98" t="s">
        <v>1205</v>
      </c>
      <c r="L53" s="99" t="s">
        <v>912</v>
      </c>
      <c r="Q53" s="25">
        <f>Act_BS_Tax_Deferred</f>
        <v>21199</v>
      </c>
      <c r="R53" s="25">
        <f t="shared" ref="R53" si="63">Act_BS_Tax_Deferred</f>
        <v>20399</v>
      </c>
      <c r="S53" s="101">
        <f t="shared" si="62"/>
        <v>20399</v>
      </c>
      <c r="T53" s="101">
        <f t="shared" si="62"/>
        <v>20399</v>
      </c>
      <c r="U53" s="101">
        <f t="shared" si="62"/>
        <v>20399</v>
      </c>
      <c r="V53" s="101">
        <f t="shared" si="62"/>
        <v>20399</v>
      </c>
      <c r="W53" s="101">
        <f t="shared" si="62"/>
        <v>20399</v>
      </c>
      <c r="X53" s="101">
        <f t="shared" si="62"/>
        <v>20399</v>
      </c>
      <c r="Y53" s="101">
        <f t="shared" si="62"/>
        <v>20399</v>
      </c>
      <c r="Z53" s="101">
        <f t="shared" si="62"/>
        <v>20399</v>
      </c>
      <c r="AA53" s="101">
        <f t="shared" si="62"/>
        <v>20399</v>
      </c>
      <c r="AB53" s="101">
        <f t="shared" si="62"/>
        <v>20399</v>
      </c>
      <c r="AC53" s="101">
        <f t="shared" si="62"/>
        <v>20399</v>
      </c>
      <c r="AD53" s="101">
        <f t="shared" si="62"/>
        <v>20399</v>
      </c>
    </row>
    <row r="54" spans="1:41" s="97" customFormat="1" x14ac:dyDescent="0.2">
      <c r="A54" s="1"/>
      <c r="B54" s="1"/>
      <c r="D54" s="97" t="s">
        <v>511</v>
      </c>
      <c r="J54" s="98" t="s">
        <v>1205</v>
      </c>
      <c r="L54" s="99" t="s">
        <v>913</v>
      </c>
      <c r="N54" s="101"/>
      <c r="O54" s="101"/>
      <c r="P54" s="101"/>
      <c r="Q54" s="101">
        <f>Act_BS_Provisions_Non_Current</f>
        <v>22538</v>
      </c>
      <c r="R54" s="101">
        <f t="shared" ref="R54" si="64">Act_BS_Provisions_Non_Current</f>
        <v>22899</v>
      </c>
      <c r="S54" s="101">
        <f t="shared" si="62"/>
        <v>22899</v>
      </c>
      <c r="T54" s="101">
        <f t="shared" si="62"/>
        <v>22899</v>
      </c>
      <c r="U54" s="101">
        <f t="shared" si="62"/>
        <v>22899</v>
      </c>
      <c r="V54" s="101">
        <f t="shared" si="62"/>
        <v>22899</v>
      </c>
      <c r="W54" s="101">
        <f t="shared" si="62"/>
        <v>22899</v>
      </c>
      <c r="X54" s="101">
        <f t="shared" si="62"/>
        <v>22899</v>
      </c>
      <c r="Y54" s="101">
        <f t="shared" si="62"/>
        <v>22899</v>
      </c>
      <c r="Z54" s="101">
        <f t="shared" si="62"/>
        <v>22899</v>
      </c>
      <c r="AA54" s="101">
        <f t="shared" si="62"/>
        <v>22899</v>
      </c>
      <c r="AB54" s="101">
        <f t="shared" si="62"/>
        <v>22899</v>
      </c>
      <c r="AC54" s="101">
        <f t="shared" si="62"/>
        <v>22899</v>
      </c>
      <c r="AD54" s="101">
        <f t="shared" si="62"/>
        <v>22899</v>
      </c>
      <c r="AE54" s="101"/>
      <c r="AF54" s="101"/>
      <c r="AG54" s="101"/>
      <c r="AH54" s="101"/>
      <c r="AI54" s="101"/>
      <c r="AJ54" s="101"/>
      <c r="AK54" s="101"/>
      <c r="AL54" s="101"/>
      <c r="AM54" s="101"/>
      <c r="AN54" s="101"/>
      <c r="AO54" s="101"/>
    </row>
    <row r="55" spans="1:41" s="97" customFormat="1" x14ac:dyDescent="0.2">
      <c r="A55" s="1"/>
      <c r="B55" s="1"/>
      <c r="D55" s="97" t="s">
        <v>862</v>
      </c>
      <c r="J55" s="98" t="s">
        <v>1205</v>
      </c>
      <c r="L55" s="99" t="s">
        <v>919</v>
      </c>
      <c r="N55" s="101"/>
      <c r="O55" s="101"/>
      <c r="P55" s="101"/>
      <c r="Q55" s="101">
        <f>Act_BS_Contract_Liabilities_Non_Current</f>
        <v>33785</v>
      </c>
      <c r="R55" s="101">
        <f>Act_BS_Contract_Liabilities_Non_Current</f>
        <v>22437</v>
      </c>
      <c r="S55" s="101">
        <f t="shared" ref="S55:AD55" si="65">Asset_Liability_Contract_NonCurrent</f>
        <v>85162.883598510714</v>
      </c>
      <c r="T55" s="101">
        <f t="shared" si="65"/>
        <v>41281.130542843071</v>
      </c>
      <c r="U55" s="101">
        <f t="shared" si="65"/>
        <v>48921.561510755673</v>
      </c>
      <c r="V55" s="101">
        <f t="shared" si="65"/>
        <v>58536.990415262262</v>
      </c>
      <c r="W55" s="101">
        <f t="shared" si="65"/>
        <v>70759.563572091211</v>
      </c>
      <c r="X55" s="101">
        <f t="shared" si="65"/>
        <v>86445.689428663623</v>
      </c>
      <c r="Y55" s="101">
        <f t="shared" si="65"/>
        <v>106758.86027988736</v>
      </c>
      <c r="Z55" s="101">
        <f t="shared" si="65"/>
        <v>133283.49983627873</v>
      </c>
      <c r="AA55" s="101">
        <f t="shared" si="65"/>
        <v>168181.51606964733</v>
      </c>
      <c r="AB55" s="101">
        <f t="shared" si="65"/>
        <v>214407.64263440089</v>
      </c>
      <c r="AC55" s="101">
        <f t="shared" si="65"/>
        <v>276005.71749090421</v>
      </c>
      <c r="AD55" s="101">
        <f t="shared" si="65"/>
        <v>358516.40107770858</v>
      </c>
      <c r="AE55" s="101"/>
      <c r="AF55" s="101"/>
      <c r="AG55" s="101"/>
      <c r="AH55" s="101"/>
      <c r="AI55" s="101"/>
      <c r="AJ55" s="101"/>
      <c r="AK55" s="101"/>
      <c r="AL55" s="101"/>
      <c r="AM55" s="101"/>
      <c r="AN55" s="101"/>
      <c r="AO55" s="101"/>
    </row>
    <row r="56" spans="1:41" s="97" customFormat="1" x14ac:dyDescent="0.2">
      <c r="A56" s="1"/>
      <c r="B56" s="1"/>
      <c r="D56" s="97" t="s">
        <v>863</v>
      </c>
      <c r="J56" s="98" t="s">
        <v>1205</v>
      </c>
      <c r="L56" s="99" t="s">
        <v>914</v>
      </c>
      <c r="N56" s="101"/>
      <c r="O56" s="101"/>
      <c r="P56" s="101"/>
      <c r="Q56" s="101">
        <f>Act_BS_Deferred_Income_Non_Current</f>
        <v>5038</v>
      </c>
      <c r="R56" s="101">
        <f t="shared" ref="R56" si="66">Act_BS_Deferred_Income_Non_Current</f>
        <v>3693</v>
      </c>
      <c r="S56" s="101">
        <f t="shared" si="62"/>
        <v>3693</v>
      </c>
      <c r="T56" s="101">
        <f t="shared" si="62"/>
        <v>3693</v>
      </c>
      <c r="U56" s="101">
        <f t="shared" si="62"/>
        <v>3693</v>
      </c>
      <c r="V56" s="101">
        <f t="shared" si="62"/>
        <v>3693</v>
      </c>
      <c r="W56" s="101">
        <f t="shared" si="62"/>
        <v>3693</v>
      </c>
      <c r="X56" s="101">
        <f t="shared" si="62"/>
        <v>3693</v>
      </c>
      <c r="Y56" s="101">
        <f t="shared" si="62"/>
        <v>3693</v>
      </c>
      <c r="Z56" s="101">
        <f t="shared" si="62"/>
        <v>3693</v>
      </c>
      <c r="AA56" s="101">
        <f t="shared" si="62"/>
        <v>3693</v>
      </c>
      <c r="AB56" s="101">
        <f t="shared" si="62"/>
        <v>3693</v>
      </c>
      <c r="AC56" s="101">
        <f t="shared" si="62"/>
        <v>3693</v>
      </c>
      <c r="AD56" s="101">
        <f t="shared" si="62"/>
        <v>3693</v>
      </c>
      <c r="AE56" s="101"/>
      <c r="AF56" s="101"/>
      <c r="AG56" s="101"/>
      <c r="AH56" s="101"/>
      <c r="AI56" s="101"/>
      <c r="AJ56" s="101"/>
      <c r="AK56" s="101"/>
      <c r="AL56" s="101"/>
      <c r="AM56" s="101"/>
      <c r="AN56" s="101"/>
      <c r="AO56" s="101"/>
    </row>
    <row r="57" spans="1:41" x14ac:dyDescent="0.2">
      <c r="D57" s="1" t="s">
        <v>881</v>
      </c>
      <c r="J57" s="98" t="s">
        <v>1205</v>
      </c>
      <c r="L57" s="99" t="s">
        <v>915</v>
      </c>
      <c r="Q57" s="25">
        <f>Act_BS_Other_FA_Non_Current</f>
        <v>0</v>
      </c>
      <c r="R57" s="25">
        <f t="shared" ref="R57" si="67">Act_BS_Other_FA_Non_Current</f>
        <v>205</v>
      </c>
      <c r="S57" s="101">
        <f t="shared" si="62"/>
        <v>205</v>
      </c>
      <c r="T57" s="101">
        <f t="shared" si="62"/>
        <v>205</v>
      </c>
      <c r="U57" s="101">
        <f t="shared" si="62"/>
        <v>205</v>
      </c>
      <c r="V57" s="101">
        <f t="shared" si="62"/>
        <v>205</v>
      </c>
      <c r="W57" s="101">
        <f t="shared" si="62"/>
        <v>205</v>
      </c>
      <c r="X57" s="101">
        <f t="shared" si="62"/>
        <v>205</v>
      </c>
      <c r="Y57" s="101">
        <f t="shared" si="62"/>
        <v>205</v>
      </c>
      <c r="Z57" s="101">
        <f t="shared" si="62"/>
        <v>205</v>
      </c>
      <c r="AA57" s="101">
        <f t="shared" si="62"/>
        <v>205</v>
      </c>
      <c r="AB57" s="101">
        <f t="shared" si="62"/>
        <v>205</v>
      </c>
      <c r="AC57" s="101">
        <f t="shared" si="62"/>
        <v>205</v>
      </c>
      <c r="AD57" s="101">
        <f t="shared" si="62"/>
        <v>205</v>
      </c>
    </row>
    <row r="58" spans="1:41" s="97" customFormat="1" ht="12.6" x14ac:dyDescent="0.25">
      <c r="A58" s="1"/>
      <c r="B58" s="1"/>
      <c r="D58" s="27" t="s">
        <v>886</v>
      </c>
      <c r="E58" s="27"/>
      <c r="F58" s="27"/>
      <c r="G58" s="27"/>
      <c r="H58" s="27"/>
      <c r="I58" s="27"/>
      <c r="J58" s="372" t="s">
        <v>1205</v>
      </c>
      <c r="K58" s="27"/>
      <c r="L58" s="83"/>
      <c r="M58" s="27"/>
      <c r="N58" s="66"/>
      <c r="O58" s="66"/>
      <c r="P58" s="66"/>
      <c r="Q58" s="66">
        <f>SUM(Q51:Q57)</f>
        <v>524928</v>
      </c>
      <c r="R58" s="66">
        <f t="shared" ref="R58" si="68">SUM(R51:R57)</f>
        <v>531590</v>
      </c>
      <c r="S58" s="66">
        <f t="shared" ref="S58:AD58" si="69">SUM(S51:S57)</f>
        <v>559728.75859851076</v>
      </c>
      <c r="T58" s="66">
        <f t="shared" si="69"/>
        <v>483597.88054284308</v>
      </c>
      <c r="U58" s="66">
        <f t="shared" si="69"/>
        <v>440239.18651075568</v>
      </c>
      <c r="V58" s="66">
        <f t="shared" si="69"/>
        <v>398855.49041526229</v>
      </c>
      <c r="W58" s="66">
        <f t="shared" si="69"/>
        <v>361156.93857209123</v>
      </c>
      <c r="X58" s="66">
        <f t="shared" si="69"/>
        <v>326921.93942866364</v>
      </c>
      <c r="Y58" s="66">
        <f t="shared" si="69"/>
        <v>316063.98527988733</v>
      </c>
      <c r="Z58" s="66">
        <f t="shared" si="69"/>
        <v>311417.49983627873</v>
      </c>
      <c r="AA58" s="66">
        <f t="shared" si="69"/>
        <v>346315.51606964733</v>
      </c>
      <c r="AB58" s="66">
        <f t="shared" si="69"/>
        <v>392541.64263440087</v>
      </c>
      <c r="AC58" s="66">
        <f t="shared" si="69"/>
        <v>454139.71749090421</v>
      </c>
      <c r="AD58" s="66">
        <f t="shared" si="69"/>
        <v>536650.40107770858</v>
      </c>
      <c r="AE58" s="103"/>
      <c r="AF58" s="101"/>
      <c r="AG58" s="101"/>
      <c r="AH58" s="101"/>
      <c r="AI58" s="101"/>
      <c r="AJ58" s="101"/>
      <c r="AK58" s="101"/>
      <c r="AL58" s="101"/>
      <c r="AM58" s="101"/>
      <c r="AN58" s="101"/>
      <c r="AO58" s="101"/>
    </row>
    <row r="59" spans="1:41" ht="12.6" x14ac:dyDescent="0.25">
      <c r="C59" s="35"/>
      <c r="Q59" s="25"/>
      <c r="R59" s="25"/>
    </row>
    <row r="60" spans="1:41" ht="12.6" x14ac:dyDescent="0.25">
      <c r="C60" s="35" t="s">
        <v>68</v>
      </c>
      <c r="Q60" s="25"/>
      <c r="R60" s="25"/>
    </row>
    <row r="61" spans="1:41" s="97" customFormat="1" x14ac:dyDescent="0.2">
      <c r="A61" s="1"/>
      <c r="B61" s="1"/>
      <c r="D61" s="97" t="s">
        <v>453</v>
      </c>
      <c r="J61" s="98" t="s">
        <v>1205</v>
      </c>
      <c r="L61" s="99" t="s">
        <v>493</v>
      </c>
      <c r="N61" s="101"/>
      <c r="O61" s="101"/>
      <c r="P61" s="101"/>
      <c r="Q61" s="101">
        <f>Act_BS_Share_Capital</f>
        <v>150903</v>
      </c>
      <c r="R61" s="101">
        <f t="shared" ref="R61:AD61" si="70">Equity_Share_Capital_Closing_Bal</f>
        <v>163915</v>
      </c>
      <c r="S61" s="101">
        <f t="shared" si="70"/>
        <v>163915</v>
      </c>
      <c r="T61" s="101">
        <f t="shared" si="70"/>
        <v>163915</v>
      </c>
      <c r="U61" s="101">
        <f t="shared" si="70"/>
        <v>163915</v>
      </c>
      <c r="V61" s="101">
        <f t="shared" si="70"/>
        <v>163915</v>
      </c>
      <c r="W61" s="101">
        <f t="shared" si="70"/>
        <v>163915</v>
      </c>
      <c r="X61" s="101">
        <f t="shared" si="70"/>
        <v>163915</v>
      </c>
      <c r="Y61" s="101">
        <f t="shared" si="70"/>
        <v>163915</v>
      </c>
      <c r="Z61" s="101">
        <f t="shared" si="70"/>
        <v>163915</v>
      </c>
      <c r="AA61" s="101">
        <f t="shared" si="70"/>
        <v>163915</v>
      </c>
      <c r="AB61" s="101">
        <f t="shared" si="70"/>
        <v>163915</v>
      </c>
      <c r="AC61" s="101">
        <f t="shared" si="70"/>
        <v>163915</v>
      </c>
      <c r="AD61" s="101">
        <f t="shared" si="70"/>
        <v>163915</v>
      </c>
      <c r="AE61" s="101"/>
      <c r="AF61" s="101"/>
      <c r="AG61" s="101"/>
      <c r="AH61" s="101"/>
      <c r="AI61" s="101"/>
      <c r="AJ61" s="101"/>
      <c r="AK61" s="101"/>
      <c r="AL61" s="101"/>
      <c r="AM61" s="101"/>
      <c r="AN61" s="101"/>
      <c r="AO61" s="101"/>
    </row>
    <row r="62" spans="1:41" s="97" customFormat="1" x14ac:dyDescent="0.2">
      <c r="A62" s="1"/>
      <c r="B62" s="1"/>
      <c r="D62" s="97" t="s">
        <v>887</v>
      </c>
      <c r="J62" s="98" t="s">
        <v>1205</v>
      </c>
      <c r="L62" s="99" t="s">
        <v>916</v>
      </c>
      <c r="N62" s="101"/>
      <c r="O62" s="101"/>
      <c r="P62" s="101"/>
      <c r="Q62" s="101">
        <f>Act_BS_Additional_Capital</f>
        <v>786865</v>
      </c>
      <c r="R62" s="101">
        <f t="shared" ref="R62" si="71">Act_BS_Additional_Capital</f>
        <v>1030702</v>
      </c>
      <c r="S62" s="101">
        <f>Equity_Add_Share_Capital_Closing_Bal</f>
        <v>1030702</v>
      </c>
      <c r="T62" s="101">
        <f t="shared" ref="T62:AD62" si="72">S62</f>
        <v>1030702</v>
      </c>
      <c r="U62" s="101">
        <f t="shared" si="72"/>
        <v>1030702</v>
      </c>
      <c r="V62" s="101">
        <f t="shared" si="72"/>
        <v>1030702</v>
      </c>
      <c r="W62" s="101">
        <f t="shared" si="72"/>
        <v>1030702</v>
      </c>
      <c r="X62" s="101">
        <f t="shared" si="72"/>
        <v>1030702</v>
      </c>
      <c r="Y62" s="101">
        <f t="shared" si="72"/>
        <v>1030702</v>
      </c>
      <c r="Z62" s="101">
        <f t="shared" si="72"/>
        <v>1030702</v>
      </c>
      <c r="AA62" s="101">
        <f t="shared" si="72"/>
        <v>1030702</v>
      </c>
      <c r="AB62" s="101">
        <f t="shared" si="72"/>
        <v>1030702</v>
      </c>
      <c r="AC62" s="101">
        <f t="shared" si="72"/>
        <v>1030702</v>
      </c>
      <c r="AD62" s="101">
        <f t="shared" si="72"/>
        <v>1030702</v>
      </c>
      <c r="AE62" s="101"/>
      <c r="AF62" s="101"/>
      <c r="AG62" s="101"/>
      <c r="AH62" s="101"/>
      <c r="AI62" s="101"/>
      <c r="AJ62" s="101"/>
      <c r="AK62" s="101"/>
      <c r="AL62" s="101"/>
      <c r="AM62" s="101"/>
      <c r="AN62" s="101"/>
      <c r="AO62" s="101"/>
    </row>
    <row r="63" spans="1:41" s="97" customFormat="1" x14ac:dyDescent="0.2">
      <c r="A63" s="1"/>
      <c r="B63" s="1"/>
      <c r="D63" s="97" t="s">
        <v>454</v>
      </c>
      <c r="J63" s="98" t="s">
        <v>1205</v>
      </c>
      <c r="L63" s="99" t="s">
        <v>494</v>
      </c>
      <c r="N63" s="101"/>
      <c r="O63" s="101"/>
      <c r="P63" s="101"/>
      <c r="Q63" s="101">
        <f>Act_BS_Retained_Reserves</f>
        <v>-460739</v>
      </c>
      <c r="R63" s="101">
        <f t="shared" ref="R63" si="73">Act_BS_Retained_Reserves</f>
        <v>-471771</v>
      </c>
      <c r="S63" s="101" t="e">
        <f t="shared" ref="S63:AD63" si="74">Equity_Retained_Earnings_Closing_Bal</f>
        <v>#NAME?</v>
      </c>
      <c r="T63" s="101" t="e">
        <f t="shared" si="74"/>
        <v>#NAME?</v>
      </c>
      <c r="U63" s="101" t="e">
        <f t="shared" si="74"/>
        <v>#NAME?</v>
      </c>
      <c r="V63" s="101" t="e">
        <f t="shared" si="74"/>
        <v>#NAME?</v>
      </c>
      <c r="W63" s="101" t="e">
        <f t="shared" si="74"/>
        <v>#NAME?</v>
      </c>
      <c r="X63" s="101" t="e">
        <f t="shared" si="74"/>
        <v>#NAME?</v>
      </c>
      <c r="Y63" s="101" t="e">
        <f t="shared" si="74"/>
        <v>#NAME?</v>
      </c>
      <c r="Z63" s="101" t="e">
        <f t="shared" si="74"/>
        <v>#NAME?</v>
      </c>
      <c r="AA63" s="101" t="e">
        <f t="shared" si="74"/>
        <v>#NAME?</v>
      </c>
      <c r="AB63" s="101" t="e">
        <f t="shared" si="74"/>
        <v>#NAME?</v>
      </c>
      <c r="AC63" s="101" t="e">
        <f t="shared" si="74"/>
        <v>#NAME?</v>
      </c>
      <c r="AD63" s="101" t="e">
        <f t="shared" si="74"/>
        <v>#NAME?</v>
      </c>
      <c r="AE63" s="101"/>
      <c r="AF63" s="101"/>
      <c r="AG63" s="101"/>
      <c r="AH63" s="101"/>
      <c r="AI63" s="101"/>
      <c r="AJ63" s="101"/>
      <c r="AK63" s="101"/>
      <c r="AL63" s="101"/>
      <c r="AM63" s="101"/>
      <c r="AN63" s="101"/>
      <c r="AO63" s="101"/>
    </row>
    <row r="64" spans="1:41" s="97" customFormat="1" ht="12.6" x14ac:dyDescent="0.25">
      <c r="A64" s="1"/>
      <c r="B64" s="1"/>
      <c r="D64" s="27" t="s">
        <v>889</v>
      </c>
      <c r="E64" s="27"/>
      <c r="F64" s="27"/>
      <c r="G64" s="27"/>
      <c r="H64" s="27"/>
      <c r="I64" s="27"/>
      <c r="J64" s="372" t="s">
        <v>1205</v>
      </c>
      <c r="K64" s="27"/>
      <c r="L64" s="83" t="s">
        <v>495</v>
      </c>
      <c r="M64" s="27"/>
      <c r="N64" s="66"/>
      <c r="O64" s="66"/>
      <c r="P64" s="66"/>
      <c r="Q64" s="100">
        <f>SUM(Q61:Q63)</f>
        <v>477029</v>
      </c>
      <c r="R64" s="100">
        <f t="shared" ref="R64" si="75">SUM(R61:R63)</f>
        <v>722846</v>
      </c>
      <c r="S64" s="100" t="e">
        <f t="shared" ref="S64" si="76">SUM(S61:S63)</f>
        <v>#NAME?</v>
      </c>
      <c r="T64" s="100" t="e">
        <f t="shared" ref="T64" si="77">SUM(T61:T63)</f>
        <v>#NAME?</v>
      </c>
      <c r="U64" s="100" t="e">
        <f t="shared" ref="U64" si="78">SUM(U61:U63)</f>
        <v>#NAME?</v>
      </c>
      <c r="V64" s="100" t="e">
        <f t="shared" ref="V64" si="79">SUM(V61:V63)</f>
        <v>#NAME?</v>
      </c>
      <c r="W64" s="100" t="e">
        <f t="shared" ref="W64" si="80">SUM(W61:W63)</f>
        <v>#NAME?</v>
      </c>
      <c r="X64" s="100" t="e">
        <f t="shared" ref="X64" si="81">SUM(X61:X63)</f>
        <v>#NAME?</v>
      </c>
      <c r="Y64" s="100" t="e">
        <f t="shared" ref="Y64" si="82">SUM(Y61:Y63)</f>
        <v>#NAME?</v>
      </c>
      <c r="Z64" s="100" t="e">
        <f t="shared" ref="Z64" si="83">SUM(Z61:Z63)</f>
        <v>#NAME?</v>
      </c>
      <c r="AA64" s="100" t="e">
        <f t="shared" ref="AA64" si="84">SUM(AA61:AA63)</f>
        <v>#NAME?</v>
      </c>
      <c r="AB64" s="100" t="e">
        <f t="shared" ref="AB64" si="85">SUM(AB61:AB63)</f>
        <v>#NAME?</v>
      </c>
      <c r="AC64" s="100" t="e">
        <f t="shared" ref="AC64" si="86">SUM(AC61:AC63)</f>
        <v>#NAME?</v>
      </c>
      <c r="AD64" s="100" t="e">
        <f t="shared" ref="AD64" si="87">SUM(AD61:AD63)</f>
        <v>#NAME?</v>
      </c>
      <c r="AE64" s="103"/>
      <c r="AF64" s="101"/>
      <c r="AG64" s="101"/>
      <c r="AH64" s="101"/>
      <c r="AI64" s="101"/>
      <c r="AJ64" s="101"/>
      <c r="AK64" s="101"/>
      <c r="AL64" s="101"/>
      <c r="AM64" s="101"/>
      <c r="AN64" s="101"/>
      <c r="AO64" s="101"/>
    </row>
    <row r="65" spans="1:46" s="97" customFormat="1" ht="13.2" thickBot="1" x14ac:dyDescent="0.3">
      <c r="A65" s="1"/>
      <c r="B65" s="1"/>
      <c r="D65" s="657" t="s">
        <v>890</v>
      </c>
      <c r="E65" s="653"/>
      <c r="F65" s="653"/>
      <c r="G65" s="653"/>
      <c r="H65" s="653"/>
      <c r="I65" s="653"/>
      <c r="J65" s="654" t="s">
        <v>1205</v>
      </c>
      <c r="K65" s="653"/>
      <c r="L65" s="655"/>
      <c r="M65" s="653"/>
      <c r="N65" s="656"/>
      <c r="O65" s="656"/>
      <c r="P65" s="656"/>
      <c r="Q65" s="664">
        <f>Q64+Q58+Q48</f>
        <v>1180912</v>
      </c>
      <c r="R65" s="664">
        <f t="shared" ref="R65" si="88">R64+R58+R48</f>
        <v>1462895</v>
      </c>
      <c r="S65" s="664" t="e">
        <f t="shared" ref="S65:AD65" si="89">S64+S58+S48</f>
        <v>#NAME?</v>
      </c>
      <c r="T65" s="664" t="e">
        <f t="shared" si="89"/>
        <v>#NAME?</v>
      </c>
      <c r="U65" s="664" t="e">
        <f t="shared" si="89"/>
        <v>#NAME?</v>
      </c>
      <c r="V65" s="664" t="e">
        <f t="shared" si="89"/>
        <v>#NAME?</v>
      </c>
      <c r="W65" s="664" t="e">
        <f t="shared" si="89"/>
        <v>#NAME?</v>
      </c>
      <c r="X65" s="664" t="e">
        <f t="shared" si="89"/>
        <v>#NAME?</v>
      </c>
      <c r="Y65" s="664" t="e">
        <f t="shared" si="89"/>
        <v>#NAME?</v>
      </c>
      <c r="Z65" s="664" t="e">
        <f t="shared" si="89"/>
        <v>#NAME?</v>
      </c>
      <c r="AA65" s="664" t="e">
        <f t="shared" si="89"/>
        <v>#NAME?</v>
      </c>
      <c r="AB65" s="664" t="e">
        <f t="shared" si="89"/>
        <v>#NAME?</v>
      </c>
      <c r="AC65" s="664" t="e">
        <f t="shared" si="89"/>
        <v>#NAME?</v>
      </c>
      <c r="AD65" s="664" t="e">
        <f t="shared" si="89"/>
        <v>#NAME?</v>
      </c>
      <c r="AE65" s="101"/>
      <c r="AF65" s="101"/>
      <c r="AG65" s="101"/>
      <c r="AH65" s="101"/>
      <c r="AI65" s="101"/>
      <c r="AJ65" s="101"/>
      <c r="AK65" s="101"/>
      <c r="AL65" s="101"/>
      <c r="AM65" s="101"/>
      <c r="AN65" s="101"/>
      <c r="AO65" s="101"/>
    </row>
    <row r="66" spans="1:46" s="97" customFormat="1" ht="13.2" thickTop="1" thickBot="1" x14ac:dyDescent="0.25">
      <c r="A66" s="1"/>
      <c r="B66" s="1"/>
      <c r="J66" s="98"/>
      <c r="L66" s="99"/>
      <c r="N66" s="101"/>
      <c r="O66" s="101"/>
      <c r="P66" s="101"/>
      <c r="Q66" s="674" t="b">
        <f>Q65=Q36</f>
        <v>1</v>
      </c>
      <c r="R66" s="674" t="b">
        <f t="shared" ref="R66" si="90">R65=R36</f>
        <v>1</v>
      </c>
      <c r="S66" s="674" t="e">
        <f>ROUND(S65,0)=ROUND(S36,0)</f>
        <v>#NAME?</v>
      </c>
      <c r="T66" s="674" t="e">
        <f t="shared" ref="T66:AD66" si="91">ROUND(T65,0)=ROUND(T36,0)</f>
        <v>#NAME?</v>
      </c>
      <c r="U66" s="674" t="e">
        <f t="shared" si="91"/>
        <v>#NAME?</v>
      </c>
      <c r="V66" s="674" t="e">
        <f t="shared" si="91"/>
        <v>#NAME?</v>
      </c>
      <c r="W66" s="674" t="e">
        <f t="shared" si="91"/>
        <v>#NAME?</v>
      </c>
      <c r="X66" s="674" t="e">
        <f t="shared" si="91"/>
        <v>#NAME?</v>
      </c>
      <c r="Y66" s="674" t="e">
        <f t="shared" si="91"/>
        <v>#NAME?</v>
      </c>
      <c r="Z66" s="674" t="e">
        <f t="shared" si="91"/>
        <v>#NAME?</v>
      </c>
      <c r="AA66" s="674" t="e">
        <f t="shared" si="91"/>
        <v>#NAME?</v>
      </c>
      <c r="AB66" s="674" t="e">
        <f t="shared" si="91"/>
        <v>#NAME?</v>
      </c>
      <c r="AC66" s="674" t="e">
        <f t="shared" si="91"/>
        <v>#NAME?</v>
      </c>
      <c r="AD66" s="674" t="e">
        <f t="shared" si="91"/>
        <v>#NAME?</v>
      </c>
      <c r="AE66" s="101"/>
      <c r="AF66" s="101"/>
      <c r="AG66" s="101"/>
      <c r="AH66" s="101"/>
      <c r="AI66" s="101"/>
      <c r="AJ66" s="101"/>
      <c r="AK66" s="101"/>
      <c r="AL66" s="101"/>
      <c r="AM66" s="101"/>
      <c r="AN66" s="101"/>
      <c r="AO66" s="101"/>
    </row>
    <row r="67" spans="1:46" s="97" customFormat="1" ht="13.2" thickTop="1" x14ac:dyDescent="0.25">
      <c r="A67" s="1"/>
      <c r="B67" s="39" t="s">
        <v>15</v>
      </c>
      <c r="C67" s="63"/>
      <c r="D67" s="63"/>
      <c r="E67" s="63"/>
      <c r="F67" s="41"/>
      <c r="G67" s="63"/>
      <c r="H67" s="63"/>
      <c r="I67" s="64"/>
      <c r="J67" s="64"/>
      <c r="K67" s="63"/>
      <c r="L67" s="65"/>
      <c r="M67" s="63"/>
      <c r="N67" s="64"/>
      <c r="O67" s="64"/>
      <c r="P67" s="64"/>
      <c r="Q67" s="356"/>
      <c r="R67" s="356"/>
      <c r="S67" s="64"/>
      <c r="T67" s="64"/>
      <c r="U67" s="64"/>
      <c r="V67" s="64"/>
      <c r="W67" s="64"/>
      <c r="X67" s="64"/>
      <c r="Y67" s="64"/>
      <c r="Z67" s="64"/>
      <c r="AA67" s="64"/>
      <c r="AB67" s="64"/>
      <c r="AC67" s="64"/>
      <c r="AD67" s="64"/>
      <c r="AE67" s="21"/>
      <c r="AF67" s="21"/>
      <c r="AG67" s="21"/>
      <c r="AH67" s="21"/>
      <c r="AI67" s="21"/>
      <c r="AJ67" s="21"/>
      <c r="AK67" s="21"/>
      <c r="AL67" s="21"/>
      <c r="AM67" s="21"/>
      <c r="AN67" s="21"/>
      <c r="AO67" s="21"/>
      <c r="AP67" s="1"/>
    </row>
    <row r="68" spans="1:46" s="97" customFormat="1" ht="12.6" x14ac:dyDescent="0.25">
      <c r="A68" s="1"/>
      <c r="B68" s="1"/>
      <c r="F68" s="32"/>
      <c r="J68" s="98"/>
      <c r="L68" s="99"/>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row>
    <row r="69" spans="1:46" s="97" customFormat="1" ht="12.6" x14ac:dyDescent="0.25">
      <c r="A69" s="1"/>
      <c r="B69" s="1"/>
      <c r="D69" s="32"/>
      <c r="E69" s="32"/>
      <c r="F69" s="32"/>
      <c r="J69" s="98"/>
      <c r="L69" s="99"/>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row>
    <row r="70" spans="1:46" s="18" customFormat="1" ht="12.6" x14ac:dyDescent="0.25">
      <c r="A70" s="97"/>
      <c r="B70" s="97"/>
      <c r="C70" s="97"/>
      <c r="D70" s="32"/>
      <c r="E70" s="97"/>
      <c r="F70" s="97"/>
      <c r="G70" s="1"/>
      <c r="H70" s="1"/>
      <c r="I70" s="1"/>
      <c r="J70" s="2"/>
      <c r="K70" s="1"/>
      <c r="L70" s="3"/>
      <c r="M70" s="1"/>
      <c r="Q70" s="25"/>
      <c r="R70" s="25"/>
      <c r="AP70" s="1"/>
      <c r="AQ70" s="1"/>
      <c r="AR70" s="1"/>
      <c r="AS70" s="1"/>
      <c r="AT70" s="1"/>
    </row>
    <row r="71" spans="1:46" s="18" customFormat="1" x14ac:dyDescent="0.2">
      <c r="A71" s="97"/>
      <c r="B71" s="97"/>
      <c r="C71" s="97"/>
      <c r="D71" s="97"/>
      <c r="E71" s="97"/>
      <c r="F71" s="97"/>
      <c r="G71" s="1"/>
      <c r="H71" s="1"/>
      <c r="I71" s="1"/>
      <c r="J71" s="2"/>
      <c r="K71" s="1"/>
      <c r="L71" s="3"/>
      <c r="M71" s="1"/>
      <c r="Q71" s="25"/>
      <c r="R71" s="25"/>
      <c r="AP71" s="1"/>
      <c r="AQ71" s="1"/>
      <c r="AR71" s="1"/>
      <c r="AS71" s="1"/>
      <c r="AT71" s="1"/>
    </row>
    <row r="72" spans="1:46" s="18" customFormat="1" x14ac:dyDescent="0.2">
      <c r="A72" s="97"/>
      <c r="B72" s="97"/>
      <c r="C72" s="97"/>
      <c r="D72" s="97"/>
      <c r="E72" s="97"/>
      <c r="F72" s="97"/>
      <c r="G72" s="1"/>
      <c r="H72" s="1"/>
      <c r="I72" s="1"/>
      <c r="J72" s="2"/>
      <c r="K72" s="1"/>
      <c r="L72" s="3"/>
      <c r="M72" s="1"/>
      <c r="Q72" s="25"/>
      <c r="R72" s="25"/>
      <c r="AP72" s="1"/>
      <c r="AQ72" s="1"/>
      <c r="AR72" s="1"/>
      <c r="AS72" s="1"/>
      <c r="AT72" s="1"/>
    </row>
    <row r="73" spans="1:46" s="18" customFormat="1" x14ac:dyDescent="0.2">
      <c r="A73" s="97"/>
      <c r="B73" s="97"/>
      <c r="C73" s="97"/>
      <c r="D73" s="97"/>
      <c r="E73" s="97"/>
      <c r="F73" s="97"/>
      <c r="G73" s="1"/>
      <c r="H73" s="1"/>
      <c r="I73" s="1"/>
      <c r="J73" s="2"/>
      <c r="K73" s="1"/>
      <c r="L73" s="3"/>
      <c r="M73" s="1"/>
      <c r="Q73" s="25"/>
      <c r="R73" s="25"/>
      <c r="AP73" s="1"/>
      <c r="AQ73" s="1"/>
      <c r="AR73" s="1"/>
      <c r="AS73" s="1"/>
      <c r="AT73" s="1"/>
    </row>
    <row r="74" spans="1:46" s="18" customFormat="1" x14ac:dyDescent="0.2">
      <c r="A74" s="97"/>
      <c r="B74" s="97"/>
      <c r="C74" s="97"/>
      <c r="D74" s="97"/>
      <c r="E74" s="97"/>
      <c r="F74" s="97"/>
      <c r="G74" s="1"/>
      <c r="H74" s="1"/>
      <c r="I74" s="1"/>
      <c r="J74" s="2"/>
      <c r="K74" s="1"/>
      <c r="L74" s="3"/>
      <c r="M74" s="1"/>
      <c r="Q74" s="25"/>
      <c r="R74" s="25"/>
      <c r="AP74" s="1"/>
      <c r="AQ74" s="1"/>
      <c r="AR74" s="1"/>
      <c r="AS74" s="1"/>
      <c r="AT74" s="1"/>
    </row>
    <row r="75" spans="1:46" s="18" customFormat="1" x14ac:dyDescent="0.2">
      <c r="A75" s="97"/>
      <c r="B75" s="97"/>
      <c r="C75" s="97"/>
      <c r="D75" s="97"/>
      <c r="E75" s="97"/>
      <c r="F75" s="97"/>
      <c r="G75" s="1"/>
      <c r="H75" s="1"/>
      <c r="I75" s="1"/>
      <c r="J75" s="2"/>
      <c r="K75" s="1"/>
      <c r="L75" s="3"/>
      <c r="M75" s="1"/>
      <c r="Q75" s="25"/>
      <c r="R75" s="25"/>
      <c r="AP75" s="1"/>
      <c r="AQ75" s="1"/>
      <c r="AR75" s="1"/>
      <c r="AS75" s="1"/>
      <c r="AT75" s="1"/>
    </row>
    <row r="76" spans="1:46" s="18" customFormat="1" x14ac:dyDescent="0.2">
      <c r="A76" s="97"/>
      <c r="B76" s="97"/>
      <c r="C76" s="97"/>
      <c r="D76" s="97"/>
      <c r="E76" s="97"/>
      <c r="F76" s="97"/>
      <c r="G76" s="1"/>
      <c r="H76" s="1"/>
      <c r="I76" s="1"/>
      <c r="J76" s="2"/>
      <c r="K76" s="1"/>
      <c r="L76" s="3"/>
      <c r="M76" s="1"/>
      <c r="Q76" s="25"/>
      <c r="R76" s="25"/>
      <c r="AP76" s="1"/>
      <c r="AQ76" s="1"/>
      <c r="AR76" s="1"/>
      <c r="AS76" s="1"/>
      <c r="AT76" s="1"/>
    </row>
    <row r="77" spans="1:46" s="18" customFormat="1" x14ac:dyDescent="0.2">
      <c r="A77" s="97"/>
      <c r="B77" s="97"/>
      <c r="C77" s="97"/>
      <c r="D77" s="97"/>
      <c r="E77" s="97"/>
      <c r="F77" s="97"/>
      <c r="G77" s="1"/>
      <c r="H77" s="1"/>
      <c r="I77" s="1"/>
      <c r="J77" s="2"/>
      <c r="K77" s="1"/>
      <c r="L77" s="3"/>
      <c r="M77" s="1"/>
      <c r="Q77" s="25"/>
      <c r="R77" s="25"/>
      <c r="AP77" s="1"/>
      <c r="AQ77" s="1"/>
      <c r="AR77" s="1"/>
      <c r="AS77" s="1"/>
      <c r="AT77" s="1"/>
    </row>
    <row r="78" spans="1:46" s="18" customFormat="1" x14ac:dyDescent="0.2">
      <c r="A78" s="97"/>
      <c r="B78" s="97"/>
      <c r="C78" s="97"/>
      <c r="D78" s="97"/>
      <c r="E78" s="97"/>
      <c r="F78" s="97"/>
      <c r="G78" s="1"/>
      <c r="H78" s="1"/>
      <c r="I78" s="1"/>
      <c r="J78" s="2"/>
      <c r="K78" s="1"/>
      <c r="L78" s="3"/>
      <c r="M78" s="1"/>
      <c r="Q78" s="25"/>
      <c r="R78" s="25"/>
      <c r="AP78" s="1"/>
      <c r="AQ78" s="1"/>
      <c r="AR78" s="1"/>
      <c r="AS78" s="1"/>
      <c r="AT78" s="1"/>
    </row>
    <row r="79" spans="1:46" s="18" customFormat="1" x14ac:dyDescent="0.2">
      <c r="A79" s="97"/>
      <c r="B79" s="97"/>
      <c r="C79" s="97"/>
      <c r="D79" s="97"/>
      <c r="E79" s="97"/>
      <c r="F79" s="97"/>
      <c r="G79" s="1"/>
      <c r="H79" s="1"/>
      <c r="I79" s="1"/>
      <c r="J79" s="2"/>
      <c r="K79" s="1"/>
      <c r="L79" s="3"/>
      <c r="M79" s="1"/>
      <c r="Q79" s="25"/>
      <c r="R79" s="25"/>
      <c r="AP79" s="1"/>
      <c r="AQ79" s="1"/>
      <c r="AR79" s="1"/>
      <c r="AS79" s="1"/>
      <c r="AT79" s="1"/>
    </row>
    <row r="80" spans="1:46" s="18" customFormat="1" x14ac:dyDescent="0.2">
      <c r="A80" s="97"/>
      <c r="B80" s="97"/>
      <c r="C80" s="97"/>
      <c r="D80" s="97"/>
      <c r="E80" s="97"/>
      <c r="F80" s="97"/>
      <c r="G80" s="1"/>
      <c r="H80" s="1"/>
      <c r="I80" s="1"/>
      <c r="J80" s="2"/>
      <c r="K80" s="1"/>
      <c r="L80" s="3"/>
      <c r="M80" s="1"/>
      <c r="Q80" s="25"/>
      <c r="R80" s="25"/>
      <c r="AP80" s="1"/>
      <c r="AQ80" s="1"/>
      <c r="AR80" s="1"/>
      <c r="AS80" s="1"/>
      <c r="AT80" s="1"/>
    </row>
    <row r="81" spans="1:46" s="18" customFormat="1" x14ac:dyDescent="0.2">
      <c r="A81" s="97"/>
      <c r="B81" s="97"/>
      <c r="C81" s="97"/>
      <c r="D81" s="97"/>
      <c r="E81" s="97"/>
      <c r="F81" s="97"/>
      <c r="G81" s="1"/>
      <c r="H81" s="1"/>
      <c r="I81" s="1"/>
      <c r="J81" s="2"/>
      <c r="K81" s="1"/>
      <c r="L81" s="3"/>
      <c r="M81" s="1"/>
      <c r="Q81" s="25"/>
      <c r="R81" s="25"/>
      <c r="AP81" s="1"/>
      <c r="AQ81" s="1"/>
      <c r="AR81" s="1"/>
      <c r="AS81" s="1"/>
      <c r="AT81" s="1"/>
    </row>
    <row r="82" spans="1:46" s="18" customFormat="1" x14ac:dyDescent="0.2">
      <c r="A82" s="97"/>
      <c r="B82" s="97"/>
      <c r="C82" s="97"/>
      <c r="D82" s="97"/>
      <c r="E82" s="97"/>
      <c r="F82" s="97"/>
      <c r="G82" s="1"/>
      <c r="H82" s="1"/>
      <c r="I82" s="1"/>
      <c r="J82" s="2"/>
      <c r="K82" s="1"/>
      <c r="L82" s="3"/>
      <c r="M82" s="1"/>
      <c r="Q82" s="25"/>
      <c r="R82" s="25"/>
      <c r="AP82" s="1"/>
      <c r="AQ82" s="1"/>
      <c r="AR82" s="1"/>
      <c r="AS82" s="1"/>
      <c r="AT82" s="1"/>
    </row>
    <row r="83" spans="1:46" s="18" customFormat="1" x14ac:dyDescent="0.2">
      <c r="A83" s="97"/>
      <c r="B83" s="97"/>
      <c r="C83" s="97"/>
      <c r="D83" s="97"/>
      <c r="E83" s="97"/>
      <c r="F83" s="97"/>
      <c r="G83" s="1"/>
      <c r="H83" s="1"/>
      <c r="I83" s="1"/>
      <c r="J83" s="2"/>
      <c r="K83" s="1"/>
      <c r="L83" s="3"/>
      <c r="M83" s="1"/>
      <c r="Q83" s="25"/>
      <c r="R83" s="25"/>
      <c r="AP83" s="1"/>
      <c r="AQ83" s="1"/>
      <c r="AR83" s="1"/>
      <c r="AS83" s="1"/>
      <c r="AT83" s="1"/>
    </row>
    <row r="84" spans="1:46" s="18" customFormat="1" x14ac:dyDescent="0.2">
      <c r="A84" s="97"/>
      <c r="B84" s="97"/>
      <c r="C84" s="97"/>
      <c r="D84" s="97"/>
      <c r="E84" s="97"/>
      <c r="F84" s="97"/>
      <c r="G84" s="1"/>
      <c r="H84" s="1"/>
      <c r="I84" s="1"/>
      <c r="J84" s="2"/>
      <c r="K84" s="1"/>
      <c r="L84" s="3"/>
      <c r="M84" s="1"/>
      <c r="Q84" s="25"/>
      <c r="R84" s="25"/>
      <c r="AP84" s="1"/>
      <c r="AQ84" s="1"/>
      <c r="AR84" s="1"/>
      <c r="AS84" s="1"/>
      <c r="AT84" s="1"/>
    </row>
    <row r="85" spans="1:46" s="18" customFormat="1" x14ac:dyDescent="0.2">
      <c r="A85" s="97"/>
      <c r="B85" s="97"/>
      <c r="C85" s="97"/>
      <c r="D85" s="97"/>
      <c r="E85" s="97"/>
      <c r="F85" s="97"/>
      <c r="G85" s="1"/>
      <c r="H85" s="1"/>
      <c r="I85" s="1"/>
      <c r="J85" s="2"/>
      <c r="K85" s="1"/>
      <c r="L85" s="3"/>
      <c r="M85" s="1"/>
      <c r="Q85" s="25"/>
      <c r="R85" s="25"/>
      <c r="AP85" s="1"/>
      <c r="AQ85" s="1"/>
      <c r="AR85" s="1"/>
      <c r="AS85" s="1"/>
      <c r="AT85" s="1"/>
    </row>
    <row r="86" spans="1:46" s="18" customFormat="1" x14ac:dyDescent="0.2">
      <c r="A86" s="97"/>
      <c r="B86" s="97"/>
      <c r="C86" s="97"/>
      <c r="D86" s="97"/>
      <c r="E86" s="97"/>
      <c r="F86" s="97"/>
      <c r="G86" s="1"/>
      <c r="H86" s="1"/>
      <c r="I86" s="1"/>
      <c r="J86" s="2"/>
      <c r="K86" s="1"/>
      <c r="L86" s="3"/>
      <c r="M86" s="1"/>
      <c r="Q86" s="25"/>
      <c r="R86" s="25"/>
      <c r="AP86" s="1"/>
      <c r="AQ86" s="1"/>
      <c r="AR86" s="1"/>
      <c r="AS86" s="1"/>
      <c r="AT86" s="1"/>
    </row>
    <row r="87" spans="1:46" s="18" customFormat="1" x14ac:dyDescent="0.2">
      <c r="A87" s="97"/>
      <c r="B87" s="97"/>
      <c r="C87" s="97"/>
      <c r="D87" s="97"/>
      <c r="E87" s="97"/>
      <c r="F87" s="97"/>
      <c r="G87" s="1"/>
      <c r="H87" s="1"/>
      <c r="I87" s="1"/>
      <c r="J87" s="2"/>
      <c r="K87" s="1"/>
      <c r="L87" s="3"/>
      <c r="M87" s="1"/>
      <c r="Q87" s="25"/>
      <c r="R87" s="25"/>
      <c r="AP87" s="1"/>
      <c r="AQ87" s="1"/>
      <c r="AR87" s="1"/>
      <c r="AS87" s="1"/>
      <c r="AT87" s="1"/>
    </row>
    <row r="88" spans="1:46" s="18" customFormat="1" x14ac:dyDescent="0.2">
      <c r="A88" s="97"/>
      <c r="B88" s="97"/>
      <c r="C88" s="97"/>
      <c r="D88" s="97"/>
      <c r="E88" s="97"/>
      <c r="F88" s="97"/>
      <c r="G88" s="1"/>
      <c r="H88" s="1"/>
      <c r="I88" s="1"/>
      <c r="J88" s="2"/>
      <c r="K88" s="1"/>
      <c r="L88" s="3"/>
      <c r="M88" s="1"/>
      <c r="Q88" s="25"/>
      <c r="R88" s="25"/>
      <c r="AP88" s="1"/>
      <c r="AQ88" s="1"/>
      <c r="AR88" s="1"/>
      <c r="AS88" s="1"/>
      <c r="AT88" s="1"/>
    </row>
    <row r="89" spans="1:46" s="18" customFormat="1" x14ac:dyDescent="0.2">
      <c r="A89" s="97"/>
      <c r="B89" s="97"/>
      <c r="C89" s="97"/>
      <c r="D89" s="97"/>
      <c r="E89" s="97"/>
      <c r="F89" s="97"/>
      <c r="G89" s="1"/>
      <c r="H89" s="1"/>
      <c r="I89" s="1"/>
      <c r="J89" s="2"/>
      <c r="K89" s="1"/>
      <c r="L89" s="3"/>
      <c r="M89" s="1"/>
      <c r="Q89" s="25"/>
      <c r="R89" s="25"/>
      <c r="AP89" s="1"/>
      <c r="AQ89" s="1"/>
      <c r="AR89" s="1"/>
      <c r="AS89" s="1"/>
      <c r="AT89" s="1"/>
    </row>
    <row r="90" spans="1:46" s="18" customFormat="1" x14ac:dyDescent="0.2">
      <c r="A90" s="97"/>
      <c r="B90" s="97"/>
      <c r="C90" s="97"/>
      <c r="D90" s="97"/>
      <c r="E90" s="97"/>
      <c r="F90" s="97"/>
      <c r="G90" s="1"/>
      <c r="H90" s="1"/>
      <c r="I90" s="1"/>
      <c r="J90" s="2"/>
      <c r="K90" s="1"/>
      <c r="L90" s="3"/>
      <c r="M90" s="1"/>
      <c r="Q90" s="25"/>
      <c r="R90" s="25"/>
      <c r="AP90" s="1"/>
      <c r="AQ90" s="1"/>
      <c r="AR90" s="1"/>
      <c r="AS90" s="1"/>
      <c r="AT90" s="1"/>
    </row>
    <row r="91" spans="1:46" s="18" customFormat="1" x14ac:dyDescent="0.2">
      <c r="A91" s="97"/>
      <c r="B91" s="97"/>
      <c r="C91" s="97"/>
      <c r="D91" s="97"/>
      <c r="E91" s="97"/>
      <c r="F91" s="97"/>
      <c r="G91" s="1"/>
      <c r="H91" s="1"/>
      <c r="I91" s="1"/>
      <c r="J91" s="2"/>
      <c r="K91" s="1"/>
      <c r="L91" s="3"/>
      <c r="M91" s="1"/>
      <c r="Q91" s="25"/>
      <c r="R91" s="25"/>
      <c r="AP91" s="1"/>
      <c r="AQ91" s="1"/>
      <c r="AR91" s="1"/>
      <c r="AS91" s="1"/>
      <c r="AT91" s="1"/>
    </row>
    <row r="92" spans="1:46" s="18" customFormat="1" x14ac:dyDescent="0.2">
      <c r="A92" s="97"/>
      <c r="B92" s="97"/>
      <c r="C92" s="97"/>
      <c r="D92" s="97"/>
      <c r="E92" s="97"/>
      <c r="F92" s="97"/>
      <c r="G92" s="1"/>
      <c r="H92" s="1"/>
      <c r="I92" s="1"/>
      <c r="J92" s="2"/>
      <c r="K92" s="1"/>
      <c r="L92" s="3"/>
      <c r="M92" s="1"/>
      <c r="Q92" s="25"/>
      <c r="R92" s="25"/>
      <c r="AP92" s="1"/>
      <c r="AQ92" s="1"/>
      <c r="AR92" s="1"/>
      <c r="AS92" s="1"/>
      <c r="AT92" s="1"/>
    </row>
    <row r="93" spans="1:46" s="18" customFormat="1" x14ac:dyDescent="0.2">
      <c r="A93" s="97"/>
      <c r="B93" s="97"/>
      <c r="C93" s="97"/>
      <c r="D93" s="97"/>
      <c r="E93" s="97"/>
      <c r="F93" s="97"/>
      <c r="G93" s="1"/>
      <c r="H93" s="1"/>
      <c r="I93" s="1"/>
      <c r="J93" s="2"/>
      <c r="K93" s="1"/>
      <c r="L93" s="3"/>
      <c r="M93" s="1"/>
      <c r="Q93" s="25"/>
      <c r="R93" s="25"/>
      <c r="AP93" s="1"/>
      <c r="AQ93" s="1"/>
      <c r="AR93" s="1"/>
      <c r="AS93" s="1"/>
      <c r="AT93" s="1"/>
    </row>
    <row r="94" spans="1:46" s="18" customFormat="1" x14ac:dyDescent="0.2">
      <c r="A94" s="97"/>
      <c r="B94" s="97"/>
      <c r="C94" s="97"/>
      <c r="D94" s="97"/>
      <c r="E94" s="97"/>
      <c r="F94" s="97"/>
      <c r="G94" s="1"/>
      <c r="H94" s="1"/>
      <c r="I94" s="1"/>
      <c r="J94" s="2"/>
      <c r="K94" s="1"/>
      <c r="L94" s="3"/>
      <c r="M94" s="1"/>
      <c r="Q94" s="25"/>
      <c r="R94" s="25"/>
      <c r="AP94" s="1"/>
      <c r="AQ94" s="1"/>
      <c r="AR94" s="1"/>
      <c r="AS94" s="1"/>
      <c r="AT94" s="1"/>
    </row>
    <row r="95" spans="1:46" s="18" customFormat="1" x14ac:dyDescent="0.2">
      <c r="A95" s="97"/>
      <c r="B95" s="97"/>
      <c r="C95" s="97"/>
      <c r="D95" s="97"/>
      <c r="E95" s="97"/>
      <c r="F95" s="97"/>
      <c r="G95" s="1"/>
      <c r="H95" s="1"/>
      <c r="I95" s="1"/>
      <c r="J95" s="2"/>
      <c r="K95" s="1"/>
      <c r="L95" s="3"/>
      <c r="M95" s="1"/>
      <c r="Q95" s="25"/>
      <c r="R95" s="25"/>
      <c r="AP95" s="1"/>
      <c r="AQ95" s="1"/>
      <c r="AR95" s="1"/>
      <c r="AS95" s="1"/>
      <c r="AT95" s="1"/>
    </row>
    <row r="96" spans="1:46" s="18" customFormat="1" x14ac:dyDescent="0.2">
      <c r="A96" s="97"/>
      <c r="B96" s="97"/>
      <c r="C96" s="97"/>
      <c r="D96" s="97"/>
      <c r="E96" s="97"/>
      <c r="F96" s="97"/>
      <c r="G96" s="1"/>
      <c r="H96" s="1"/>
      <c r="I96" s="1"/>
      <c r="J96" s="2"/>
      <c r="K96" s="1"/>
      <c r="L96" s="3"/>
      <c r="M96" s="1"/>
      <c r="Q96" s="25"/>
      <c r="R96" s="25"/>
      <c r="AP96" s="1"/>
      <c r="AQ96" s="1"/>
      <c r="AR96" s="1"/>
      <c r="AS96" s="1"/>
      <c r="AT96" s="1"/>
    </row>
    <row r="97" spans="1:46" s="18" customFormat="1" x14ac:dyDescent="0.2">
      <c r="A97" s="97"/>
      <c r="B97" s="97"/>
      <c r="C97" s="97"/>
      <c r="D97" s="97"/>
      <c r="E97" s="97"/>
      <c r="F97" s="97"/>
      <c r="G97" s="1"/>
      <c r="H97" s="1"/>
      <c r="I97" s="1"/>
      <c r="J97" s="2"/>
      <c r="K97" s="1"/>
      <c r="L97" s="3"/>
      <c r="M97" s="1"/>
      <c r="Q97" s="25"/>
      <c r="R97" s="25"/>
      <c r="AP97" s="1"/>
      <c r="AQ97" s="1"/>
      <c r="AR97" s="1"/>
      <c r="AS97" s="1"/>
      <c r="AT97" s="1"/>
    </row>
    <row r="98" spans="1:46" s="18" customFormat="1" x14ac:dyDescent="0.2">
      <c r="A98" s="97"/>
      <c r="B98" s="97"/>
      <c r="C98" s="97"/>
      <c r="D98" s="97"/>
      <c r="E98" s="97"/>
      <c r="F98" s="97"/>
      <c r="G98" s="1"/>
      <c r="H98" s="1"/>
      <c r="I98" s="1"/>
      <c r="J98" s="2"/>
      <c r="K98" s="1"/>
      <c r="L98" s="3"/>
      <c r="M98" s="1"/>
      <c r="Q98" s="25"/>
      <c r="R98" s="25"/>
      <c r="AP98" s="1"/>
      <c r="AQ98" s="1"/>
      <c r="AR98" s="1"/>
      <c r="AS98" s="1"/>
      <c r="AT98" s="1"/>
    </row>
    <row r="99" spans="1:46" s="18" customFormat="1" x14ac:dyDescent="0.2">
      <c r="A99" s="97"/>
      <c r="B99" s="97"/>
      <c r="C99" s="97"/>
      <c r="D99" s="97"/>
      <c r="E99" s="97"/>
      <c r="F99" s="97"/>
      <c r="G99" s="1"/>
      <c r="H99" s="1"/>
      <c r="I99" s="1"/>
      <c r="J99" s="2"/>
      <c r="K99" s="1"/>
      <c r="L99" s="3"/>
      <c r="M99" s="1"/>
      <c r="Q99" s="25"/>
      <c r="R99" s="25"/>
      <c r="AP99" s="1"/>
      <c r="AQ99" s="1"/>
      <c r="AR99" s="1"/>
      <c r="AS99" s="1"/>
      <c r="AT99" s="1"/>
    </row>
    <row r="100" spans="1:46" s="18" customFormat="1" x14ac:dyDescent="0.2">
      <c r="A100" s="97"/>
      <c r="B100" s="97"/>
      <c r="C100" s="97"/>
      <c r="D100" s="97"/>
      <c r="E100" s="97"/>
      <c r="F100" s="97"/>
      <c r="G100" s="1"/>
      <c r="H100" s="1"/>
      <c r="I100" s="1"/>
      <c r="J100" s="2"/>
      <c r="K100" s="1"/>
      <c r="L100" s="3"/>
      <c r="M100" s="1"/>
      <c r="Q100" s="25"/>
      <c r="R100" s="25"/>
      <c r="AP100" s="1"/>
      <c r="AQ100" s="1"/>
      <c r="AR100" s="1"/>
      <c r="AS100" s="1"/>
      <c r="AT100" s="1"/>
    </row>
    <row r="101" spans="1:46" s="18" customFormat="1" x14ac:dyDescent="0.2">
      <c r="A101" s="97"/>
      <c r="B101" s="97"/>
      <c r="C101" s="97"/>
      <c r="D101" s="97"/>
      <c r="E101" s="97"/>
      <c r="F101" s="97"/>
      <c r="G101" s="1"/>
      <c r="H101" s="1"/>
      <c r="I101" s="1"/>
      <c r="J101" s="2"/>
      <c r="K101" s="1"/>
      <c r="L101" s="3"/>
      <c r="M101" s="1"/>
      <c r="Q101" s="25"/>
      <c r="R101" s="25"/>
      <c r="AP101" s="1"/>
      <c r="AQ101" s="1"/>
      <c r="AR101" s="1"/>
      <c r="AS101" s="1"/>
      <c r="AT101" s="1"/>
    </row>
    <row r="102" spans="1:46" s="18" customFormat="1" x14ac:dyDescent="0.2">
      <c r="A102" s="97"/>
      <c r="B102" s="97"/>
      <c r="C102" s="97"/>
      <c r="D102" s="97"/>
      <c r="E102" s="97"/>
      <c r="F102" s="97"/>
      <c r="G102" s="1"/>
      <c r="H102" s="1"/>
      <c r="I102" s="1"/>
      <c r="J102" s="2"/>
      <c r="K102" s="1"/>
      <c r="L102" s="3"/>
      <c r="M102" s="1"/>
      <c r="Q102" s="25"/>
      <c r="R102" s="25"/>
      <c r="AP102" s="1"/>
      <c r="AQ102" s="1"/>
      <c r="AR102" s="1"/>
      <c r="AS102" s="1"/>
      <c r="AT102" s="1"/>
    </row>
    <row r="103" spans="1:46" s="18" customFormat="1" x14ac:dyDescent="0.2">
      <c r="A103" s="97"/>
      <c r="B103" s="97"/>
      <c r="C103" s="97"/>
      <c r="D103" s="97"/>
      <c r="E103" s="97"/>
      <c r="F103" s="97"/>
      <c r="G103" s="1"/>
      <c r="H103" s="1"/>
      <c r="I103" s="1"/>
      <c r="J103" s="2"/>
      <c r="K103" s="1"/>
      <c r="L103" s="3"/>
      <c r="M103" s="1"/>
      <c r="Q103" s="25"/>
      <c r="R103" s="25"/>
      <c r="AP103" s="1"/>
      <c r="AQ103" s="1"/>
      <c r="AR103" s="1"/>
      <c r="AS103" s="1"/>
      <c r="AT103" s="1"/>
    </row>
    <row r="104" spans="1:46" s="18" customFormat="1" x14ac:dyDescent="0.2">
      <c r="A104" s="97"/>
      <c r="B104" s="97"/>
      <c r="C104" s="97"/>
      <c r="D104" s="97"/>
      <c r="E104" s="97"/>
      <c r="F104" s="97"/>
      <c r="G104" s="1"/>
      <c r="H104" s="1"/>
      <c r="I104" s="1"/>
      <c r="J104" s="2"/>
      <c r="K104" s="1"/>
      <c r="L104" s="3"/>
      <c r="M104" s="1"/>
      <c r="Q104" s="25"/>
      <c r="R104" s="25"/>
      <c r="AP104" s="1"/>
      <c r="AQ104" s="1"/>
      <c r="AR104" s="1"/>
      <c r="AS104" s="1"/>
      <c r="AT104" s="1"/>
    </row>
    <row r="105" spans="1:46" s="18" customFormat="1" x14ac:dyDescent="0.2">
      <c r="A105" s="97"/>
      <c r="B105" s="97"/>
      <c r="C105" s="97"/>
      <c r="D105" s="97"/>
      <c r="E105" s="97"/>
      <c r="F105" s="97"/>
      <c r="G105" s="1"/>
      <c r="H105" s="1"/>
      <c r="I105" s="1"/>
      <c r="J105" s="2"/>
      <c r="K105" s="1"/>
      <c r="L105" s="3"/>
      <c r="M105" s="1"/>
      <c r="Q105" s="25"/>
      <c r="R105" s="25"/>
      <c r="AP105" s="1"/>
      <c r="AQ105" s="1"/>
      <c r="AR105" s="1"/>
      <c r="AS105" s="1"/>
      <c r="AT105" s="1"/>
    </row>
    <row r="106" spans="1:46" s="18" customFormat="1" x14ac:dyDescent="0.2">
      <c r="A106" s="97"/>
      <c r="B106" s="97"/>
      <c r="C106" s="97"/>
      <c r="D106" s="97"/>
      <c r="E106" s="97"/>
      <c r="F106" s="97"/>
      <c r="G106" s="1"/>
      <c r="H106" s="1"/>
      <c r="I106" s="1"/>
      <c r="J106" s="2"/>
      <c r="K106" s="1"/>
      <c r="L106" s="3"/>
      <c r="M106" s="1"/>
      <c r="Q106" s="25"/>
      <c r="R106" s="25"/>
      <c r="AP106" s="1"/>
      <c r="AQ106" s="1"/>
      <c r="AR106" s="1"/>
      <c r="AS106" s="1"/>
      <c r="AT106" s="1"/>
    </row>
    <row r="107" spans="1:46" s="18" customFormat="1" x14ac:dyDescent="0.2">
      <c r="A107" s="97"/>
      <c r="B107" s="97"/>
      <c r="C107" s="97"/>
      <c r="D107" s="97"/>
      <c r="E107" s="97"/>
      <c r="F107" s="97"/>
      <c r="G107" s="1"/>
      <c r="H107" s="1"/>
      <c r="I107" s="1"/>
      <c r="J107" s="2"/>
      <c r="K107" s="1"/>
      <c r="L107" s="3"/>
      <c r="M107" s="1"/>
      <c r="Q107" s="25"/>
      <c r="R107" s="25"/>
      <c r="AP107" s="1"/>
      <c r="AQ107" s="1"/>
      <c r="AR107" s="1"/>
      <c r="AS107" s="1"/>
      <c r="AT107" s="1"/>
    </row>
    <row r="108" spans="1:46" s="18" customFormat="1" x14ac:dyDescent="0.2">
      <c r="A108" s="97"/>
      <c r="B108" s="97"/>
      <c r="C108" s="97"/>
      <c r="D108" s="97"/>
      <c r="E108" s="97"/>
      <c r="F108" s="97"/>
      <c r="G108" s="1"/>
      <c r="H108" s="1"/>
      <c r="I108" s="1"/>
      <c r="J108" s="2"/>
      <c r="K108" s="1"/>
      <c r="L108" s="3"/>
      <c r="M108" s="1"/>
      <c r="Q108" s="25"/>
      <c r="R108" s="25"/>
      <c r="AP108" s="1"/>
      <c r="AQ108" s="1"/>
      <c r="AR108" s="1"/>
      <c r="AS108" s="1"/>
      <c r="AT108" s="1"/>
    </row>
    <row r="109" spans="1:46" s="18" customFormat="1" x14ac:dyDescent="0.2">
      <c r="A109" s="97"/>
      <c r="B109" s="97"/>
      <c r="C109" s="97"/>
      <c r="D109" s="97"/>
      <c r="E109" s="97"/>
      <c r="F109" s="97"/>
      <c r="G109" s="1"/>
      <c r="H109" s="1"/>
      <c r="I109" s="1"/>
      <c r="J109" s="2"/>
      <c r="K109" s="1"/>
      <c r="L109" s="3"/>
      <c r="M109" s="1"/>
      <c r="Q109" s="25"/>
      <c r="R109" s="25"/>
      <c r="AP109" s="1"/>
      <c r="AQ109" s="1"/>
      <c r="AR109" s="1"/>
      <c r="AS109" s="1"/>
      <c r="AT109" s="1"/>
    </row>
    <row r="110" spans="1:46" s="18" customFormat="1" x14ac:dyDescent="0.2">
      <c r="A110" s="97"/>
      <c r="B110" s="97"/>
      <c r="C110" s="97"/>
      <c r="D110" s="97"/>
      <c r="E110" s="97"/>
      <c r="F110" s="97"/>
      <c r="G110" s="1"/>
      <c r="H110" s="1"/>
      <c r="I110" s="1"/>
      <c r="J110" s="2"/>
      <c r="K110" s="1"/>
      <c r="L110" s="3"/>
      <c r="M110" s="1"/>
      <c r="Q110" s="25"/>
      <c r="R110" s="25"/>
      <c r="AP110" s="1"/>
      <c r="AQ110" s="1"/>
      <c r="AR110" s="1"/>
      <c r="AS110" s="1"/>
      <c r="AT110" s="1"/>
    </row>
    <row r="111" spans="1:46" s="18" customFormat="1" x14ac:dyDescent="0.2">
      <c r="A111" s="97"/>
      <c r="B111" s="97"/>
      <c r="C111" s="97"/>
      <c r="D111" s="97"/>
      <c r="E111" s="97"/>
      <c r="F111" s="97"/>
      <c r="G111" s="1"/>
      <c r="H111" s="1"/>
      <c r="I111" s="1"/>
      <c r="J111" s="2"/>
      <c r="K111" s="1"/>
      <c r="L111" s="3"/>
      <c r="M111" s="1"/>
      <c r="Q111" s="25"/>
      <c r="R111" s="25"/>
      <c r="AP111" s="1"/>
      <c r="AQ111" s="1"/>
      <c r="AR111" s="1"/>
      <c r="AS111" s="1"/>
      <c r="AT111" s="1"/>
    </row>
    <row r="112" spans="1:46" s="18" customFormat="1" x14ac:dyDescent="0.2">
      <c r="A112" s="97"/>
      <c r="B112" s="97"/>
      <c r="C112" s="97"/>
      <c r="D112" s="97"/>
      <c r="E112" s="97"/>
      <c r="F112" s="97"/>
      <c r="G112" s="1"/>
      <c r="H112" s="1"/>
      <c r="I112" s="1"/>
      <c r="J112" s="2"/>
      <c r="K112" s="1"/>
      <c r="L112" s="3"/>
      <c r="M112" s="1"/>
      <c r="Q112" s="25"/>
      <c r="R112" s="25"/>
      <c r="AP112" s="1"/>
      <c r="AQ112" s="1"/>
      <c r="AR112" s="1"/>
      <c r="AS112" s="1"/>
      <c r="AT112" s="1"/>
    </row>
    <row r="113" spans="1:46" s="18" customFormat="1" x14ac:dyDescent="0.2">
      <c r="A113" s="97"/>
      <c r="B113" s="97"/>
      <c r="C113" s="97"/>
      <c r="D113" s="97"/>
      <c r="E113" s="97"/>
      <c r="F113" s="97"/>
      <c r="G113" s="1"/>
      <c r="H113" s="1"/>
      <c r="I113" s="1"/>
      <c r="J113" s="2"/>
      <c r="K113" s="1"/>
      <c r="L113" s="3"/>
      <c r="M113" s="1"/>
      <c r="Q113" s="25"/>
      <c r="R113" s="25"/>
      <c r="AP113" s="1"/>
      <c r="AQ113" s="1"/>
      <c r="AR113" s="1"/>
      <c r="AS113" s="1"/>
      <c r="AT113" s="1"/>
    </row>
    <row r="114" spans="1:46" s="18" customFormat="1" x14ac:dyDescent="0.2">
      <c r="A114" s="97"/>
      <c r="B114" s="97"/>
      <c r="C114" s="97"/>
      <c r="D114" s="97"/>
      <c r="E114" s="97"/>
      <c r="F114" s="97"/>
      <c r="G114" s="1"/>
      <c r="H114" s="1"/>
      <c r="I114" s="1"/>
      <c r="J114" s="2"/>
      <c r="K114" s="1"/>
      <c r="L114" s="3"/>
      <c r="M114" s="1"/>
      <c r="Q114" s="25"/>
      <c r="R114" s="25"/>
      <c r="AP114" s="1"/>
      <c r="AQ114" s="1"/>
      <c r="AR114" s="1"/>
      <c r="AS114" s="1"/>
      <c r="AT114" s="1"/>
    </row>
    <row r="115" spans="1:46" s="18" customFormat="1" x14ac:dyDescent="0.2">
      <c r="A115" s="97"/>
      <c r="B115" s="97"/>
      <c r="C115" s="97"/>
      <c r="D115" s="97"/>
      <c r="E115" s="97"/>
      <c r="F115" s="97"/>
      <c r="G115" s="1"/>
      <c r="H115" s="1"/>
      <c r="I115" s="1"/>
      <c r="J115" s="2"/>
      <c r="K115" s="1"/>
      <c r="L115" s="3"/>
      <c r="M115" s="1"/>
      <c r="Q115" s="25"/>
      <c r="R115" s="25"/>
      <c r="AP115" s="1"/>
      <c r="AQ115" s="1"/>
      <c r="AR115" s="1"/>
      <c r="AS115" s="1"/>
      <c r="AT115" s="1"/>
    </row>
    <row r="116" spans="1:46" s="18" customFormat="1" x14ac:dyDescent="0.2">
      <c r="A116" s="97"/>
      <c r="B116" s="97"/>
      <c r="C116" s="97"/>
      <c r="D116" s="97"/>
      <c r="E116" s="97"/>
      <c r="F116" s="97"/>
      <c r="G116" s="1"/>
      <c r="H116" s="1"/>
      <c r="I116" s="1"/>
      <c r="J116" s="2"/>
      <c r="K116" s="1"/>
      <c r="L116" s="3"/>
      <c r="M116" s="1"/>
      <c r="Q116" s="25"/>
      <c r="R116" s="25"/>
      <c r="AP116" s="1"/>
      <c r="AQ116" s="1"/>
      <c r="AR116" s="1"/>
      <c r="AS116" s="1"/>
      <c r="AT116" s="1"/>
    </row>
    <row r="117" spans="1:46" s="18" customFormat="1" x14ac:dyDescent="0.2">
      <c r="A117" s="97"/>
      <c r="B117" s="97"/>
      <c r="C117" s="97"/>
      <c r="D117" s="97"/>
      <c r="E117" s="97"/>
      <c r="F117" s="97"/>
      <c r="G117" s="1"/>
      <c r="H117" s="1"/>
      <c r="I117" s="1"/>
      <c r="J117" s="2"/>
      <c r="K117" s="1"/>
      <c r="L117" s="3"/>
      <c r="M117" s="1"/>
      <c r="Q117" s="25"/>
      <c r="R117" s="25"/>
      <c r="AP117" s="1"/>
      <c r="AQ117" s="1"/>
      <c r="AR117" s="1"/>
      <c r="AS117" s="1"/>
      <c r="AT117" s="1"/>
    </row>
    <row r="118" spans="1:46" s="18" customFormat="1" x14ac:dyDescent="0.2">
      <c r="A118" s="97"/>
      <c r="B118" s="97"/>
      <c r="C118" s="97"/>
      <c r="D118" s="97"/>
      <c r="E118" s="97"/>
      <c r="F118" s="97"/>
      <c r="G118" s="1"/>
      <c r="H118" s="1"/>
      <c r="I118" s="1"/>
      <c r="J118" s="2"/>
      <c r="K118" s="1"/>
      <c r="L118" s="3"/>
      <c r="M118" s="1"/>
      <c r="Q118" s="25"/>
      <c r="R118" s="25"/>
      <c r="AP118" s="1"/>
      <c r="AQ118" s="1"/>
      <c r="AR118" s="1"/>
      <c r="AS118" s="1"/>
      <c r="AT118" s="1"/>
    </row>
    <row r="119" spans="1:46" s="18" customFormat="1" x14ac:dyDescent="0.2">
      <c r="A119" s="97"/>
      <c r="B119" s="97"/>
      <c r="C119" s="97"/>
      <c r="D119" s="97"/>
      <c r="E119" s="97"/>
      <c r="F119" s="97"/>
      <c r="G119" s="1"/>
      <c r="H119" s="1"/>
      <c r="I119" s="1"/>
      <c r="J119" s="2"/>
      <c r="K119" s="1"/>
      <c r="L119" s="3"/>
      <c r="M119" s="1"/>
      <c r="Q119" s="25"/>
      <c r="R119" s="25"/>
      <c r="AP119" s="1"/>
      <c r="AQ119" s="1"/>
      <c r="AR119" s="1"/>
      <c r="AS119" s="1"/>
      <c r="AT119" s="1"/>
    </row>
    <row r="120" spans="1:46" s="18" customFormat="1" x14ac:dyDescent="0.2">
      <c r="A120" s="97"/>
      <c r="B120" s="97"/>
      <c r="C120" s="97"/>
      <c r="D120" s="97"/>
      <c r="E120" s="97"/>
      <c r="F120" s="97"/>
      <c r="G120" s="1"/>
      <c r="H120" s="1"/>
      <c r="I120" s="1"/>
      <c r="J120" s="2"/>
      <c r="K120" s="1"/>
      <c r="L120" s="3"/>
      <c r="M120" s="1"/>
      <c r="Q120" s="25"/>
      <c r="R120" s="25"/>
      <c r="AP120" s="1"/>
      <c r="AQ120" s="1"/>
      <c r="AR120" s="1"/>
      <c r="AS120" s="1"/>
      <c r="AT120" s="1"/>
    </row>
    <row r="121" spans="1:46" s="18" customFormat="1" x14ac:dyDescent="0.2">
      <c r="A121" s="97"/>
      <c r="B121" s="97"/>
      <c r="C121" s="97"/>
      <c r="D121" s="97"/>
      <c r="E121" s="97"/>
      <c r="F121" s="97"/>
      <c r="G121" s="1"/>
      <c r="H121" s="1"/>
      <c r="I121" s="1"/>
      <c r="J121" s="2"/>
      <c r="K121" s="1"/>
      <c r="L121" s="3"/>
      <c r="M121" s="1"/>
      <c r="Q121" s="25"/>
      <c r="R121" s="25"/>
      <c r="AP121" s="1"/>
      <c r="AQ121" s="1"/>
      <c r="AR121" s="1"/>
      <c r="AS121" s="1"/>
      <c r="AT121" s="1"/>
    </row>
    <row r="122" spans="1:46" s="18" customFormat="1" x14ac:dyDescent="0.2">
      <c r="A122" s="97"/>
      <c r="B122" s="97"/>
      <c r="C122" s="97"/>
      <c r="D122" s="97"/>
      <c r="E122" s="97"/>
      <c r="F122" s="97"/>
      <c r="G122" s="1"/>
      <c r="H122" s="1"/>
      <c r="I122" s="1"/>
      <c r="J122" s="2"/>
      <c r="K122" s="1"/>
      <c r="L122" s="3"/>
      <c r="M122" s="1"/>
      <c r="Q122" s="25"/>
      <c r="R122" s="25"/>
      <c r="AP122" s="1"/>
      <c r="AQ122" s="1"/>
      <c r="AR122" s="1"/>
      <c r="AS122" s="1"/>
      <c r="AT122" s="1"/>
    </row>
    <row r="123" spans="1:46" s="18" customFormat="1" x14ac:dyDescent="0.2">
      <c r="A123" s="97"/>
      <c r="B123" s="97"/>
      <c r="C123" s="97"/>
      <c r="D123" s="97"/>
      <c r="E123" s="97"/>
      <c r="F123" s="97"/>
      <c r="G123" s="1"/>
      <c r="H123" s="1"/>
      <c r="I123" s="1"/>
      <c r="J123" s="2"/>
      <c r="K123" s="1"/>
      <c r="L123" s="3"/>
      <c r="M123" s="1"/>
      <c r="Q123" s="25"/>
      <c r="R123" s="25"/>
      <c r="AP123" s="1"/>
      <c r="AQ123" s="1"/>
      <c r="AR123" s="1"/>
      <c r="AS123" s="1"/>
      <c r="AT123" s="1"/>
    </row>
    <row r="124" spans="1:46" s="18" customFormat="1" x14ac:dyDescent="0.2">
      <c r="A124" s="97"/>
      <c r="B124" s="97"/>
      <c r="C124" s="97"/>
      <c r="D124" s="97"/>
      <c r="E124" s="97"/>
      <c r="F124" s="97"/>
      <c r="G124" s="1"/>
      <c r="H124" s="1"/>
      <c r="I124" s="1"/>
      <c r="J124" s="2"/>
      <c r="K124" s="1"/>
      <c r="L124" s="3"/>
      <c r="M124" s="1"/>
      <c r="Q124" s="25"/>
      <c r="R124" s="25"/>
      <c r="AP124" s="1"/>
      <c r="AQ124" s="1"/>
      <c r="AR124" s="1"/>
      <c r="AS124" s="1"/>
      <c r="AT124" s="1"/>
    </row>
    <row r="125" spans="1:46" s="18" customFormat="1" x14ac:dyDescent="0.2">
      <c r="A125" s="97"/>
      <c r="B125" s="97"/>
      <c r="C125" s="97"/>
      <c r="D125" s="97"/>
      <c r="E125" s="97"/>
      <c r="F125" s="97"/>
      <c r="G125" s="1"/>
      <c r="H125" s="1"/>
      <c r="I125" s="1"/>
      <c r="J125" s="2"/>
      <c r="K125" s="1"/>
      <c r="L125" s="3"/>
      <c r="M125" s="1"/>
      <c r="Q125" s="25"/>
      <c r="R125" s="25"/>
      <c r="AP125" s="1"/>
      <c r="AQ125" s="1"/>
      <c r="AR125" s="1"/>
      <c r="AS125" s="1"/>
      <c r="AT125" s="1"/>
    </row>
    <row r="126" spans="1:46" s="18" customFormat="1" x14ac:dyDescent="0.2">
      <c r="A126" s="97"/>
      <c r="B126" s="97"/>
      <c r="C126" s="97"/>
      <c r="D126" s="97"/>
      <c r="E126" s="97"/>
      <c r="F126" s="97"/>
      <c r="G126" s="1"/>
      <c r="H126" s="1"/>
      <c r="I126" s="1"/>
      <c r="J126" s="2"/>
      <c r="K126" s="1"/>
      <c r="L126" s="3"/>
      <c r="M126" s="1"/>
      <c r="Q126" s="25"/>
      <c r="R126" s="25"/>
      <c r="AP126" s="1"/>
      <c r="AQ126" s="1"/>
      <c r="AR126" s="1"/>
      <c r="AS126" s="1"/>
      <c r="AT126" s="1"/>
    </row>
    <row r="127" spans="1:46" s="18" customFormat="1" x14ac:dyDescent="0.2">
      <c r="A127" s="97"/>
      <c r="B127" s="97"/>
      <c r="C127" s="97"/>
      <c r="D127" s="97"/>
      <c r="E127" s="97"/>
      <c r="F127" s="97"/>
      <c r="G127" s="1"/>
      <c r="H127" s="1"/>
      <c r="I127" s="1"/>
      <c r="J127" s="2"/>
      <c r="K127" s="1"/>
      <c r="L127" s="3"/>
      <c r="M127" s="1"/>
      <c r="Q127" s="25"/>
      <c r="R127" s="25"/>
      <c r="AP127" s="1"/>
      <c r="AQ127" s="1"/>
      <c r="AR127" s="1"/>
      <c r="AS127" s="1"/>
      <c r="AT127" s="1"/>
    </row>
    <row r="128" spans="1:46" s="18" customFormat="1" x14ac:dyDescent="0.2">
      <c r="A128" s="97"/>
      <c r="B128" s="97"/>
      <c r="C128" s="97"/>
      <c r="D128" s="97"/>
      <c r="E128" s="97"/>
      <c r="F128" s="97"/>
      <c r="G128" s="1"/>
      <c r="H128" s="1"/>
      <c r="I128" s="1"/>
      <c r="J128" s="2"/>
      <c r="K128" s="1"/>
      <c r="L128" s="3"/>
      <c r="M128" s="1"/>
      <c r="Q128" s="25"/>
      <c r="R128" s="25"/>
      <c r="AP128" s="1"/>
      <c r="AQ128" s="1"/>
      <c r="AR128" s="1"/>
      <c r="AS128" s="1"/>
      <c r="AT128" s="1"/>
    </row>
    <row r="129" spans="1:46" s="18" customFormat="1" x14ac:dyDescent="0.2">
      <c r="A129" s="97"/>
      <c r="B129" s="97"/>
      <c r="C129" s="97"/>
      <c r="D129" s="97"/>
      <c r="E129" s="97"/>
      <c r="F129" s="97"/>
      <c r="G129" s="1"/>
      <c r="H129" s="1"/>
      <c r="I129" s="1"/>
      <c r="J129" s="2"/>
      <c r="K129" s="1"/>
      <c r="L129" s="3"/>
      <c r="M129" s="1"/>
      <c r="Q129" s="25"/>
      <c r="R129" s="25"/>
      <c r="AP129" s="1"/>
      <c r="AQ129" s="1"/>
      <c r="AR129" s="1"/>
      <c r="AS129" s="1"/>
      <c r="AT129" s="1"/>
    </row>
    <row r="130" spans="1:46" s="18" customFormat="1" x14ac:dyDescent="0.2">
      <c r="A130" s="97"/>
      <c r="B130" s="97"/>
      <c r="C130" s="97"/>
      <c r="D130" s="97"/>
      <c r="E130" s="97"/>
      <c r="F130" s="97"/>
      <c r="G130" s="1"/>
      <c r="H130" s="1"/>
      <c r="I130" s="1"/>
      <c r="J130" s="2"/>
      <c r="K130" s="1"/>
      <c r="L130" s="3"/>
      <c r="M130" s="1"/>
      <c r="Q130" s="25"/>
      <c r="R130" s="25"/>
      <c r="AP130" s="1"/>
      <c r="AQ130" s="1"/>
      <c r="AR130" s="1"/>
      <c r="AS130" s="1"/>
      <c r="AT130" s="1"/>
    </row>
    <row r="131" spans="1:46" s="18" customFormat="1" x14ac:dyDescent="0.2">
      <c r="A131" s="97"/>
      <c r="B131" s="97"/>
      <c r="C131" s="97"/>
      <c r="D131" s="97"/>
      <c r="E131" s="97"/>
      <c r="F131" s="97"/>
      <c r="G131" s="1"/>
      <c r="H131" s="1"/>
      <c r="I131" s="1"/>
      <c r="J131" s="2"/>
      <c r="K131" s="1"/>
      <c r="L131" s="3"/>
      <c r="M131" s="1"/>
      <c r="Q131" s="25"/>
      <c r="R131" s="25"/>
      <c r="AP131" s="1"/>
      <c r="AQ131" s="1"/>
      <c r="AR131" s="1"/>
      <c r="AS131" s="1"/>
      <c r="AT131" s="1"/>
    </row>
    <row r="132" spans="1:46" s="18" customFormat="1" x14ac:dyDescent="0.2">
      <c r="A132" s="97"/>
      <c r="B132" s="97"/>
      <c r="C132" s="97"/>
      <c r="D132" s="97"/>
      <c r="E132" s="97"/>
      <c r="F132" s="97"/>
      <c r="G132" s="1"/>
      <c r="H132" s="1"/>
      <c r="I132" s="1"/>
      <c r="J132" s="2"/>
      <c r="K132" s="1"/>
      <c r="L132" s="3"/>
      <c r="M132" s="1"/>
      <c r="Q132" s="25"/>
      <c r="R132" s="25"/>
      <c r="AP132" s="1"/>
      <c r="AQ132" s="1"/>
      <c r="AR132" s="1"/>
      <c r="AS132" s="1"/>
      <c r="AT132" s="1"/>
    </row>
    <row r="133" spans="1:46" s="18" customFormat="1" x14ac:dyDescent="0.2">
      <c r="A133" s="97"/>
      <c r="B133" s="97"/>
      <c r="C133" s="97"/>
      <c r="D133" s="97"/>
      <c r="E133" s="97"/>
      <c r="F133" s="97"/>
      <c r="G133" s="1"/>
      <c r="H133" s="1"/>
      <c r="I133" s="1"/>
      <c r="J133" s="2"/>
      <c r="K133" s="1"/>
      <c r="L133" s="3"/>
      <c r="M133" s="1"/>
      <c r="Q133" s="25"/>
      <c r="R133" s="25"/>
      <c r="AP133" s="1"/>
      <c r="AQ133" s="1"/>
      <c r="AR133" s="1"/>
      <c r="AS133" s="1"/>
      <c r="AT133" s="1"/>
    </row>
    <row r="134" spans="1:46" s="18" customFormat="1" x14ac:dyDescent="0.2">
      <c r="A134" s="97"/>
      <c r="B134" s="97"/>
      <c r="C134" s="97"/>
      <c r="D134" s="97"/>
      <c r="E134" s="97"/>
      <c r="F134" s="97"/>
      <c r="G134" s="1"/>
      <c r="H134" s="1"/>
      <c r="I134" s="1"/>
      <c r="J134" s="2"/>
      <c r="K134" s="1"/>
      <c r="L134" s="3"/>
      <c r="M134" s="1"/>
      <c r="Q134" s="25"/>
      <c r="R134" s="25"/>
      <c r="AP134" s="1"/>
      <c r="AQ134" s="1"/>
      <c r="AR134" s="1"/>
      <c r="AS134" s="1"/>
      <c r="AT134" s="1"/>
    </row>
    <row r="135" spans="1:46" s="18" customFormat="1" x14ac:dyDescent="0.2">
      <c r="A135" s="97"/>
      <c r="B135" s="97"/>
      <c r="C135" s="97"/>
      <c r="D135" s="97"/>
      <c r="E135" s="97"/>
      <c r="F135" s="97"/>
      <c r="G135" s="1"/>
      <c r="H135" s="1"/>
      <c r="I135" s="1"/>
      <c r="J135" s="2"/>
      <c r="K135" s="1"/>
      <c r="L135" s="3"/>
      <c r="M135" s="1"/>
      <c r="Q135" s="25"/>
      <c r="R135" s="25"/>
      <c r="AP135" s="1"/>
      <c r="AQ135" s="1"/>
      <c r="AR135" s="1"/>
      <c r="AS135" s="1"/>
      <c r="AT135" s="1"/>
    </row>
    <row r="136" spans="1:46" s="18" customFormat="1" x14ac:dyDescent="0.2">
      <c r="A136" s="97"/>
      <c r="B136" s="97"/>
      <c r="C136" s="97"/>
      <c r="D136" s="97"/>
      <c r="E136" s="97"/>
      <c r="F136" s="97"/>
      <c r="G136" s="1"/>
      <c r="H136" s="1"/>
      <c r="I136" s="1"/>
      <c r="J136" s="2"/>
      <c r="K136" s="1"/>
      <c r="L136" s="3"/>
      <c r="M136" s="1"/>
      <c r="Q136" s="25"/>
      <c r="R136" s="25"/>
      <c r="AP136" s="1"/>
      <c r="AQ136" s="1"/>
      <c r="AR136" s="1"/>
      <c r="AS136" s="1"/>
      <c r="AT136" s="1"/>
    </row>
    <row r="137" spans="1:46" s="18" customFormat="1" x14ac:dyDescent="0.2">
      <c r="A137" s="97"/>
      <c r="B137" s="97"/>
      <c r="C137" s="97"/>
      <c r="D137" s="97"/>
      <c r="E137" s="97"/>
      <c r="F137" s="97"/>
      <c r="G137" s="1"/>
      <c r="H137" s="1"/>
      <c r="I137" s="1"/>
      <c r="J137" s="2"/>
      <c r="K137" s="1"/>
      <c r="L137" s="3"/>
      <c r="M137" s="1"/>
      <c r="Q137" s="25"/>
      <c r="R137" s="25"/>
      <c r="AP137" s="1"/>
      <c r="AQ137" s="1"/>
      <c r="AR137" s="1"/>
      <c r="AS137" s="1"/>
      <c r="AT137" s="1"/>
    </row>
    <row r="138" spans="1:46" s="18" customFormat="1" x14ac:dyDescent="0.2">
      <c r="A138" s="97"/>
      <c r="B138" s="97"/>
      <c r="C138" s="97"/>
      <c r="D138" s="97"/>
      <c r="E138" s="97"/>
      <c r="F138" s="97"/>
      <c r="G138" s="1"/>
      <c r="H138" s="1"/>
      <c r="I138" s="1"/>
      <c r="J138" s="2"/>
      <c r="K138" s="1"/>
      <c r="L138" s="3"/>
      <c r="M138" s="1"/>
      <c r="Q138" s="25"/>
      <c r="R138" s="25"/>
      <c r="AP138" s="1"/>
      <c r="AQ138" s="1"/>
      <c r="AR138" s="1"/>
      <c r="AS138" s="1"/>
      <c r="AT138" s="1"/>
    </row>
    <row r="139" spans="1:46" s="18" customFormat="1" x14ac:dyDescent="0.2">
      <c r="A139" s="97"/>
      <c r="B139" s="97"/>
      <c r="C139" s="97"/>
      <c r="D139" s="97"/>
      <c r="E139" s="97"/>
      <c r="F139" s="97"/>
      <c r="G139" s="1"/>
      <c r="H139" s="1"/>
      <c r="I139" s="1"/>
      <c r="J139" s="2"/>
      <c r="K139" s="1"/>
      <c r="L139" s="3"/>
      <c r="M139" s="1"/>
      <c r="Q139" s="25"/>
      <c r="R139" s="25"/>
      <c r="AP139" s="1"/>
      <c r="AQ139" s="1"/>
      <c r="AR139" s="1"/>
      <c r="AS139" s="1"/>
      <c r="AT139" s="1"/>
    </row>
    <row r="140" spans="1:46" s="18" customFormat="1" x14ac:dyDescent="0.2">
      <c r="A140" s="97"/>
      <c r="B140" s="97"/>
      <c r="C140" s="97"/>
      <c r="D140" s="97"/>
      <c r="E140" s="97"/>
      <c r="F140" s="97"/>
      <c r="G140" s="1"/>
      <c r="H140" s="1"/>
      <c r="I140" s="1"/>
      <c r="J140" s="2"/>
      <c r="K140" s="1"/>
      <c r="L140" s="3"/>
      <c r="M140" s="1"/>
      <c r="Q140" s="25"/>
      <c r="R140" s="25"/>
      <c r="AP140" s="1"/>
      <c r="AQ140" s="1"/>
      <c r="AR140" s="1"/>
      <c r="AS140" s="1"/>
      <c r="AT140" s="1"/>
    </row>
    <row r="141" spans="1:46" s="18" customFormat="1" x14ac:dyDescent="0.2">
      <c r="A141" s="97"/>
      <c r="B141" s="97"/>
      <c r="C141" s="97"/>
      <c r="D141" s="97"/>
      <c r="E141" s="97"/>
      <c r="F141" s="97"/>
      <c r="G141" s="1"/>
      <c r="H141" s="1"/>
      <c r="I141" s="1"/>
      <c r="J141" s="2"/>
      <c r="K141" s="1"/>
      <c r="L141" s="3"/>
      <c r="M141" s="1"/>
      <c r="Q141" s="25"/>
      <c r="R141" s="25"/>
      <c r="AP141" s="1"/>
      <c r="AQ141" s="1"/>
      <c r="AR141" s="1"/>
      <c r="AS141" s="1"/>
      <c r="AT141" s="1"/>
    </row>
    <row r="142" spans="1:46" s="18" customFormat="1" x14ac:dyDescent="0.2">
      <c r="A142" s="97"/>
      <c r="B142" s="97"/>
      <c r="C142" s="97"/>
      <c r="D142" s="97"/>
      <c r="E142" s="97"/>
      <c r="F142" s="97"/>
      <c r="G142" s="1"/>
      <c r="H142" s="1"/>
      <c r="I142" s="1"/>
      <c r="J142" s="2"/>
      <c r="K142" s="1"/>
      <c r="L142" s="3"/>
      <c r="M142" s="1"/>
      <c r="Q142" s="25"/>
      <c r="R142" s="25"/>
      <c r="AP142" s="1"/>
      <c r="AQ142" s="1"/>
      <c r="AR142" s="1"/>
      <c r="AS142" s="1"/>
      <c r="AT142" s="1"/>
    </row>
    <row r="143" spans="1:46" s="18" customFormat="1" x14ac:dyDescent="0.2">
      <c r="A143" s="97"/>
      <c r="B143" s="97"/>
      <c r="C143" s="97"/>
      <c r="D143" s="97"/>
      <c r="E143" s="97"/>
      <c r="F143" s="97"/>
      <c r="G143" s="1"/>
      <c r="H143" s="1"/>
      <c r="I143" s="1"/>
      <c r="J143" s="2"/>
      <c r="K143" s="1"/>
      <c r="L143" s="3"/>
      <c r="M143" s="1"/>
      <c r="Q143" s="25"/>
      <c r="R143" s="25"/>
      <c r="AP143" s="1"/>
      <c r="AQ143" s="1"/>
      <c r="AR143" s="1"/>
      <c r="AS143" s="1"/>
      <c r="AT143" s="1"/>
    </row>
    <row r="144" spans="1:46" s="18" customFormat="1" x14ac:dyDescent="0.2">
      <c r="A144" s="97"/>
      <c r="B144" s="97"/>
      <c r="C144" s="97"/>
      <c r="D144" s="97"/>
      <c r="E144" s="97"/>
      <c r="F144" s="97"/>
      <c r="G144" s="1"/>
      <c r="H144" s="1"/>
      <c r="I144" s="1"/>
      <c r="J144" s="2"/>
      <c r="K144" s="1"/>
      <c r="L144" s="3"/>
      <c r="M144" s="1"/>
      <c r="Q144" s="25"/>
      <c r="R144" s="25"/>
      <c r="AP144" s="1"/>
      <c r="AQ144" s="1"/>
      <c r="AR144" s="1"/>
      <c r="AS144" s="1"/>
      <c r="AT144" s="1"/>
    </row>
    <row r="145" spans="1:46" s="18" customFormat="1" x14ac:dyDescent="0.2">
      <c r="A145" s="97"/>
      <c r="B145" s="97"/>
      <c r="C145" s="97"/>
      <c r="D145" s="97"/>
      <c r="E145" s="97"/>
      <c r="F145" s="97"/>
      <c r="G145" s="1"/>
      <c r="H145" s="1"/>
      <c r="I145" s="1"/>
      <c r="J145" s="2"/>
      <c r="K145" s="1"/>
      <c r="L145" s="3"/>
      <c r="M145" s="1"/>
      <c r="Q145" s="25"/>
      <c r="R145" s="25"/>
      <c r="AP145" s="1"/>
      <c r="AQ145" s="1"/>
      <c r="AR145" s="1"/>
      <c r="AS145" s="1"/>
      <c r="AT145" s="1"/>
    </row>
    <row r="146" spans="1:46" s="18" customFormat="1" x14ac:dyDescent="0.2">
      <c r="A146" s="97"/>
      <c r="B146" s="97"/>
      <c r="C146" s="97"/>
      <c r="D146" s="97"/>
      <c r="E146" s="97"/>
      <c r="F146" s="97"/>
      <c r="G146" s="1"/>
      <c r="H146" s="1"/>
      <c r="I146" s="1"/>
      <c r="J146" s="2"/>
      <c r="K146" s="1"/>
      <c r="L146" s="3"/>
      <c r="M146" s="1"/>
      <c r="Q146" s="25"/>
      <c r="R146" s="25"/>
      <c r="AP146" s="1"/>
      <c r="AQ146" s="1"/>
      <c r="AR146" s="1"/>
      <c r="AS146" s="1"/>
      <c r="AT146" s="1"/>
    </row>
    <row r="147" spans="1:46" s="18" customFormat="1" x14ac:dyDescent="0.2">
      <c r="A147" s="97"/>
      <c r="B147" s="97"/>
      <c r="C147" s="97"/>
      <c r="D147" s="97"/>
      <c r="E147" s="97"/>
      <c r="F147" s="97"/>
      <c r="G147" s="1"/>
      <c r="H147" s="1"/>
      <c r="I147" s="1"/>
      <c r="J147" s="2"/>
      <c r="K147" s="1"/>
      <c r="L147" s="3"/>
      <c r="M147" s="1"/>
      <c r="Q147" s="25"/>
      <c r="R147" s="25"/>
      <c r="AP147" s="1"/>
      <c r="AQ147" s="1"/>
      <c r="AR147" s="1"/>
      <c r="AS147" s="1"/>
      <c r="AT147" s="1"/>
    </row>
    <row r="148" spans="1:46" s="18" customFormat="1" x14ac:dyDescent="0.2">
      <c r="A148" s="97"/>
      <c r="B148" s="97"/>
      <c r="C148" s="97"/>
      <c r="D148" s="97"/>
      <c r="E148" s="97"/>
      <c r="F148" s="97"/>
      <c r="G148" s="1"/>
      <c r="H148" s="1"/>
      <c r="I148" s="1"/>
      <c r="J148" s="2"/>
      <c r="K148" s="1"/>
      <c r="L148" s="3"/>
      <c r="M148" s="1"/>
      <c r="Q148" s="25"/>
      <c r="R148" s="25"/>
      <c r="AP148" s="1"/>
      <c r="AQ148" s="1"/>
      <c r="AR148" s="1"/>
      <c r="AS148" s="1"/>
      <c r="AT148" s="1"/>
    </row>
    <row r="149" spans="1:46" s="18" customFormat="1" x14ac:dyDescent="0.2">
      <c r="A149" s="97"/>
      <c r="B149" s="97"/>
      <c r="C149" s="97"/>
      <c r="D149" s="97"/>
      <c r="E149" s="97"/>
      <c r="F149" s="97"/>
      <c r="G149" s="1"/>
      <c r="H149" s="1"/>
      <c r="I149" s="1"/>
      <c r="J149" s="2"/>
      <c r="K149" s="1"/>
      <c r="L149" s="3"/>
      <c r="M149" s="1"/>
      <c r="Q149" s="25"/>
      <c r="R149" s="25"/>
      <c r="AP149" s="1"/>
      <c r="AQ149" s="1"/>
      <c r="AR149" s="1"/>
      <c r="AS149" s="1"/>
      <c r="AT149" s="1"/>
    </row>
    <row r="150" spans="1:46" s="18" customFormat="1" x14ac:dyDescent="0.2">
      <c r="A150" s="97"/>
      <c r="B150" s="97"/>
      <c r="C150" s="97"/>
      <c r="D150" s="97"/>
      <c r="E150" s="97"/>
      <c r="F150" s="97"/>
      <c r="G150" s="1"/>
      <c r="H150" s="1"/>
      <c r="I150" s="1"/>
      <c r="J150" s="2"/>
      <c r="K150" s="1"/>
      <c r="L150" s="3"/>
      <c r="M150" s="1"/>
      <c r="Q150" s="25"/>
      <c r="R150" s="25"/>
      <c r="AP150" s="1"/>
      <c r="AQ150" s="1"/>
      <c r="AR150" s="1"/>
      <c r="AS150" s="1"/>
      <c r="AT150" s="1"/>
    </row>
    <row r="151" spans="1:46" s="18" customFormat="1" x14ac:dyDescent="0.2">
      <c r="A151" s="97"/>
      <c r="B151" s="97"/>
      <c r="C151" s="97"/>
      <c r="D151" s="97"/>
      <c r="E151" s="97"/>
      <c r="F151" s="97"/>
      <c r="G151" s="1"/>
      <c r="H151" s="1"/>
      <c r="I151" s="1"/>
      <c r="J151" s="2"/>
      <c r="K151" s="1"/>
      <c r="L151" s="3"/>
      <c r="M151" s="1"/>
      <c r="Q151" s="25"/>
      <c r="R151" s="25"/>
      <c r="AP151" s="1"/>
      <c r="AQ151" s="1"/>
      <c r="AR151" s="1"/>
      <c r="AS151" s="1"/>
      <c r="AT151" s="1"/>
    </row>
    <row r="152" spans="1:46" s="18" customFormat="1" x14ac:dyDescent="0.2">
      <c r="A152" s="97"/>
      <c r="B152" s="97"/>
      <c r="C152" s="97"/>
      <c r="D152" s="97"/>
      <c r="E152" s="97"/>
      <c r="F152" s="97"/>
      <c r="G152" s="1"/>
      <c r="H152" s="1"/>
      <c r="I152" s="1"/>
      <c r="J152" s="2"/>
      <c r="K152" s="1"/>
      <c r="L152" s="3"/>
      <c r="M152" s="1"/>
      <c r="Q152" s="25"/>
      <c r="R152" s="25"/>
      <c r="AP152" s="1"/>
      <c r="AQ152" s="1"/>
      <c r="AR152" s="1"/>
      <c r="AS152" s="1"/>
      <c r="AT152" s="1"/>
    </row>
    <row r="153" spans="1:46" s="18" customFormat="1" x14ac:dyDescent="0.2">
      <c r="A153" s="97"/>
      <c r="B153" s="97"/>
      <c r="C153" s="97"/>
      <c r="D153" s="97"/>
      <c r="E153" s="97"/>
      <c r="F153" s="97"/>
      <c r="G153" s="1"/>
      <c r="H153" s="1"/>
      <c r="I153" s="1"/>
      <c r="J153" s="2"/>
      <c r="K153" s="1"/>
      <c r="L153" s="3"/>
      <c r="M153" s="1"/>
      <c r="Q153" s="25"/>
      <c r="R153" s="25"/>
      <c r="AP153" s="1"/>
      <c r="AQ153" s="1"/>
      <c r="AR153" s="1"/>
      <c r="AS153" s="1"/>
      <c r="AT153" s="1"/>
    </row>
    <row r="154" spans="1:46" s="18" customFormat="1" x14ac:dyDescent="0.2">
      <c r="A154" s="97"/>
      <c r="B154" s="97"/>
      <c r="C154" s="97"/>
      <c r="D154" s="97"/>
      <c r="E154" s="97"/>
      <c r="F154" s="97"/>
      <c r="G154" s="1"/>
      <c r="H154" s="1"/>
      <c r="I154" s="1"/>
      <c r="J154" s="2"/>
      <c r="K154" s="1"/>
      <c r="L154" s="3"/>
      <c r="M154" s="1"/>
      <c r="Q154" s="25"/>
      <c r="R154" s="25"/>
      <c r="AP154" s="1"/>
      <c r="AQ154" s="1"/>
      <c r="AR154" s="1"/>
      <c r="AS154" s="1"/>
      <c r="AT154" s="1"/>
    </row>
    <row r="155" spans="1:46" s="18" customFormat="1" x14ac:dyDescent="0.2">
      <c r="A155" s="97"/>
      <c r="B155" s="97"/>
      <c r="C155" s="97"/>
      <c r="D155" s="97"/>
      <c r="E155" s="97"/>
      <c r="F155" s="97"/>
      <c r="G155" s="1"/>
      <c r="H155" s="1"/>
      <c r="I155" s="1"/>
      <c r="J155" s="2"/>
      <c r="K155" s="1"/>
      <c r="L155" s="3"/>
      <c r="M155" s="1"/>
      <c r="Q155" s="25"/>
      <c r="R155" s="25"/>
      <c r="AP155" s="1"/>
      <c r="AQ155" s="1"/>
      <c r="AR155" s="1"/>
      <c r="AS155" s="1"/>
      <c r="AT155" s="1"/>
    </row>
    <row r="156" spans="1:46" s="18" customFormat="1" x14ac:dyDescent="0.2">
      <c r="A156" s="97"/>
      <c r="B156" s="97"/>
      <c r="C156" s="97"/>
      <c r="D156" s="97"/>
      <c r="E156" s="97"/>
      <c r="F156" s="97"/>
      <c r="G156" s="1"/>
      <c r="H156" s="1"/>
      <c r="I156" s="1"/>
      <c r="J156" s="2"/>
      <c r="K156" s="1"/>
      <c r="L156" s="3"/>
      <c r="M156" s="1"/>
      <c r="Q156" s="25"/>
      <c r="R156" s="25"/>
      <c r="AP156" s="1"/>
      <c r="AQ156" s="1"/>
      <c r="AR156" s="1"/>
      <c r="AS156" s="1"/>
      <c r="AT156" s="1"/>
    </row>
    <row r="157" spans="1:46" s="18" customFormat="1" x14ac:dyDescent="0.2">
      <c r="A157" s="97"/>
      <c r="B157" s="97"/>
      <c r="C157" s="97"/>
      <c r="D157" s="97"/>
      <c r="E157" s="97"/>
      <c r="F157" s="97"/>
      <c r="G157" s="1"/>
      <c r="H157" s="1"/>
      <c r="I157" s="1"/>
      <c r="J157" s="2"/>
      <c r="K157" s="1"/>
      <c r="L157" s="3"/>
      <c r="M157" s="1"/>
      <c r="Q157" s="25"/>
      <c r="R157" s="25"/>
      <c r="AP157" s="1"/>
      <c r="AQ157" s="1"/>
      <c r="AR157" s="1"/>
      <c r="AS157" s="1"/>
      <c r="AT157" s="1"/>
    </row>
    <row r="158" spans="1:46" s="18" customFormat="1" x14ac:dyDescent="0.2">
      <c r="A158" s="97"/>
      <c r="B158" s="97"/>
      <c r="C158" s="97"/>
      <c r="D158" s="97"/>
      <c r="E158" s="97"/>
      <c r="F158" s="97"/>
      <c r="G158" s="1"/>
      <c r="H158" s="1"/>
      <c r="I158" s="1"/>
      <c r="J158" s="2"/>
      <c r="K158" s="1"/>
      <c r="L158" s="3"/>
      <c r="M158" s="1"/>
      <c r="Q158" s="25"/>
      <c r="R158" s="25"/>
      <c r="AP158" s="1"/>
      <c r="AQ158" s="1"/>
      <c r="AR158" s="1"/>
      <c r="AS158" s="1"/>
      <c r="AT158" s="1"/>
    </row>
    <row r="159" spans="1:46" s="18" customFormat="1" x14ac:dyDescent="0.2">
      <c r="A159" s="97"/>
      <c r="B159" s="97"/>
      <c r="C159" s="97"/>
      <c r="D159" s="97"/>
      <c r="E159" s="97"/>
      <c r="F159" s="97"/>
      <c r="G159" s="1"/>
      <c r="H159" s="1"/>
      <c r="I159" s="1"/>
      <c r="J159" s="2"/>
      <c r="K159" s="1"/>
      <c r="L159" s="3"/>
      <c r="M159" s="1"/>
      <c r="Q159" s="25"/>
      <c r="R159" s="25"/>
      <c r="AP159" s="1"/>
      <c r="AQ159" s="1"/>
      <c r="AR159" s="1"/>
      <c r="AS159" s="1"/>
      <c r="AT159" s="1"/>
    </row>
    <row r="160" spans="1:46" s="18" customFormat="1" x14ac:dyDescent="0.2">
      <c r="A160" s="97"/>
      <c r="B160" s="97"/>
      <c r="C160" s="97"/>
      <c r="D160" s="97"/>
      <c r="E160" s="97"/>
      <c r="F160" s="97"/>
      <c r="G160" s="1"/>
      <c r="H160" s="1"/>
      <c r="I160" s="1"/>
      <c r="J160" s="2"/>
      <c r="K160" s="1"/>
      <c r="L160" s="3"/>
      <c r="M160" s="1"/>
      <c r="Q160" s="25"/>
      <c r="R160" s="25"/>
      <c r="AP160" s="1"/>
      <c r="AQ160" s="1"/>
      <c r="AR160" s="1"/>
      <c r="AS160" s="1"/>
      <c r="AT160" s="1"/>
    </row>
    <row r="161" spans="1:46" s="18" customFormat="1" x14ac:dyDescent="0.2">
      <c r="A161" s="97"/>
      <c r="B161" s="97"/>
      <c r="C161" s="97"/>
      <c r="D161" s="97"/>
      <c r="E161" s="97"/>
      <c r="F161" s="97"/>
      <c r="G161" s="1"/>
      <c r="H161" s="1"/>
      <c r="I161" s="1"/>
      <c r="J161" s="2"/>
      <c r="K161" s="1"/>
      <c r="L161" s="3"/>
      <c r="M161" s="1"/>
      <c r="Q161" s="25"/>
      <c r="R161" s="25"/>
      <c r="AP161" s="1"/>
      <c r="AQ161" s="1"/>
      <c r="AR161" s="1"/>
      <c r="AS161" s="1"/>
      <c r="AT161" s="1"/>
    </row>
    <row r="162" spans="1:46" s="18" customFormat="1" x14ac:dyDescent="0.2">
      <c r="A162" s="97"/>
      <c r="B162" s="97"/>
      <c r="C162" s="97"/>
      <c r="D162" s="97"/>
      <c r="E162" s="97"/>
      <c r="F162" s="97"/>
      <c r="G162" s="1"/>
      <c r="H162" s="1"/>
      <c r="I162" s="1"/>
      <c r="J162" s="2"/>
      <c r="K162" s="1"/>
      <c r="L162" s="3"/>
      <c r="M162" s="1"/>
      <c r="Q162" s="25"/>
      <c r="R162" s="25"/>
      <c r="AP162" s="1"/>
      <c r="AQ162" s="1"/>
      <c r="AR162" s="1"/>
      <c r="AS162" s="1"/>
      <c r="AT162" s="1"/>
    </row>
    <row r="163" spans="1:46" s="18" customFormat="1" x14ac:dyDescent="0.2">
      <c r="A163" s="97"/>
      <c r="B163" s="97"/>
      <c r="C163" s="97"/>
      <c r="D163" s="97"/>
      <c r="E163" s="97"/>
      <c r="F163" s="97"/>
      <c r="G163" s="1"/>
      <c r="H163" s="1"/>
      <c r="I163" s="1"/>
      <c r="J163" s="2"/>
      <c r="K163" s="1"/>
      <c r="L163" s="3"/>
      <c r="M163" s="1"/>
      <c r="Q163" s="25"/>
      <c r="R163" s="25"/>
      <c r="AP163" s="1"/>
      <c r="AQ163" s="1"/>
      <c r="AR163" s="1"/>
      <c r="AS163" s="1"/>
      <c r="AT163" s="1"/>
    </row>
    <row r="164" spans="1:46" s="18" customFormat="1" x14ac:dyDescent="0.2">
      <c r="A164" s="97"/>
      <c r="B164" s="97"/>
      <c r="C164" s="97"/>
      <c r="D164" s="97"/>
      <c r="E164" s="97"/>
      <c r="F164" s="97"/>
      <c r="G164" s="1"/>
      <c r="H164" s="1"/>
      <c r="I164" s="1"/>
      <c r="J164" s="2"/>
      <c r="K164" s="1"/>
      <c r="L164" s="3"/>
      <c r="M164" s="1"/>
      <c r="Q164" s="25"/>
      <c r="R164" s="25"/>
      <c r="AP164" s="1"/>
      <c r="AQ164" s="1"/>
      <c r="AR164" s="1"/>
      <c r="AS164" s="1"/>
      <c r="AT164" s="1"/>
    </row>
    <row r="165" spans="1:46" s="18" customFormat="1" x14ac:dyDescent="0.2">
      <c r="A165" s="97"/>
      <c r="B165" s="97"/>
      <c r="C165" s="97"/>
      <c r="D165" s="97"/>
      <c r="E165" s="97"/>
      <c r="F165" s="97"/>
      <c r="G165" s="1"/>
      <c r="H165" s="1"/>
      <c r="I165" s="1"/>
      <c r="J165" s="2"/>
      <c r="K165" s="1"/>
      <c r="L165" s="3"/>
      <c r="M165" s="1"/>
      <c r="Q165" s="25"/>
      <c r="R165" s="25"/>
      <c r="AP165" s="1"/>
      <c r="AQ165" s="1"/>
      <c r="AR165" s="1"/>
      <c r="AS165" s="1"/>
      <c r="AT165" s="1"/>
    </row>
    <row r="166" spans="1:46" s="18" customFormat="1" x14ac:dyDescent="0.2">
      <c r="A166" s="97"/>
      <c r="B166" s="97"/>
      <c r="C166" s="97"/>
      <c r="D166" s="97"/>
      <c r="E166" s="97"/>
      <c r="F166" s="97"/>
      <c r="G166" s="1"/>
      <c r="H166" s="1"/>
      <c r="I166" s="1"/>
      <c r="J166" s="2"/>
      <c r="K166" s="1"/>
      <c r="L166" s="3"/>
      <c r="M166" s="1"/>
      <c r="Q166" s="25"/>
      <c r="R166" s="25"/>
      <c r="AP166" s="1"/>
      <c r="AQ166" s="1"/>
      <c r="AR166" s="1"/>
      <c r="AS166" s="1"/>
      <c r="AT166" s="1"/>
    </row>
    <row r="167" spans="1:46" s="18" customFormat="1" x14ac:dyDescent="0.2">
      <c r="A167" s="97"/>
      <c r="B167" s="97"/>
      <c r="C167" s="97"/>
      <c r="D167" s="97"/>
      <c r="E167" s="97"/>
      <c r="F167" s="97"/>
      <c r="G167" s="1"/>
      <c r="H167" s="1"/>
      <c r="I167" s="1"/>
      <c r="J167" s="2"/>
      <c r="K167" s="1"/>
      <c r="L167" s="3"/>
      <c r="M167" s="1"/>
      <c r="Q167" s="25"/>
      <c r="R167" s="25"/>
      <c r="AP167" s="1"/>
      <c r="AQ167" s="1"/>
      <c r="AR167" s="1"/>
      <c r="AS167" s="1"/>
      <c r="AT167" s="1"/>
    </row>
    <row r="168" spans="1:46" s="18" customFormat="1" x14ac:dyDescent="0.2">
      <c r="A168" s="97"/>
      <c r="B168" s="97"/>
      <c r="C168" s="97"/>
      <c r="D168" s="97"/>
      <c r="E168" s="97"/>
      <c r="F168" s="97"/>
      <c r="G168" s="1"/>
      <c r="H168" s="1"/>
      <c r="I168" s="1"/>
      <c r="J168" s="2"/>
      <c r="K168" s="1"/>
      <c r="L168" s="3"/>
      <c r="M168" s="1"/>
      <c r="Q168" s="25"/>
      <c r="R168" s="25"/>
      <c r="AP168" s="1"/>
      <c r="AQ168" s="1"/>
      <c r="AR168" s="1"/>
      <c r="AS168" s="1"/>
      <c r="AT168" s="1"/>
    </row>
    <row r="169" spans="1:46" s="18" customFormat="1" x14ac:dyDescent="0.2">
      <c r="A169" s="97"/>
      <c r="B169" s="97"/>
      <c r="C169" s="97"/>
      <c r="D169" s="97"/>
      <c r="E169" s="97"/>
      <c r="F169" s="97"/>
      <c r="G169" s="1"/>
      <c r="H169" s="1"/>
      <c r="I169" s="1"/>
      <c r="J169" s="2"/>
      <c r="K169" s="1"/>
      <c r="L169" s="3"/>
      <c r="M169" s="1"/>
      <c r="Q169" s="25"/>
      <c r="R169" s="25"/>
      <c r="AP169" s="1"/>
      <c r="AQ169" s="1"/>
      <c r="AR169" s="1"/>
      <c r="AS169" s="1"/>
      <c r="AT169" s="1"/>
    </row>
    <row r="170" spans="1:46" s="18" customFormat="1" x14ac:dyDescent="0.2">
      <c r="A170" s="97"/>
      <c r="B170" s="97"/>
      <c r="C170" s="97"/>
      <c r="D170" s="97"/>
      <c r="E170" s="97"/>
      <c r="F170" s="97"/>
      <c r="G170" s="1"/>
      <c r="H170" s="1"/>
      <c r="I170" s="1"/>
      <c r="J170" s="2"/>
      <c r="K170" s="1"/>
      <c r="L170" s="3"/>
      <c r="M170" s="1"/>
      <c r="Q170" s="25"/>
      <c r="R170" s="25"/>
      <c r="AP170" s="1"/>
      <c r="AQ170" s="1"/>
      <c r="AR170" s="1"/>
      <c r="AS170" s="1"/>
      <c r="AT170" s="1"/>
    </row>
    <row r="171" spans="1:46" s="18" customFormat="1" x14ac:dyDescent="0.2">
      <c r="A171" s="97"/>
      <c r="B171" s="97"/>
      <c r="C171" s="97"/>
      <c r="D171" s="97"/>
      <c r="E171" s="97"/>
      <c r="F171" s="97"/>
      <c r="G171" s="1"/>
      <c r="H171" s="1"/>
      <c r="I171" s="1"/>
      <c r="J171" s="2"/>
      <c r="K171" s="1"/>
      <c r="L171" s="3"/>
      <c r="M171" s="1"/>
      <c r="Q171" s="25"/>
      <c r="R171" s="25"/>
      <c r="AP171" s="1"/>
      <c r="AQ171" s="1"/>
      <c r="AR171" s="1"/>
      <c r="AS171" s="1"/>
      <c r="AT171" s="1"/>
    </row>
    <row r="172" spans="1:46" s="18" customFormat="1" x14ac:dyDescent="0.2">
      <c r="A172" s="97"/>
      <c r="B172" s="97"/>
      <c r="C172" s="97"/>
      <c r="D172" s="97"/>
      <c r="E172" s="97"/>
      <c r="F172" s="97"/>
      <c r="G172" s="1"/>
      <c r="H172" s="1"/>
      <c r="I172" s="1"/>
      <c r="J172" s="2"/>
      <c r="K172" s="1"/>
      <c r="L172" s="3"/>
      <c r="M172" s="1"/>
      <c r="Q172" s="25"/>
      <c r="R172" s="25"/>
      <c r="AP172" s="1"/>
      <c r="AQ172" s="1"/>
      <c r="AR172" s="1"/>
      <c r="AS172" s="1"/>
      <c r="AT172" s="1"/>
    </row>
    <row r="173" spans="1:46" s="18" customFormat="1" x14ac:dyDescent="0.2">
      <c r="A173" s="97"/>
      <c r="B173" s="97"/>
      <c r="C173" s="97"/>
      <c r="D173" s="97"/>
      <c r="E173" s="97"/>
      <c r="F173" s="97"/>
      <c r="G173" s="1"/>
      <c r="H173" s="1"/>
      <c r="I173" s="1"/>
      <c r="J173" s="2"/>
      <c r="K173" s="1"/>
      <c r="L173" s="3"/>
      <c r="M173" s="1"/>
      <c r="Q173" s="25"/>
      <c r="R173" s="25"/>
      <c r="AP173" s="1"/>
      <c r="AQ173" s="1"/>
      <c r="AR173" s="1"/>
      <c r="AS173" s="1"/>
      <c r="AT173" s="1"/>
    </row>
    <row r="174" spans="1:46" s="18" customFormat="1" x14ac:dyDescent="0.2">
      <c r="A174" s="97"/>
      <c r="B174" s="97"/>
      <c r="C174" s="97"/>
      <c r="D174" s="97"/>
      <c r="E174" s="97"/>
      <c r="F174" s="97"/>
      <c r="G174" s="1"/>
      <c r="H174" s="1"/>
      <c r="I174" s="1"/>
      <c r="J174" s="2"/>
      <c r="K174" s="1"/>
      <c r="L174" s="3"/>
      <c r="M174" s="1"/>
      <c r="Q174" s="25"/>
      <c r="R174" s="25"/>
      <c r="AP174" s="1"/>
      <c r="AQ174" s="1"/>
      <c r="AR174" s="1"/>
      <c r="AS174" s="1"/>
      <c r="AT174" s="1"/>
    </row>
    <row r="175" spans="1:46" s="18" customFormat="1" x14ac:dyDescent="0.2">
      <c r="A175" s="97"/>
      <c r="B175" s="97"/>
      <c r="C175" s="97"/>
      <c r="D175" s="97"/>
      <c r="E175" s="97"/>
      <c r="F175" s="97"/>
      <c r="G175" s="1"/>
      <c r="H175" s="1"/>
      <c r="I175" s="1"/>
      <c r="J175" s="2"/>
      <c r="K175" s="1"/>
      <c r="L175" s="3"/>
      <c r="M175" s="1"/>
      <c r="Q175" s="25"/>
      <c r="R175" s="25"/>
      <c r="AP175" s="1"/>
      <c r="AQ175" s="1"/>
      <c r="AR175" s="1"/>
      <c r="AS175" s="1"/>
      <c r="AT175" s="1"/>
    </row>
    <row r="176" spans="1:46" s="18" customFormat="1" x14ac:dyDescent="0.2">
      <c r="A176" s="97"/>
      <c r="B176" s="97"/>
      <c r="C176" s="97"/>
      <c r="D176" s="97"/>
      <c r="E176" s="97"/>
      <c r="F176" s="97"/>
      <c r="G176" s="1"/>
      <c r="H176" s="1"/>
      <c r="I176" s="1"/>
      <c r="J176" s="2"/>
      <c r="K176" s="1"/>
      <c r="L176" s="3"/>
      <c r="M176" s="1"/>
      <c r="Q176" s="25"/>
      <c r="R176" s="25"/>
      <c r="AP176" s="1"/>
      <c r="AQ176" s="1"/>
      <c r="AR176" s="1"/>
      <c r="AS176" s="1"/>
      <c r="AT176" s="1"/>
    </row>
    <row r="177" spans="1:46" s="18" customFormat="1" x14ac:dyDescent="0.2">
      <c r="A177" s="97"/>
      <c r="B177" s="97"/>
      <c r="C177" s="97"/>
      <c r="D177" s="97"/>
      <c r="E177" s="97"/>
      <c r="F177" s="97"/>
      <c r="G177" s="1"/>
      <c r="H177" s="1"/>
      <c r="I177" s="1"/>
      <c r="J177" s="2"/>
      <c r="K177" s="1"/>
      <c r="L177" s="3"/>
      <c r="M177" s="1"/>
      <c r="Q177" s="25"/>
      <c r="R177" s="25"/>
      <c r="AP177" s="1"/>
      <c r="AQ177" s="1"/>
      <c r="AR177" s="1"/>
      <c r="AS177" s="1"/>
      <c r="AT177" s="1"/>
    </row>
    <row r="178" spans="1:46" s="18" customFormat="1" x14ac:dyDescent="0.2">
      <c r="A178" s="97"/>
      <c r="B178" s="97"/>
      <c r="C178" s="97"/>
      <c r="D178" s="97"/>
      <c r="E178" s="97"/>
      <c r="F178" s="97"/>
      <c r="G178" s="1"/>
      <c r="H178" s="1"/>
      <c r="I178" s="1"/>
      <c r="J178" s="2"/>
      <c r="K178" s="1"/>
      <c r="L178" s="3"/>
      <c r="M178" s="1"/>
      <c r="Q178" s="25"/>
      <c r="R178" s="25"/>
      <c r="AP178" s="1"/>
      <c r="AQ178" s="1"/>
      <c r="AR178" s="1"/>
      <c r="AS178" s="1"/>
      <c r="AT178" s="1"/>
    </row>
    <row r="179" spans="1:46" s="18" customFormat="1" x14ac:dyDescent="0.2">
      <c r="A179" s="97"/>
      <c r="B179" s="97"/>
      <c r="C179" s="97"/>
      <c r="D179" s="97"/>
      <c r="E179" s="97"/>
      <c r="F179" s="97"/>
      <c r="G179" s="1"/>
      <c r="H179" s="1"/>
      <c r="I179" s="1"/>
      <c r="J179" s="2"/>
      <c r="K179" s="1"/>
      <c r="L179" s="3"/>
      <c r="M179" s="1"/>
      <c r="Q179" s="25"/>
      <c r="R179" s="25"/>
      <c r="AP179" s="1"/>
      <c r="AQ179" s="1"/>
      <c r="AR179" s="1"/>
      <c r="AS179" s="1"/>
      <c r="AT179" s="1"/>
    </row>
    <row r="180" spans="1:46" s="18" customFormat="1" x14ac:dyDescent="0.2">
      <c r="A180" s="97"/>
      <c r="B180" s="97"/>
      <c r="C180" s="97"/>
      <c r="D180" s="97"/>
      <c r="E180" s="97"/>
      <c r="F180" s="97"/>
      <c r="G180" s="1"/>
      <c r="H180" s="1"/>
      <c r="I180" s="1"/>
      <c r="J180" s="2"/>
      <c r="K180" s="1"/>
      <c r="L180" s="3"/>
      <c r="M180" s="1"/>
      <c r="Q180" s="25"/>
      <c r="R180" s="25"/>
      <c r="AP180" s="1"/>
      <c r="AQ180" s="1"/>
      <c r="AR180" s="1"/>
      <c r="AS180" s="1"/>
      <c r="AT180" s="1"/>
    </row>
    <row r="181" spans="1:46" s="18" customFormat="1" x14ac:dyDescent="0.2">
      <c r="A181" s="97"/>
      <c r="B181" s="97"/>
      <c r="C181" s="97"/>
      <c r="D181" s="97"/>
      <c r="E181" s="97"/>
      <c r="F181" s="97"/>
      <c r="G181" s="1"/>
      <c r="H181" s="1"/>
      <c r="I181" s="1"/>
      <c r="J181" s="2"/>
      <c r="K181" s="1"/>
      <c r="L181" s="3"/>
      <c r="M181" s="1"/>
      <c r="Q181" s="25"/>
      <c r="R181" s="25"/>
      <c r="AP181" s="1"/>
      <c r="AQ181" s="1"/>
      <c r="AR181" s="1"/>
      <c r="AS181" s="1"/>
      <c r="AT181" s="1"/>
    </row>
    <row r="182" spans="1:46" s="18" customFormat="1" x14ac:dyDescent="0.2">
      <c r="A182" s="97"/>
      <c r="B182" s="97"/>
      <c r="C182" s="97"/>
      <c r="D182" s="97"/>
      <c r="E182" s="97"/>
      <c r="F182" s="97"/>
      <c r="G182" s="1"/>
      <c r="H182" s="1"/>
      <c r="I182" s="1"/>
      <c r="J182" s="2"/>
      <c r="K182" s="1"/>
      <c r="L182" s="3"/>
      <c r="M182" s="1"/>
      <c r="Q182" s="25"/>
      <c r="R182" s="25"/>
      <c r="AP182" s="1"/>
      <c r="AQ182" s="1"/>
      <c r="AR182" s="1"/>
      <c r="AS182" s="1"/>
      <c r="AT182" s="1"/>
    </row>
    <row r="183" spans="1:46" s="18" customFormat="1" x14ac:dyDescent="0.2">
      <c r="A183" s="97"/>
      <c r="B183" s="97"/>
      <c r="C183" s="97"/>
      <c r="D183" s="97"/>
      <c r="E183" s="97"/>
      <c r="F183" s="97"/>
      <c r="G183" s="1"/>
      <c r="H183" s="1"/>
      <c r="I183" s="1"/>
      <c r="J183" s="2"/>
      <c r="K183" s="1"/>
      <c r="L183" s="3"/>
      <c r="M183" s="1"/>
      <c r="Q183" s="25"/>
      <c r="R183" s="25"/>
      <c r="AP183" s="1"/>
      <c r="AQ183" s="1"/>
      <c r="AR183" s="1"/>
      <c r="AS183" s="1"/>
      <c r="AT183" s="1"/>
    </row>
    <row r="184" spans="1:46" s="18" customFormat="1" x14ac:dyDescent="0.2">
      <c r="A184" s="97"/>
      <c r="B184" s="97"/>
      <c r="C184" s="97"/>
      <c r="D184" s="97"/>
      <c r="E184" s="97"/>
      <c r="F184" s="97"/>
      <c r="G184" s="1"/>
      <c r="H184" s="1"/>
      <c r="I184" s="1"/>
      <c r="J184" s="2"/>
      <c r="K184" s="1"/>
      <c r="L184" s="3"/>
      <c r="M184" s="1"/>
      <c r="Q184" s="25"/>
      <c r="R184" s="25"/>
      <c r="AP184" s="1"/>
      <c r="AQ184" s="1"/>
      <c r="AR184" s="1"/>
      <c r="AS184" s="1"/>
      <c r="AT184" s="1"/>
    </row>
    <row r="185" spans="1:46" s="18" customFormat="1" x14ac:dyDescent="0.2">
      <c r="A185" s="97"/>
      <c r="B185" s="97"/>
      <c r="C185" s="97"/>
      <c r="D185" s="97"/>
      <c r="E185" s="97"/>
      <c r="F185" s="97"/>
      <c r="G185" s="1"/>
      <c r="H185" s="1"/>
      <c r="I185" s="1"/>
      <c r="J185" s="2"/>
      <c r="K185" s="1"/>
      <c r="L185" s="3"/>
      <c r="M185" s="1"/>
      <c r="Q185" s="25"/>
      <c r="R185" s="25"/>
      <c r="AP185" s="1"/>
      <c r="AQ185" s="1"/>
      <c r="AR185" s="1"/>
      <c r="AS185" s="1"/>
      <c r="AT185" s="1"/>
    </row>
    <row r="186" spans="1:46" s="18" customFormat="1" x14ac:dyDescent="0.2">
      <c r="A186" s="97"/>
      <c r="B186" s="97"/>
      <c r="C186" s="97"/>
      <c r="D186" s="97"/>
      <c r="E186" s="97"/>
      <c r="F186" s="97"/>
      <c r="G186" s="1"/>
      <c r="H186" s="1"/>
      <c r="I186" s="1"/>
      <c r="J186" s="2"/>
      <c r="K186" s="1"/>
      <c r="L186" s="3"/>
      <c r="M186" s="1"/>
      <c r="Q186" s="25"/>
      <c r="R186" s="25"/>
      <c r="AP186" s="1"/>
      <c r="AQ186" s="1"/>
      <c r="AR186" s="1"/>
      <c r="AS186" s="1"/>
      <c r="AT186" s="1"/>
    </row>
    <row r="187" spans="1:46" s="18" customFormat="1" x14ac:dyDescent="0.2">
      <c r="A187" s="97"/>
      <c r="B187" s="97"/>
      <c r="C187" s="97"/>
      <c r="D187" s="97"/>
      <c r="E187" s="97"/>
      <c r="F187" s="97"/>
      <c r="G187" s="1"/>
      <c r="H187" s="1"/>
      <c r="I187" s="1"/>
      <c r="J187" s="2"/>
      <c r="K187" s="1"/>
      <c r="L187" s="3"/>
      <c r="M187" s="1"/>
      <c r="Q187" s="25"/>
      <c r="R187" s="25"/>
      <c r="AP187" s="1"/>
      <c r="AQ187" s="1"/>
      <c r="AR187" s="1"/>
      <c r="AS187" s="1"/>
      <c r="AT187" s="1"/>
    </row>
    <row r="188" spans="1:46" s="18" customFormat="1" x14ac:dyDescent="0.2">
      <c r="A188" s="97"/>
      <c r="B188" s="97"/>
      <c r="C188" s="97"/>
      <c r="D188" s="97"/>
      <c r="E188" s="97"/>
      <c r="F188" s="97"/>
      <c r="G188" s="1"/>
      <c r="H188" s="1"/>
      <c r="I188" s="1"/>
      <c r="J188" s="2"/>
      <c r="K188" s="1"/>
      <c r="L188" s="3"/>
      <c r="M188" s="1"/>
      <c r="Q188" s="25"/>
      <c r="R188" s="25"/>
      <c r="AP188" s="1"/>
      <c r="AQ188" s="1"/>
      <c r="AR188" s="1"/>
      <c r="AS188" s="1"/>
      <c r="AT188" s="1"/>
    </row>
    <row r="189" spans="1:46" s="18" customFormat="1" x14ac:dyDescent="0.2">
      <c r="A189" s="97"/>
      <c r="B189" s="97"/>
      <c r="C189" s="97"/>
      <c r="D189" s="97"/>
      <c r="E189" s="97"/>
      <c r="F189" s="97"/>
      <c r="G189" s="1"/>
      <c r="H189" s="1"/>
      <c r="I189" s="1"/>
      <c r="J189" s="2"/>
      <c r="K189" s="1"/>
      <c r="L189" s="3"/>
      <c r="M189" s="1"/>
      <c r="Q189" s="25"/>
      <c r="R189" s="25"/>
      <c r="AP189" s="1"/>
      <c r="AQ189" s="1"/>
      <c r="AR189" s="1"/>
      <c r="AS189" s="1"/>
      <c r="AT189" s="1"/>
    </row>
    <row r="190" spans="1:46" s="18" customFormat="1" x14ac:dyDescent="0.2">
      <c r="A190" s="97"/>
      <c r="B190" s="97"/>
      <c r="C190" s="97"/>
      <c r="D190" s="97"/>
      <c r="E190" s="97"/>
      <c r="F190" s="97"/>
      <c r="G190" s="1"/>
      <c r="H190" s="1"/>
      <c r="I190" s="1"/>
      <c r="J190" s="2"/>
      <c r="K190" s="1"/>
      <c r="L190" s="3"/>
      <c r="M190" s="1"/>
      <c r="Q190" s="25"/>
      <c r="R190" s="25"/>
      <c r="AP190" s="1"/>
      <c r="AQ190" s="1"/>
      <c r="AR190" s="1"/>
      <c r="AS190" s="1"/>
      <c r="AT190" s="1"/>
    </row>
    <row r="191" spans="1:46" s="18" customFormat="1" x14ac:dyDescent="0.2">
      <c r="A191" s="97"/>
      <c r="B191" s="97"/>
      <c r="C191" s="97"/>
      <c r="D191" s="97"/>
      <c r="E191" s="97"/>
      <c r="F191" s="97"/>
      <c r="G191" s="1"/>
      <c r="H191" s="1"/>
      <c r="I191" s="1"/>
      <c r="J191" s="2"/>
      <c r="K191" s="1"/>
      <c r="L191" s="3"/>
      <c r="M191" s="1"/>
      <c r="Q191" s="25"/>
      <c r="R191" s="25"/>
      <c r="AP191" s="1"/>
      <c r="AQ191" s="1"/>
      <c r="AR191" s="1"/>
      <c r="AS191" s="1"/>
      <c r="AT191" s="1"/>
    </row>
    <row r="192" spans="1:46" s="18" customFormat="1" x14ac:dyDescent="0.2">
      <c r="A192" s="97"/>
      <c r="B192" s="97"/>
      <c r="C192" s="97"/>
      <c r="D192" s="97"/>
      <c r="E192" s="97"/>
      <c r="F192" s="97"/>
      <c r="G192" s="1"/>
      <c r="H192" s="1"/>
      <c r="I192" s="1"/>
      <c r="J192" s="2"/>
      <c r="K192" s="1"/>
      <c r="L192" s="3"/>
      <c r="M192" s="1"/>
      <c r="Q192" s="25"/>
      <c r="R192" s="25"/>
      <c r="AP192" s="1"/>
      <c r="AQ192" s="1"/>
      <c r="AR192" s="1"/>
      <c r="AS192" s="1"/>
      <c r="AT192" s="1"/>
    </row>
    <row r="193" spans="1:46" s="18" customFormat="1" x14ac:dyDescent="0.2">
      <c r="A193" s="97"/>
      <c r="B193" s="97"/>
      <c r="C193" s="97"/>
      <c r="D193" s="97"/>
      <c r="E193" s="97"/>
      <c r="F193" s="97"/>
      <c r="G193" s="1"/>
      <c r="H193" s="1"/>
      <c r="I193" s="1"/>
      <c r="J193" s="2"/>
      <c r="K193" s="1"/>
      <c r="L193" s="3"/>
      <c r="M193" s="1"/>
      <c r="Q193" s="25"/>
      <c r="R193" s="25"/>
      <c r="AP193" s="1"/>
      <c r="AQ193" s="1"/>
      <c r="AR193" s="1"/>
      <c r="AS193" s="1"/>
      <c r="AT193" s="1"/>
    </row>
    <row r="194" spans="1:46" s="18" customFormat="1" x14ac:dyDescent="0.2">
      <c r="A194" s="97"/>
      <c r="B194" s="97"/>
      <c r="C194" s="97"/>
      <c r="D194" s="97"/>
      <c r="E194" s="97"/>
      <c r="F194" s="97"/>
      <c r="G194" s="1"/>
      <c r="H194" s="1"/>
      <c r="I194" s="1"/>
      <c r="J194" s="2"/>
      <c r="K194" s="1"/>
      <c r="L194" s="3"/>
      <c r="M194" s="1"/>
      <c r="Q194" s="25"/>
      <c r="R194" s="25"/>
      <c r="AP194" s="1"/>
      <c r="AQ194" s="1"/>
      <c r="AR194" s="1"/>
      <c r="AS194" s="1"/>
      <c r="AT194" s="1"/>
    </row>
    <row r="195" spans="1:46" s="18" customFormat="1" x14ac:dyDescent="0.2">
      <c r="A195" s="97"/>
      <c r="B195" s="97"/>
      <c r="C195" s="97"/>
      <c r="D195" s="97"/>
      <c r="E195" s="97"/>
      <c r="F195" s="97"/>
      <c r="G195" s="1"/>
      <c r="H195" s="1"/>
      <c r="I195" s="1"/>
      <c r="J195" s="2"/>
      <c r="K195" s="1"/>
      <c r="L195" s="3"/>
      <c r="M195" s="1"/>
      <c r="Q195" s="25"/>
      <c r="R195" s="25"/>
      <c r="AP195" s="1"/>
      <c r="AQ195" s="1"/>
      <c r="AR195" s="1"/>
      <c r="AS195" s="1"/>
      <c r="AT195" s="1"/>
    </row>
    <row r="196" spans="1:46" s="18" customFormat="1" x14ac:dyDescent="0.2">
      <c r="A196" s="97"/>
      <c r="B196" s="97"/>
      <c r="C196" s="97"/>
      <c r="D196" s="97"/>
      <c r="E196" s="97"/>
      <c r="F196" s="97"/>
      <c r="G196" s="1"/>
      <c r="H196" s="1"/>
      <c r="I196" s="1"/>
      <c r="J196" s="2"/>
      <c r="K196" s="1"/>
      <c r="L196" s="3"/>
      <c r="M196" s="1"/>
      <c r="Q196" s="25"/>
      <c r="R196" s="25"/>
      <c r="AP196" s="1"/>
      <c r="AQ196" s="1"/>
      <c r="AR196" s="1"/>
      <c r="AS196" s="1"/>
      <c r="AT196" s="1"/>
    </row>
    <row r="197" spans="1:46" s="18" customFormat="1" x14ac:dyDescent="0.2">
      <c r="A197" s="97"/>
      <c r="B197" s="97"/>
      <c r="C197" s="97"/>
      <c r="D197" s="97"/>
      <c r="E197" s="97"/>
      <c r="F197" s="97"/>
      <c r="G197" s="1"/>
      <c r="H197" s="1"/>
      <c r="I197" s="1"/>
      <c r="J197" s="2"/>
      <c r="K197" s="1"/>
      <c r="L197" s="3"/>
      <c r="M197" s="1"/>
      <c r="Q197" s="25"/>
      <c r="R197" s="25"/>
      <c r="AP197" s="1"/>
      <c r="AQ197" s="1"/>
      <c r="AR197" s="1"/>
      <c r="AS197" s="1"/>
      <c r="AT197" s="1"/>
    </row>
    <row r="198" spans="1:46" s="18" customFormat="1" x14ac:dyDescent="0.2">
      <c r="A198" s="97"/>
      <c r="B198" s="97"/>
      <c r="C198" s="97"/>
      <c r="D198" s="97"/>
      <c r="E198" s="97"/>
      <c r="F198" s="97"/>
      <c r="G198" s="1"/>
      <c r="H198" s="1"/>
      <c r="I198" s="1"/>
      <c r="J198" s="2"/>
      <c r="K198" s="1"/>
      <c r="L198" s="3"/>
      <c r="M198" s="1"/>
      <c r="Q198" s="25"/>
      <c r="R198" s="25"/>
      <c r="AP198" s="1"/>
      <c r="AQ198" s="1"/>
      <c r="AR198" s="1"/>
      <c r="AS198" s="1"/>
      <c r="AT198" s="1"/>
    </row>
    <row r="199" spans="1:46" s="18" customFormat="1" x14ac:dyDescent="0.2">
      <c r="A199" s="97"/>
      <c r="B199" s="97"/>
      <c r="C199" s="97"/>
      <c r="D199" s="97"/>
      <c r="E199" s="97"/>
      <c r="F199" s="97"/>
      <c r="G199" s="1"/>
      <c r="H199" s="1"/>
      <c r="I199" s="1"/>
      <c r="J199" s="2"/>
      <c r="K199" s="1"/>
      <c r="L199" s="3"/>
      <c r="M199" s="1"/>
      <c r="Q199" s="25"/>
      <c r="R199" s="25"/>
      <c r="AP199" s="1"/>
      <c r="AQ199" s="1"/>
      <c r="AR199" s="1"/>
      <c r="AS199" s="1"/>
      <c r="AT199" s="1"/>
    </row>
    <row r="200" spans="1:46" s="18" customFormat="1" x14ac:dyDescent="0.2">
      <c r="A200" s="97"/>
      <c r="B200" s="97"/>
      <c r="C200" s="97"/>
      <c r="D200" s="97"/>
      <c r="E200" s="97"/>
      <c r="F200" s="97"/>
      <c r="G200" s="1"/>
      <c r="H200" s="1"/>
      <c r="I200" s="1"/>
      <c r="J200" s="2"/>
      <c r="K200" s="1"/>
      <c r="L200" s="3"/>
      <c r="M200" s="1"/>
      <c r="Q200" s="25"/>
      <c r="R200" s="25"/>
      <c r="AP200" s="1"/>
      <c r="AQ200" s="1"/>
      <c r="AR200" s="1"/>
      <c r="AS200" s="1"/>
      <c r="AT200" s="1"/>
    </row>
    <row r="201" spans="1:46" s="18" customFormat="1" x14ac:dyDescent="0.2">
      <c r="A201" s="97"/>
      <c r="B201" s="97"/>
      <c r="C201" s="97"/>
      <c r="D201" s="97"/>
      <c r="E201" s="97"/>
      <c r="F201" s="97"/>
      <c r="G201" s="1"/>
      <c r="H201" s="1"/>
      <c r="I201" s="1"/>
      <c r="J201" s="2"/>
      <c r="K201" s="1"/>
      <c r="L201" s="3"/>
      <c r="M201" s="1"/>
      <c r="Q201" s="25"/>
      <c r="R201" s="25"/>
      <c r="AP201" s="1"/>
      <c r="AQ201" s="1"/>
      <c r="AR201" s="1"/>
      <c r="AS201" s="1"/>
      <c r="AT201" s="1"/>
    </row>
    <row r="202" spans="1:46" s="18" customFormat="1" x14ac:dyDescent="0.2">
      <c r="A202" s="97"/>
      <c r="B202" s="97"/>
      <c r="C202" s="97"/>
      <c r="D202" s="97"/>
      <c r="E202" s="97"/>
      <c r="F202" s="97"/>
      <c r="G202" s="1"/>
      <c r="H202" s="1"/>
      <c r="I202" s="1"/>
      <c r="J202" s="2"/>
      <c r="K202" s="1"/>
      <c r="L202" s="3"/>
      <c r="M202" s="1"/>
      <c r="Q202" s="25"/>
      <c r="R202" s="25"/>
      <c r="AP202" s="1"/>
      <c r="AQ202" s="1"/>
      <c r="AR202" s="1"/>
      <c r="AS202" s="1"/>
      <c r="AT202" s="1"/>
    </row>
    <row r="203" spans="1:46" s="18" customFormat="1" x14ac:dyDescent="0.2">
      <c r="A203" s="97"/>
      <c r="B203" s="97"/>
      <c r="C203" s="97"/>
      <c r="D203" s="97"/>
      <c r="E203" s="97"/>
      <c r="F203" s="97"/>
      <c r="G203" s="1"/>
      <c r="H203" s="1"/>
      <c r="I203" s="1"/>
      <c r="J203" s="2"/>
      <c r="K203" s="1"/>
      <c r="L203" s="3"/>
      <c r="M203" s="1"/>
      <c r="Q203" s="25"/>
      <c r="R203" s="25"/>
      <c r="AP203" s="1"/>
      <c r="AQ203" s="1"/>
      <c r="AR203" s="1"/>
      <c r="AS203" s="1"/>
      <c r="AT203" s="1"/>
    </row>
    <row r="204" spans="1:46" s="18" customFormat="1" x14ac:dyDescent="0.2">
      <c r="A204" s="97"/>
      <c r="B204" s="97"/>
      <c r="C204" s="97"/>
      <c r="D204" s="97"/>
      <c r="E204" s="97"/>
      <c r="F204" s="97"/>
      <c r="G204" s="1"/>
      <c r="H204" s="1"/>
      <c r="I204" s="1"/>
      <c r="J204" s="2"/>
      <c r="K204" s="1"/>
      <c r="L204" s="3"/>
      <c r="M204" s="1"/>
      <c r="Q204" s="25"/>
      <c r="R204" s="25"/>
      <c r="AP204" s="1"/>
      <c r="AQ204" s="1"/>
      <c r="AR204" s="1"/>
      <c r="AS204" s="1"/>
      <c r="AT204" s="1"/>
    </row>
    <row r="205" spans="1:46" s="18" customFormat="1" x14ac:dyDescent="0.2">
      <c r="A205" s="97"/>
      <c r="B205" s="97"/>
      <c r="C205" s="97"/>
      <c r="D205" s="97"/>
      <c r="E205" s="97"/>
      <c r="F205" s="97"/>
      <c r="G205" s="1"/>
      <c r="H205" s="1"/>
      <c r="I205" s="1"/>
      <c r="J205" s="2"/>
      <c r="K205" s="1"/>
      <c r="L205" s="3"/>
      <c r="M205" s="1"/>
      <c r="Q205" s="25"/>
      <c r="R205" s="25"/>
      <c r="AP205" s="1"/>
      <c r="AQ205" s="1"/>
      <c r="AR205" s="1"/>
      <c r="AS205" s="1"/>
      <c r="AT205" s="1"/>
    </row>
    <row r="206" spans="1:46" s="18" customFormat="1" x14ac:dyDescent="0.2">
      <c r="A206" s="97"/>
      <c r="B206" s="97"/>
      <c r="C206" s="97"/>
      <c r="D206" s="97"/>
      <c r="E206" s="97"/>
      <c r="F206" s="97"/>
      <c r="G206" s="1"/>
      <c r="H206" s="1"/>
      <c r="I206" s="1"/>
      <c r="J206" s="2"/>
      <c r="K206" s="1"/>
      <c r="L206" s="3"/>
      <c r="M206" s="1"/>
      <c r="Q206" s="25"/>
      <c r="R206" s="25"/>
      <c r="AP206" s="1"/>
      <c r="AQ206" s="1"/>
      <c r="AR206" s="1"/>
      <c r="AS206" s="1"/>
      <c r="AT206" s="1"/>
    </row>
    <row r="207" spans="1:46" s="18" customFormat="1" x14ac:dyDescent="0.2">
      <c r="A207" s="97"/>
      <c r="B207" s="97"/>
      <c r="C207" s="97"/>
      <c r="D207" s="97"/>
      <c r="E207" s="97"/>
      <c r="F207" s="97"/>
      <c r="G207" s="1"/>
      <c r="H207" s="1"/>
      <c r="I207" s="1"/>
      <c r="J207" s="2"/>
      <c r="K207" s="1"/>
      <c r="L207" s="3"/>
      <c r="M207" s="1"/>
      <c r="Q207" s="25"/>
      <c r="R207" s="25"/>
      <c r="AP207" s="1"/>
      <c r="AQ207" s="1"/>
      <c r="AR207" s="1"/>
      <c r="AS207" s="1"/>
      <c r="AT207" s="1"/>
    </row>
    <row r="208" spans="1:46" s="18" customFormat="1" x14ac:dyDescent="0.2">
      <c r="A208" s="97"/>
      <c r="B208" s="97"/>
      <c r="C208" s="97"/>
      <c r="D208" s="97"/>
      <c r="E208" s="97"/>
      <c r="F208" s="97"/>
      <c r="G208" s="1"/>
      <c r="H208" s="1"/>
      <c r="I208" s="1"/>
      <c r="J208" s="2"/>
      <c r="K208" s="1"/>
      <c r="L208" s="3"/>
      <c r="M208" s="1"/>
      <c r="Q208" s="25"/>
      <c r="R208" s="25"/>
      <c r="AP208" s="1"/>
      <c r="AQ208" s="1"/>
      <c r="AR208" s="1"/>
      <c r="AS208" s="1"/>
      <c r="AT208" s="1"/>
    </row>
    <row r="209" spans="1:46" s="18" customFormat="1" x14ac:dyDescent="0.2">
      <c r="A209" s="97"/>
      <c r="B209" s="97"/>
      <c r="C209" s="97"/>
      <c r="D209" s="97"/>
      <c r="E209" s="97"/>
      <c r="F209" s="97"/>
      <c r="G209" s="1"/>
      <c r="H209" s="1"/>
      <c r="I209" s="1"/>
      <c r="J209" s="2"/>
      <c r="K209" s="1"/>
      <c r="L209" s="3"/>
      <c r="M209" s="1"/>
      <c r="Q209" s="25"/>
      <c r="R209" s="25"/>
      <c r="AP209" s="1"/>
      <c r="AQ209" s="1"/>
      <c r="AR209" s="1"/>
      <c r="AS209" s="1"/>
      <c r="AT209" s="1"/>
    </row>
    <row r="210" spans="1:46" s="18" customFormat="1" x14ac:dyDescent="0.2">
      <c r="A210" s="97"/>
      <c r="B210" s="97"/>
      <c r="C210" s="97"/>
      <c r="D210" s="97"/>
      <c r="E210" s="97"/>
      <c r="F210" s="97"/>
      <c r="G210" s="1"/>
      <c r="H210" s="1"/>
      <c r="I210" s="1"/>
      <c r="J210" s="2"/>
      <c r="K210" s="1"/>
      <c r="L210" s="3"/>
      <c r="M210" s="1"/>
      <c r="Q210" s="25"/>
      <c r="R210" s="25"/>
      <c r="AP210" s="1"/>
      <c r="AQ210" s="1"/>
      <c r="AR210" s="1"/>
      <c r="AS210" s="1"/>
      <c r="AT210" s="1"/>
    </row>
    <row r="211" spans="1:46" s="18" customFormat="1" x14ac:dyDescent="0.2">
      <c r="A211" s="97"/>
      <c r="B211" s="97"/>
      <c r="C211" s="97"/>
      <c r="D211" s="97"/>
      <c r="E211" s="97"/>
      <c r="F211" s="97"/>
      <c r="G211" s="1"/>
      <c r="H211" s="1"/>
      <c r="I211" s="1"/>
      <c r="J211" s="2"/>
      <c r="K211" s="1"/>
      <c r="L211" s="3"/>
      <c r="M211" s="1"/>
      <c r="Q211" s="25"/>
      <c r="R211" s="25"/>
      <c r="AP211" s="1"/>
      <c r="AQ211" s="1"/>
      <c r="AR211" s="1"/>
      <c r="AS211" s="1"/>
      <c r="AT211" s="1"/>
    </row>
    <row r="212" spans="1:46" s="18" customFormat="1" x14ac:dyDescent="0.2">
      <c r="A212" s="97"/>
      <c r="B212" s="97"/>
      <c r="C212" s="97"/>
      <c r="D212" s="97"/>
      <c r="E212" s="97"/>
      <c r="F212" s="97"/>
      <c r="G212" s="1"/>
      <c r="H212" s="1"/>
      <c r="I212" s="1"/>
      <c r="J212" s="2"/>
      <c r="K212" s="1"/>
      <c r="L212" s="3"/>
      <c r="M212" s="1"/>
      <c r="Q212" s="25"/>
      <c r="R212" s="25"/>
      <c r="AP212" s="1"/>
      <c r="AQ212" s="1"/>
      <c r="AR212" s="1"/>
      <c r="AS212" s="1"/>
      <c r="AT212" s="1"/>
    </row>
    <row r="213" spans="1:46" s="18" customFormat="1" x14ac:dyDescent="0.2">
      <c r="A213" s="97"/>
      <c r="B213" s="97"/>
      <c r="C213" s="97"/>
      <c r="D213" s="97"/>
      <c r="E213" s="97"/>
      <c r="F213" s="97"/>
      <c r="G213" s="1"/>
      <c r="H213" s="1"/>
      <c r="I213" s="1"/>
      <c r="J213" s="2"/>
      <c r="K213" s="1"/>
      <c r="L213" s="3"/>
      <c r="M213" s="1"/>
      <c r="Q213" s="25"/>
      <c r="R213" s="25"/>
      <c r="AP213" s="1"/>
      <c r="AQ213" s="1"/>
      <c r="AR213" s="1"/>
      <c r="AS213" s="1"/>
      <c r="AT213" s="1"/>
    </row>
    <row r="214" spans="1:46" s="18" customFormat="1" x14ac:dyDescent="0.2">
      <c r="A214" s="97"/>
      <c r="B214" s="97"/>
      <c r="C214" s="97"/>
      <c r="D214" s="97"/>
      <c r="E214" s="97"/>
      <c r="F214" s="97"/>
      <c r="G214" s="1"/>
      <c r="H214" s="1"/>
      <c r="I214" s="1"/>
      <c r="J214" s="2"/>
      <c r="K214" s="1"/>
      <c r="L214" s="3"/>
      <c r="M214" s="1"/>
      <c r="Q214" s="25"/>
      <c r="R214" s="25"/>
      <c r="AP214" s="1"/>
      <c r="AQ214" s="1"/>
      <c r="AR214" s="1"/>
      <c r="AS214" s="1"/>
      <c r="AT214" s="1"/>
    </row>
    <row r="215" spans="1:46" s="18" customFormat="1" x14ac:dyDescent="0.2">
      <c r="A215" s="97"/>
      <c r="B215" s="97"/>
      <c r="C215" s="97"/>
      <c r="D215" s="97"/>
      <c r="E215" s="97"/>
      <c r="F215" s="97"/>
      <c r="G215" s="1"/>
      <c r="H215" s="1"/>
      <c r="I215" s="1"/>
      <c r="J215" s="2"/>
      <c r="K215" s="1"/>
      <c r="L215" s="3"/>
      <c r="M215" s="1"/>
      <c r="Q215" s="25"/>
      <c r="R215" s="25"/>
      <c r="AP215" s="1"/>
      <c r="AQ215" s="1"/>
      <c r="AR215" s="1"/>
      <c r="AS215" s="1"/>
      <c r="AT215" s="1"/>
    </row>
    <row r="216" spans="1:46" s="18" customFormat="1" x14ac:dyDescent="0.2">
      <c r="A216" s="97"/>
      <c r="B216" s="97"/>
      <c r="C216" s="97"/>
      <c r="D216" s="97"/>
      <c r="E216" s="97"/>
      <c r="F216" s="97"/>
      <c r="G216" s="1"/>
      <c r="H216" s="1"/>
      <c r="I216" s="1"/>
      <c r="J216" s="2"/>
      <c r="K216" s="1"/>
      <c r="L216" s="3"/>
      <c r="M216" s="1"/>
      <c r="Q216" s="25"/>
      <c r="R216" s="25"/>
      <c r="AP216" s="1"/>
      <c r="AQ216" s="1"/>
      <c r="AR216" s="1"/>
      <c r="AS216" s="1"/>
      <c r="AT216" s="1"/>
    </row>
    <row r="217" spans="1:46" s="18" customFormat="1" x14ac:dyDescent="0.2">
      <c r="A217" s="97"/>
      <c r="B217" s="97"/>
      <c r="C217" s="97"/>
      <c r="D217" s="97"/>
      <c r="E217" s="97"/>
      <c r="F217" s="97"/>
      <c r="G217" s="1"/>
      <c r="H217" s="1"/>
      <c r="I217" s="1"/>
      <c r="J217" s="2"/>
      <c r="K217" s="1"/>
      <c r="L217" s="3"/>
      <c r="M217" s="1"/>
      <c r="Q217" s="25"/>
      <c r="R217" s="25"/>
      <c r="AP217" s="1"/>
      <c r="AQ217" s="1"/>
      <c r="AR217" s="1"/>
      <c r="AS217" s="1"/>
      <c r="AT217" s="1"/>
    </row>
    <row r="218" spans="1:46" s="18" customFormat="1" x14ac:dyDescent="0.2">
      <c r="A218" s="97"/>
      <c r="B218" s="97"/>
      <c r="C218" s="97"/>
      <c r="D218" s="97"/>
      <c r="E218" s="97"/>
      <c r="F218" s="97"/>
      <c r="G218" s="1"/>
      <c r="H218" s="1"/>
      <c r="I218" s="1"/>
      <c r="J218" s="2"/>
      <c r="K218" s="1"/>
      <c r="L218" s="3"/>
      <c r="M218" s="1"/>
      <c r="Q218" s="25"/>
      <c r="R218" s="25"/>
      <c r="AP218" s="1"/>
      <c r="AQ218" s="1"/>
      <c r="AR218" s="1"/>
      <c r="AS218" s="1"/>
      <c r="AT218" s="1"/>
    </row>
    <row r="219" spans="1:46" s="18" customFormat="1" x14ac:dyDescent="0.2">
      <c r="A219" s="97"/>
      <c r="B219" s="97"/>
      <c r="C219" s="97"/>
      <c r="D219" s="97"/>
      <c r="E219" s="97"/>
      <c r="F219" s="97"/>
      <c r="G219" s="1"/>
      <c r="H219" s="1"/>
      <c r="I219" s="1"/>
      <c r="J219" s="2"/>
      <c r="K219" s="1"/>
      <c r="L219" s="3"/>
      <c r="M219" s="1"/>
      <c r="Q219" s="25"/>
      <c r="R219" s="25"/>
      <c r="AP219" s="1"/>
      <c r="AQ219" s="1"/>
      <c r="AR219" s="1"/>
      <c r="AS219" s="1"/>
      <c r="AT219" s="1"/>
    </row>
    <row r="220" spans="1:46" s="18" customFormat="1" x14ac:dyDescent="0.2">
      <c r="A220" s="97"/>
      <c r="B220" s="97"/>
      <c r="C220" s="97"/>
      <c r="D220" s="97"/>
      <c r="E220" s="97"/>
      <c r="F220" s="97"/>
      <c r="G220" s="1"/>
      <c r="H220" s="1"/>
      <c r="I220" s="1"/>
      <c r="J220" s="2"/>
      <c r="K220" s="1"/>
      <c r="L220" s="3"/>
      <c r="M220" s="1"/>
      <c r="Q220" s="25"/>
      <c r="R220" s="25"/>
      <c r="AP220" s="1"/>
      <c r="AQ220" s="1"/>
      <c r="AR220" s="1"/>
      <c r="AS220" s="1"/>
      <c r="AT220" s="1"/>
    </row>
    <row r="221" spans="1:46" s="18" customFormat="1" x14ac:dyDescent="0.2">
      <c r="A221" s="97"/>
      <c r="B221" s="97"/>
      <c r="C221" s="97"/>
      <c r="D221" s="97"/>
      <c r="E221" s="97"/>
      <c r="F221" s="97"/>
      <c r="G221" s="1"/>
      <c r="H221" s="1"/>
      <c r="I221" s="1"/>
      <c r="J221" s="2"/>
      <c r="K221" s="1"/>
      <c r="L221" s="3"/>
      <c r="M221" s="1"/>
      <c r="Q221" s="25"/>
      <c r="R221" s="25"/>
      <c r="AP221" s="1"/>
      <c r="AQ221" s="1"/>
      <c r="AR221" s="1"/>
      <c r="AS221" s="1"/>
      <c r="AT221" s="1"/>
    </row>
    <row r="222" spans="1:46" s="18" customFormat="1" x14ac:dyDescent="0.2">
      <c r="A222" s="97"/>
      <c r="B222" s="97"/>
      <c r="C222" s="97"/>
      <c r="D222" s="97"/>
      <c r="E222" s="97"/>
      <c r="F222" s="97"/>
      <c r="G222" s="1"/>
      <c r="H222" s="1"/>
      <c r="I222" s="1"/>
      <c r="J222" s="2"/>
      <c r="K222" s="1"/>
      <c r="L222" s="3"/>
      <c r="M222" s="1"/>
      <c r="Q222" s="25"/>
      <c r="R222" s="25"/>
      <c r="AP222" s="1"/>
      <c r="AQ222" s="1"/>
      <c r="AR222" s="1"/>
      <c r="AS222" s="1"/>
      <c r="AT222" s="1"/>
    </row>
    <row r="223" spans="1:46" s="18" customFormat="1" x14ac:dyDescent="0.2">
      <c r="A223" s="97"/>
      <c r="B223" s="97"/>
      <c r="C223" s="97"/>
      <c r="D223" s="97"/>
      <c r="E223" s="97"/>
      <c r="F223" s="97"/>
      <c r="G223" s="1"/>
      <c r="H223" s="1"/>
      <c r="I223" s="1"/>
      <c r="J223" s="2"/>
      <c r="K223" s="1"/>
      <c r="L223" s="3"/>
      <c r="M223" s="1"/>
      <c r="Q223" s="25"/>
      <c r="R223" s="25"/>
      <c r="AP223" s="1"/>
      <c r="AQ223" s="1"/>
      <c r="AR223" s="1"/>
      <c r="AS223" s="1"/>
      <c r="AT223" s="1"/>
    </row>
    <row r="224" spans="1:46" s="18" customFormat="1" x14ac:dyDescent="0.2">
      <c r="A224" s="97"/>
      <c r="B224" s="97"/>
      <c r="C224" s="97"/>
      <c r="D224" s="97"/>
      <c r="E224" s="97"/>
      <c r="F224" s="97"/>
      <c r="G224" s="1"/>
      <c r="H224" s="1"/>
      <c r="I224" s="1"/>
      <c r="J224" s="2"/>
      <c r="K224" s="1"/>
      <c r="L224" s="3"/>
      <c r="M224" s="1"/>
      <c r="Q224" s="25"/>
      <c r="R224" s="25"/>
      <c r="AP224" s="1"/>
      <c r="AQ224" s="1"/>
      <c r="AR224" s="1"/>
      <c r="AS224" s="1"/>
      <c r="AT224" s="1"/>
    </row>
    <row r="225" spans="1:46" s="18" customFormat="1" x14ac:dyDescent="0.2">
      <c r="A225" s="97"/>
      <c r="B225" s="97"/>
      <c r="C225" s="97"/>
      <c r="D225" s="97"/>
      <c r="E225" s="97"/>
      <c r="F225" s="97"/>
      <c r="G225" s="1"/>
      <c r="H225" s="1"/>
      <c r="I225" s="1"/>
      <c r="J225" s="2"/>
      <c r="K225" s="1"/>
      <c r="L225" s="3"/>
      <c r="M225" s="1"/>
      <c r="Q225" s="25"/>
      <c r="R225" s="25"/>
      <c r="AP225" s="1"/>
      <c r="AQ225" s="1"/>
      <c r="AR225" s="1"/>
      <c r="AS225" s="1"/>
      <c r="AT225" s="1"/>
    </row>
    <row r="226" spans="1:46" s="18" customFormat="1" x14ac:dyDescent="0.2">
      <c r="A226" s="97"/>
      <c r="B226" s="97"/>
      <c r="C226" s="97"/>
      <c r="D226" s="97"/>
      <c r="E226" s="97"/>
      <c r="F226" s="97"/>
      <c r="G226" s="1"/>
      <c r="H226" s="1"/>
      <c r="I226" s="1"/>
      <c r="J226" s="2"/>
      <c r="K226" s="1"/>
      <c r="L226" s="3"/>
      <c r="M226" s="1"/>
      <c r="Q226" s="25"/>
      <c r="R226" s="25"/>
      <c r="AP226" s="1"/>
      <c r="AQ226" s="1"/>
      <c r="AR226" s="1"/>
      <c r="AS226" s="1"/>
      <c r="AT226" s="1"/>
    </row>
    <row r="227" spans="1:46" s="18" customFormat="1" x14ac:dyDescent="0.2">
      <c r="A227" s="97"/>
      <c r="B227" s="97"/>
      <c r="C227" s="97"/>
      <c r="D227" s="97"/>
      <c r="E227" s="97"/>
      <c r="F227" s="97"/>
      <c r="G227" s="1"/>
      <c r="H227" s="1"/>
      <c r="I227" s="1"/>
      <c r="J227" s="2"/>
      <c r="K227" s="1"/>
      <c r="L227" s="3"/>
      <c r="M227" s="1"/>
      <c r="Q227" s="25"/>
      <c r="R227" s="25"/>
      <c r="AP227" s="1"/>
      <c r="AQ227" s="1"/>
      <c r="AR227" s="1"/>
      <c r="AS227" s="1"/>
      <c r="AT227" s="1"/>
    </row>
    <row r="228" spans="1:46" s="18" customFormat="1" x14ac:dyDescent="0.2">
      <c r="A228" s="97"/>
      <c r="B228" s="97"/>
      <c r="C228" s="97"/>
      <c r="D228" s="97"/>
      <c r="E228" s="97"/>
      <c r="F228" s="97"/>
      <c r="G228" s="1"/>
      <c r="H228" s="1"/>
      <c r="I228" s="1"/>
      <c r="J228" s="2"/>
      <c r="K228" s="1"/>
      <c r="L228" s="3"/>
      <c r="M228" s="1"/>
      <c r="Q228" s="25"/>
      <c r="R228" s="25"/>
      <c r="AP228" s="1"/>
      <c r="AQ228" s="1"/>
      <c r="AR228" s="1"/>
      <c r="AS228" s="1"/>
      <c r="AT228" s="1"/>
    </row>
    <row r="229" spans="1:46" s="18" customFormat="1" x14ac:dyDescent="0.2">
      <c r="A229" s="97"/>
      <c r="B229" s="97"/>
      <c r="C229" s="97"/>
      <c r="D229" s="97"/>
      <c r="E229" s="97"/>
      <c r="F229" s="97"/>
      <c r="G229" s="1"/>
      <c r="H229" s="1"/>
      <c r="I229" s="1"/>
      <c r="J229" s="2"/>
      <c r="K229" s="1"/>
      <c r="L229" s="3"/>
      <c r="M229" s="1"/>
      <c r="Q229" s="25"/>
      <c r="R229" s="25"/>
      <c r="AP229" s="1"/>
      <c r="AQ229" s="1"/>
      <c r="AR229" s="1"/>
      <c r="AS229" s="1"/>
      <c r="AT229" s="1"/>
    </row>
    <row r="230" spans="1:46" s="18" customFormat="1" x14ac:dyDescent="0.2">
      <c r="A230" s="97"/>
      <c r="B230" s="97"/>
      <c r="C230" s="97"/>
      <c r="D230" s="97"/>
      <c r="E230" s="97"/>
      <c r="F230" s="97"/>
      <c r="G230" s="1"/>
      <c r="H230" s="1"/>
      <c r="I230" s="1"/>
      <c r="J230" s="2"/>
      <c r="K230" s="1"/>
      <c r="L230" s="3"/>
      <c r="M230" s="1"/>
      <c r="Q230" s="25"/>
      <c r="R230" s="25"/>
      <c r="AP230" s="1"/>
      <c r="AQ230" s="1"/>
      <c r="AR230" s="1"/>
      <c r="AS230" s="1"/>
      <c r="AT230" s="1"/>
    </row>
    <row r="231" spans="1:46" s="18" customFormat="1" x14ac:dyDescent="0.2">
      <c r="A231" s="97"/>
      <c r="B231" s="97"/>
      <c r="C231" s="97"/>
      <c r="D231" s="97"/>
      <c r="E231" s="97"/>
      <c r="F231" s="97"/>
      <c r="G231" s="1"/>
      <c r="H231" s="1"/>
      <c r="I231" s="1"/>
      <c r="J231" s="2"/>
      <c r="K231" s="1"/>
      <c r="L231" s="3"/>
      <c r="M231" s="1"/>
      <c r="Q231" s="25"/>
      <c r="R231" s="25"/>
      <c r="AP231" s="1"/>
      <c r="AQ231" s="1"/>
      <c r="AR231" s="1"/>
      <c r="AS231" s="1"/>
      <c r="AT231" s="1"/>
    </row>
    <row r="232" spans="1:46" s="18" customFormat="1" x14ac:dyDescent="0.2">
      <c r="A232" s="97"/>
      <c r="B232" s="97"/>
      <c r="C232" s="97"/>
      <c r="D232" s="97"/>
      <c r="E232" s="97"/>
      <c r="F232" s="97"/>
      <c r="G232" s="1"/>
      <c r="H232" s="1"/>
      <c r="I232" s="1"/>
      <c r="J232" s="2"/>
      <c r="K232" s="1"/>
      <c r="L232" s="3"/>
      <c r="M232" s="1"/>
      <c r="Q232" s="25"/>
      <c r="R232" s="25"/>
      <c r="AP232" s="1"/>
      <c r="AQ232" s="1"/>
      <c r="AR232" s="1"/>
      <c r="AS232" s="1"/>
      <c r="AT232" s="1"/>
    </row>
    <row r="233" spans="1:46" s="18" customFormat="1" x14ac:dyDescent="0.2">
      <c r="A233" s="97"/>
      <c r="B233" s="97"/>
      <c r="C233" s="97"/>
      <c r="D233" s="97"/>
      <c r="E233" s="97"/>
      <c r="F233" s="97"/>
      <c r="G233" s="1"/>
      <c r="H233" s="1"/>
      <c r="I233" s="1"/>
      <c r="J233" s="2"/>
      <c r="K233" s="1"/>
      <c r="L233" s="3"/>
      <c r="M233" s="1"/>
      <c r="AP233" s="1"/>
      <c r="AQ233" s="1"/>
      <c r="AR233" s="1"/>
      <c r="AS233" s="1"/>
      <c r="AT233" s="1"/>
    </row>
    <row r="234" spans="1:46" s="18" customFormat="1" x14ac:dyDescent="0.2">
      <c r="A234" s="97"/>
      <c r="B234" s="97"/>
      <c r="C234" s="97"/>
      <c r="D234" s="97"/>
      <c r="E234" s="97"/>
      <c r="F234" s="97"/>
      <c r="G234" s="1"/>
      <c r="H234" s="1"/>
      <c r="I234" s="1"/>
      <c r="J234" s="2"/>
      <c r="K234" s="1"/>
      <c r="L234" s="3"/>
      <c r="M234" s="1"/>
      <c r="AP234" s="1"/>
      <c r="AQ234" s="1"/>
      <c r="AR234" s="1"/>
      <c r="AS234" s="1"/>
      <c r="AT234" s="1"/>
    </row>
    <row r="235" spans="1:46" s="18" customFormat="1" x14ac:dyDescent="0.2">
      <c r="A235" s="97"/>
      <c r="B235" s="97"/>
      <c r="C235" s="97"/>
      <c r="D235" s="97"/>
      <c r="E235" s="97"/>
      <c r="F235" s="97"/>
      <c r="G235" s="1"/>
      <c r="H235" s="1"/>
      <c r="I235" s="1"/>
      <c r="J235" s="2"/>
      <c r="K235" s="1"/>
      <c r="L235" s="3"/>
      <c r="M235" s="1"/>
      <c r="AP235" s="1"/>
      <c r="AQ235" s="1"/>
      <c r="AR235" s="1"/>
      <c r="AS235" s="1"/>
      <c r="AT235" s="1"/>
    </row>
    <row r="236" spans="1:46" s="18" customFormat="1" x14ac:dyDescent="0.2">
      <c r="A236" s="97"/>
      <c r="B236" s="97"/>
      <c r="C236" s="97"/>
      <c r="D236" s="97"/>
      <c r="E236" s="97"/>
      <c r="F236" s="97"/>
      <c r="G236" s="1"/>
      <c r="H236" s="1"/>
      <c r="I236" s="1"/>
      <c r="J236" s="2"/>
      <c r="K236" s="1"/>
      <c r="L236" s="3"/>
      <c r="M236" s="1"/>
      <c r="N236" s="1"/>
      <c r="AP236" s="1"/>
      <c r="AQ236" s="1"/>
      <c r="AR236" s="1"/>
      <c r="AS236" s="1"/>
      <c r="AT236" s="1"/>
    </row>
    <row r="237" spans="1:46" s="18" customFormat="1" x14ac:dyDescent="0.2">
      <c r="A237" s="97"/>
      <c r="B237" s="97"/>
      <c r="C237" s="97"/>
      <c r="D237" s="97"/>
      <c r="E237" s="97"/>
      <c r="F237" s="97"/>
      <c r="G237" s="1"/>
      <c r="H237" s="1"/>
      <c r="I237" s="1"/>
      <c r="J237" s="2"/>
      <c r="K237" s="1"/>
      <c r="L237" s="3"/>
      <c r="M237" s="1"/>
      <c r="N237" s="1"/>
      <c r="AP237" s="1"/>
      <c r="AQ237" s="1"/>
      <c r="AR237" s="1"/>
      <c r="AS237" s="1"/>
      <c r="AT237" s="1"/>
    </row>
  </sheetData>
  <conditionalFormatting sqref="N68:AO69 N10:AO14 N35:AO35 N24:AO25 N49:AO49 N51:R52 N16:AO21 N41:R45 T51:AO52 T41:AO45 N26:R28 AE26:AO28 S14:AD22 N61:AO66">
    <cfRule type="cellIs" dxfId="404" priority="17" operator="lessThan">
      <formula>0</formula>
    </cfRule>
  </conditionalFormatting>
  <conditionalFormatting sqref="N68:AO69">
    <cfRule type="cellIs" dxfId="403" priority="14" operator="equal">
      <formula>TRUE</formula>
    </cfRule>
    <cfRule type="cellIs" dxfId="402" priority="15" operator="equal">
      <formula>FALSE</formula>
    </cfRule>
    <cfRule type="cellIs" dxfId="401" priority="16" operator="equal">
      <formula>TRUE</formula>
    </cfRule>
  </conditionalFormatting>
  <conditionalFormatting sqref="N15:AO15">
    <cfRule type="cellIs" dxfId="400" priority="13" operator="lessThan">
      <formula>0</formula>
    </cfRule>
  </conditionalFormatting>
  <conditionalFormatting sqref="N22:AO23">
    <cfRule type="cellIs" dxfId="399" priority="12" operator="lessThan">
      <formula>0</formula>
    </cfRule>
  </conditionalFormatting>
  <conditionalFormatting sqref="N34:AO34">
    <cfRule type="cellIs" dxfId="398" priority="11" operator="lessThan">
      <formula>0</formula>
    </cfRule>
  </conditionalFormatting>
  <conditionalFormatting sqref="N48:AO48">
    <cfRule type="cellIs" dxfId="397" priority="10" operator="lessThan">
      <formula>0</formula>
    </cfRule>
  </conditionalFormatting>
  <conditionalFormatting sqref="N54:R54 T54:AO54">
    <cfRule type="cellIs" dxfId="396" priority="9" operator="lessThan">
      <formula>0</formula>
    </cfRule>
  </conditionalFormatting>
  <conditionalFormatting sqref="N55:R55 T55:AO55">
    <cfRule type="cellIs" dxfId="395" priority="8" operator="lessThan">
      <formula>0</formula>
    </cfRule>
  </conditionalFormatting>
  <conditionalFormatting sqref="N56:R56 T56:AO56">
    <cfRule type="cellIs" dxfId="394" priority="7" operator="lessThan">
      <formula>0</formula>
    </cfRule>
  </conditionalFormatting>
  <conditionalFormatting sqref="N58:AO58">
    <cfRule type="cellIs" dxfId="393" priority="6" operator="lessThan">
      <formula>0</formula>
    </cfRule>
  </conditionalFormatting>
  <conditionalFormatting sqref="S51:AD57">
    <cfRule type="cellIs" dxfId="392" priority="5" operator="lessThan">
      <formula>0</formula>
    </cfRule>
  </conditionalFormatting>
  <conditionalFormatting sqref="S39:AD45">
    <cfRule type="cellIs" dxfId="391" priority="4" operator="lessThan">
      <formula>0</formula>
    </cfRule>
  </conditionalFormatting>
  <conditionalFormatting sqref="S46:AD46">
    <cfRule type="cellIs" dxfId="390" priority="3" operator="lessThan">
      <formula>0</formula>
    </cfRule>
  </conditionalFormatting>
  <conditionalFormatting sqref="S47:AD47">
    <cfRule type="cellIs" dxfId="389" priority="2" operator="lessThan">
      <formula>0</formula>
    </cfRule>
  </conditionalFormatting>
  <conditionalFormatting sqref="S26:AD33">
    <cfRule type="cellIs" dxfId="388" priority="1" operator="lessThan">
      <formula>0</formula>
    </cfRule>
  </conditionalFormatting>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262760"/>
  </sheetPr>
  <dimension ref="A1:XFC233"/>
  <sheetViews>
    <sheetView zoomScale="85" zoomScaleNormal="85" workbookViewId="0">
      <pane xSplit="12" ySplit="6" topLeftCell="R13" activePane="bottomRight" state="frozen"/>
      <selection activeCell="G62" sqref="G62"/>
      <selection pane="topRight" activeCell="G62" sqref="G62"/>
      <selection pane="bottomLeft" activeCell="G62" sqref="G62"/>
      <selection pane="bottomRight" activeCell="V47" sqref="V47"/>
    </sheetView>
  </sheetViews>
  <sheetFormatPr defaultColWidth="0" defaultRowHeight="12" outlineLevelCol="1" x14ac:dyDescent="0.2"/>
  <cols>
    <col min="1" max="5" width="2.6640625" style="1" customWidth="1"/>
    <col min="6" max="6" width="60.332031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6" width="16" style="18" hidden="1" customWidth="1" outlineLevel="1"/>
    <col min="17" max="17" width="16" style="18" customWidth="1" collapsed="1"/>
    <col min="18" max="31" width="16" style="18" customWidth="1"/>
    <col min="32" max="41" width="16" style="18" hidden="1"/>
    <col min="42" max="42" width="14.109375" style="1" hidden="1"/>
    <col min="43" max="16383" width="9.109375" style="1" hidden="1"/>
    <col min="16384" max="16384" width="2.109375" style="1" hidden="1"/>
  </cols>
  <sheetData>
    <row r="1" spans="1:43" s="293" customFormat="1" ht="13.2" thickBot="1" x14ac:dyDescent="0.3">
      <c r="B1" s="294" t="str">
        <f>Cover!$F$11</f>
        <v>Alusystems - KSA</v>
      </c>
      <c r="J1" s="295"/>
      <c r="L1" s="296"/>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473</v>
      </c>
      <c r="N3" s="643"/>
      <c r="O3" s="643"/>
      <c r="P3" s="643"/>
      <c r="Q3" s="643"/>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187"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Consolidated Statement of Cash Flow</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Q9" s="18" t="s">
        <v>8</v>
      </c>
    </row>
    <row r="10" spans="1:43" s="97" customFormat="1" ht="12.6" thickBot="1" x14ac:dyDescent="0.25">
      <c r="A10" s="1"/>
      <c r="B10" s="1"/>
      <c r="J10" s="98"/>
      <c r="L10" s="99"/>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row>
    <row r="11" spans="1:43" s="97" customFormat="1" ht="12.6" thickTop="1" x14ac:dyDescent="0.2">
      <c r="C11" s="320" t="s">
        <v>29</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101"/>
      <c r="AF11" s="101"/>
      <c r="AG11" s="101"/>
      <c r="AH11" s="101"/>
      <c r="AI11" s="101"/>
      <c r="AJ11" s="101"/>
      <c r="AK11" s="101"/>
      <c r="AL11" s="101"/>
      <c r="AM11" s="101"/>
      <c r="AN11" s="101"/>
      <c r="AO11" s="101"/>
    </row>
    <row r="12" spans="1:43" s="97" customFormat="1" x14ac:dyDescent="0.2">
      <c r="F12" s="21"/>
      <c r="J12" s="98"/>
      <c r="L12" s="99"/>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row>
    <row r="13" spans="1:43" s="97" customFormat="1" ht="12.6" x14ac:dyDescent="0.25">
      <c r="D13" s="97" t="s">
        <v>12</v>
      </c>
      <c r="F13" s="21"/>
      <c r="J13" s="98" t="s">
        <v>1205</v>
      </c>
      <c r="L13" s="99" t="s">
        <v>496</v>
      </c>
      <c r="N13" s="101"/>
      <c r="O13" s="101"/>
      <c r="P13" s="101"/>
      <c r="Q13" s="101"/>
      <c r="R13" s="103">
        <f>Act_CF_EBITDA</f>
        <v>93665</v>
      </c>
      <c r="S13" s="101">
        <f t="shared" ref="S13:AD13" si="2">IS_EBITDA</f>
        <v>80488.744347983229</v>
      </c>
      <c r="T13" s="101">
        <f t="shared" si="2"/>
        <v>94534.831626661995</v>
      </c>
      <c r="U13" s="101">
        <f t="shared" si="2"/>
        <v>112031.61152606754</v>
      </c>
      <c r="V13" s="101">
        <f t="shared" si="2"/>
        <v>111955.31961184702</v>
      </c>
      <c r="W13" s="101">
        <f t="shared" si="2"/>
        <v>158826.5378174677</v>
      </c>
      <c r="X13" s="101">
        <f t="shared" si="2"/>
        <v>194035.53199152311</v>
      </c>
      <c r="Y13" s="101">
        <f t="shared" si="2"/>
        <v>239630.36660504621</v>
      </c>
      <c r="Z13" s="101">
        <f t="shared" si="2"/>
        <v>321295.01337613614</v>
      </c>
      <c r="AA13" s="101">
        <f t="shared" si="2"/>
        <v>405420.6448779644</v>
      </c>
      <c r="AB13" s="101">
        <f t="shared" si="2"/>
        <v>516853.97286825185</v>
      </c>
      <c r="AC13" s="101">
        <f t="shared" si="2"/>
        <v>665343.12800955051</v>
      </c>
      <c r="AD13" s="101">
        <f t="shared" si="2"/>
        <v>864244.50154236448</v>
      </c>
      <c r="AE13" s="101"/>
      <c r="AF13" s="101"/>
      <c r="AG13" s="101"/>
      <c r="AH13" s="101"/>
      <c r="AI13" s="101"/>
      <c r="AJ13" s="101"/>
      <c r="AK13" s="101"/>
      <c r="AL13" s="101"/>
      <c r="AM13" s="101"/>
      <c r="AN13" s="101"/>
      <c r="AO13" s="101"/>
    </row>
    <row r="14" spans="1:43" s="97" customFormat="1" ht="12.6" x14ac:dyDescent="0.25">
      <c r="D14" s="32" t="s">
        <v>455</v>
      </c>
      <c r="F14" s="21"/>
      <c r="J14" s="98" t="s">
        <v>1205</v>
      </c>
      <c r="L14" s="99" t="s">
        <v>497</v>
      </c>
      <c r="N14" s="101"/>
      <c r="O14" s="101"/>
      <c r="P14" s="101"/>
      <c r="Q14" s="103"/>
      <c r="R14" s="103">
        <f>Act_CF_Working_Capital_Changes</f>
        <v>0</v>
      </c>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D15" s="106" t="s">
        <v>924</v>
      </c>
      <c r="F15" s="21"/>
      <c r="J15" s="98" t="s">
        <v>1205</v>
      </c>
      <c r="L15" s="99" t="s">
        <v>498</v>
      </c>
      <c r="N15" s="101"/>
      <c r="O15" s="101"/>
      <c r="P15" s="101"/>
      <c r="Q15" s="101"/>
      <c r="R15" s="101">
        <f>Act_CF_Receivables</f>
        <v>-4178</v>
      </c>
      <c r="S15" s="101">
        <f t="shared" ref="S15:AD15" si="3">Asset_Liability_Change_In_Receivables</f>
        <v>-20763.707431892821</v>
      </c>
      <c r="T15" s="101">
        <f t="shared" si="3"/>
        <v>-17410.632798677063</v>
      </c>
      <c r="U15" s="101">
        <f t="shared" si="3"/>
        <v>-21687.891007927654</v>
      </c>
      <c r="V15" s="101">
        <f t="shared" si="3"/>
        <v>-27294.059059130464</v>
      </c>
      <c r="W15" s="101">
        <f t="shared" si="3"/>
        <v>-34694.6180882974</v>
      </c>
      <c r="X15" s="101">
        <f t="shared" si="3"/>
        <v>-44526.151645464299</v>
      </c>
      <c r="Y15" s="101">
        <f t="shared" si="3"/>
        <v>-57660.338441237633</v>
      </c>
      <c r="Z15" s="101">
        <f t="shared" si="3"/>
        <v>-75292.021371504699</v>
      </c>
      <c r="AA15" s="101">
        <f t="shared" si="3"/>
        <v>-99060.429397344065</v>
      </c>
      <c r="AB15" s="101">
        <f t="shared" si="3"/>
        <v>-131216.05297730264</v>
      </c>
      <c r="AC15" s="101">
        <f t="shared" si="3"/>
        <v>-174850.38990555727</v>
      </c>
      <c r="AD15" s="101">
        <f t="shared" si="3"/>
        <v>-234212.27416823467</v>
      </c>
      <c r="AE15" s="101"/>
      <c r="AF15" s="101"/>
      <c r="AG15" s="101"/>
      <c r="AH15" s="101"/>
      <c r="AI15" s="101"/>
      <c r="AJ15" s="101"/>
      <c r="AK15" s="101"/>
      <c r="AL15" s="101"/>
      <c r="AM15" s="101"/>
      <c r="AN15" s="101"/>
      <c r="AO15" s="101"/>
    </row>
    <row r="16" spans="1:43" s="97" customFormat="1" x14ac:dyDescent="0.2">
      <c r="D16" s="106" t="s">
        <v>920</v>
      </c>
      <c r="F16" s="21"/>
      <c r="J16" s="98" t="s">
        <v>1205</v>
      </c>
      <c r="L16" s="99" t="s">
        <v>943</v>
      </c>
      <c r="N16" s="101"/>
      <c r="O16" s="101"/>
      <c r="P16" s="101"/>
      <c r="Q16" s="101"/>
      <c r="R16" s="101">
        <f>Act_CF_Inventories</f>
        <v>-3631</v>
      </c>
      <c r="S16" s="101">
        <f t="shared" ref="S16:AD16" si="4">Asset_Liability_Change_In_Inventory</f>
        <v>-3170.469480253847</v>
      </c>
      <c r="T16" s="101">
        <f t="shared" si="4"/>
        <v>-2923.9962509215184</v>
      </c>
      <c r="U16" s="101">
        <f t="shared" si="4"/>
        <v>-3642.3324028976931</v>
      </c>
      <c r="V16" s="101">
        <f t="shared" si="4"/>
        <v>-4583.8498395872302</v>
      </c>
      <c r="W16" s="101">
        <f t="shared" si="4"/>
        <v>-5826.722922158453</v>
      </c>
      <c r="X16" s="101">
        <f t="shared" si="4"/>
        <v>-7477.8614875613857</v>
      </c>
      <c r="Y16" s="101">
        <f t="shared" si="4"/>
        <v>-9683.6579909867141</v>
      </c>
      <c r="Z16" s="101">
        <f t="shared" si="4"/>
        <v>-12644.778093953639</v>
      </c>
      <c r="AA16" s="101">
        <f t="shared" si="4"/>
        <v>-16636.519046827438</v>
      </c>
      <c r="AB16" s="101">
        <f t="shared" si="4"/>
        <v>-22036.835272035911</v>
      </c>
      <c r="AC16" s="101">
        <f t="shared" si="4"/>
        <v>-29364.922600335485</v>
      </c>
      <c r="AD16" s="101">
        <f t="shared" si="4"/>
        <v>-39334.343530566985</v>
      </c>
      <c r="AE16" s="101"/>
      <c r="AF16" s="101"/>
      <c r="AG16" s="101"/>
      <c r="AH16" s="101"/>
      <c r="AI16" s="101"/>
      <c r="AJ16" s="101"/>
      <c r="AK16" s="101"/>
      <c r="AL16" s="101"/>
      <c r="AM16" s="101"/>
      <c r="AN16" s="101"/>
      <c r="AO16" s="101"/>
    </row>
    <row r="17" spans="4:41" s="97" customFormat="1" ht="12.6" x14ac:dyDescent="0.25">
      <c r="D17" s="106" t="s">
        <v>838</v>
      </c>
      <c r="E17" s="32"/>
      <c r="J17" s="98" t="s">
        <v>1205</v>
      </c>
      <c r="L17" s="99" t="s">
        <v>944</v>
      </c>
      <c r="N17" s="101"/>
      <c r="O17" s="101"/>
      <c r="P17" s="101"/>
      <c r="Q17" s="101"/>
      <c r="R17" s="101">
        <f>Act_CF_Contract_Assets</f>
        <v>-25851</v>
      </c>
      <c r="S17" s="101">
        <f t="shared" ref="S17:AD17" si="5">Asset_Liability_Change_In_Contracts</f>
        <v>-2219.3277417490972</v>
      </c>
      <c r="T17" s="101">
        <f t="shared" si="5"/>
        <v>-2587.3418099622977</v>
      </c>
      <c r="U17" s="101">
        <f t="shared" si="5"/>
        <v>-3222.9722965026485</v>
      </c>
      <c r="V17" s="101">
        <f t="shared" si="5"/>
        <v>-4056.0880804191329</v>
      </c>
      <c r="W17" s="101">
        <f t="shared" si="5"/>
        <v>-5155.8629142616192</v>
      </c>
      <c r="X17" s="101">
        <f t="shared" si="5"/>
        <v>-6616.8975660542928</v>
      </c>
      <c r="Y17" s="101">
        <f t="shared" si="5"/>
        <v>-8568.7295890202367</v>
      </c>
      <c r="Z17" s="101">
        <f t="shared" si="5"/>
        <v>-11188.920994639047</v>
      </c>
      <c r="AA17" s="101">
        <f t="shared" si="5"/>
        <v>-14721.072671869901</v>
      </c>
      <c r="AB17" s="101">
        <f t="shared" si="5"/>
        <v>-19499.623243573296</v>
      </c>
      <c r="AC17" s="101">
        <f t="shared" si="5"/>
        <v>-25983.990904984967</v>
      </c>
      <c r="AD17" s="101">
        <f t="shared" si="5"/>
        <v>-34805.582104280067</v>
      </c>
      <c r="AE17" s="101"/>
      <c r="AF17" s="101"/>
      <c r="AG17" s="101"/>
      <c r="AH17" s="101"/>
      <c r="AI17" s="101"/>
      <c r="AJ17" s="101"/>
      <c r="AK17" s="101"/>
      <c r="AL17" s="101"/>
      <c r="AM17" s="101"/>
      <c r="AN17" s="101"/>
      <c r="AO17" s="101"/>
    </row>
    <row r="18" spans="4:41" s="97" customFormat="1" x14ac:dyDescent="0.2">
      <c r="D18" s="106" t="s">
        <v>842</v>
      </c>
      <c r="F18" s="21"/>
      <c r="J18" s="98" t="s">
        <v>1205</v>
      </c>
      <c r="L18" s="99" t="s">
        <v>945</v>
      </c>
      <c r="N18" s="101"/>
      <c r="O18" s="101"/>
      <c r="P18" s="101"/>
      <c r="Q18" s="101"/>
      <c r="R18" s="101">
        <f>Act_CF_Prepaid_Expenses</f>
        <v>-13836</v>
      </c>
      <c r="S18" s="101">
        <f t="shared" ref="S18:AD18" si="6">Asset_Liability_Change_In_Prepayments</f>
        <v>98.820465714514285</v>
      </c>
      <c r="T18" s="101">
        <f t="shared" si="6"/>
        <v>-5288.5555636732715</v>
      </c>
      <c r="U18" s="101">
        <f t="shared" si="6"/>
        <v>-6587.7913790146995</v>
      </c>
      <c r="V18" s="101">
        <f t="shared" si="6"/>
        <v>-8290.6893483710446</v>
      </c>
      <c r="W18" s="101">
        <f t="shared" si="6"/>
        <v>-10538.641394718659</v>
      </c>
      <c r="X18" s="101">
        <f t="shared" si="6"/>
        <v>-13525.012544717669</v>
      </c>
      <c r="Y18" s="101">
        <f t="shared" si="6"/>
        <v>-17514.579004265805</v>
      </c>
      <c r="Z18" s="101">
        <f t="shared" si="6"/>
        <v>-22870.279508435458</v>
      </c>
      <c r="AA18" s="101">
        <f t="shared" si="6"/>
        <v>-30090.036995610804</v>
      </c>
      <c r="AB18" s="101">
        <f t="shared" si="6"/>
        <v>-39857.447747050843</v>
      </c>
      <c r="AC18" s="101">
        <f t="shared" si="6"/>
        <v>-53111.567686140537</v>
      </c>
      <c r="AD18" s="101">
        <f t="shared" si="6"/>
        <v>-71142.998646614666</v>
      </c>
      <c r="AE18" s="101"/>
      <c r="AF18" s="101"/>
      <c r="AG18" s="101"/>
      <c r="AH18" s="101"/>
      <c r="AI18" s="101"/>
      <c r="AJ18" s="101"/>
      <c r="AK18" s="101"/>
      <c r="AL18" s="101"/>
      <c r="AM18" s="101"/>
      <c r="AN18" s="101"/>
      <c r="AO18" s="101"/>
    </row>
    <row r="19" spans="4:41" s="97" customFormat="1" x14ac:dyDescent="0.2">
      <c r="D19" s="106" t="s">
        <v>450</v>
      </c>
      <c r="F19" s="21"/>
      <c r="J19" s="98" t="s">
        <v>1205</v>
      </c>
      <c r="L19" s="99" t="s">
        <v>499</v>
      </c>
      <c r="N19" s="101"/>
      <c r="O19" s="101"/>
      <c r="P19" s="101"/>
      <c r="Q19" s="101"/>
      <c r="R19" s="101">
        <f>Act_CF_Payables</f>
        <v>2165</v>
      </c>
      <c r="S19" s="101">
        <f t="shared" ref="S19:AD19" si="7">Asset_Liability_Change_In_Payables</f>
        <v>8143.759258446029</v>
      </c>
      <c r="T19" s="101">
        <f t="shared" si="7"/>
        <v>8846.3912154323916</v>
      </c>
      <c r="U19" s="101">
        <f t="shared" si="7"/>
        <v>11019.678073295792</v>
      </c>
      <c r="V19" s="101">
        <f t="shared" si="7"/>
        <v>13868.187738272871</v>
      </c>
      <c r="W19" s="101">
        <f t="shared" si="7"/>
        <v>17628.432477331735</v>
      </c>
      <c r="X19" s="101">
        <f t="shared" si="7"/>
        <v>22623.862172509631</v>
      </c>
      <c r="Y19" s="101">
        <f t="shared" si="7"/>
        <v>29297.379214394852</v>
      </c>
      <c r="Z19" s="101">
        <f t="shared" si="7"/>
        <v>38256.086619875045</v>
      </c>
      <c r="AA19" s="101">
        <f t="shared" si="7"/>
        <v>50332.881208327599</v>
      </c>
      <c r="AB19" s="101">
        <f t="shared" si="7"/>
        <v>66671.243475442374</v>
      </c>
      <c r="AC19" s="101">
        <f t="shared" si="7"/>
        <v>88841.972096096433</v>
      </c>
      <c r="AD19" s="101">
        <f t="shared" si="7"/>
        <v>119003.91150089318</v>
      </c>
      <c r="AE19" s="101"/>
      <c r="AF19" s="101"/>
      <c r="AG19" s="101"/>
      <c r="AH19" s="101"/>
      <c r="AI19" s="101"/>
      <c r="AJ19" s="101"/>
      <c r="AK19" s="101"/>
      <c r="AL19" s="101"/>
      <c r="AM19" s="101"/>
      <c r="AN19" s="101"/>
      <c r="AO19" s="101"/>
    </row>
    <row r="20" spans="4:41" s="97" customFormat="1" x14ac:dyDescent="0.2">
      <c r="D20" s="106" t="s">
        <v>511</v>
      </c>
      <c r="F20" s="21"/>
      <c r="J20" s="98" t="s">
        <v>1205</v>
      </c>
      <c r="L20" s="99" t="s">
        <v>946</v>
      </c>
      <c r="N20" s="101"/>
      <c r="O20" s="101"/>
      <c r="P20" s="101"/>
      <c r="Q20" s="101"/>
      <c r="R20" s="101">
        <f>Act_CF_Provisions_Current</f>
        <v>-9706</v>
      </c>
      <c r="S20" s="101">
        <v>0</v>
      </c>
      <c r="T20" s="101">
        <v>0</v>
      </c>
      <c r="U20" s="101">
        <v>0</v>
      </c>
      <c r="V20" s="101">
        <v>0</v>
      </c>
      <c r="W20" s="101">
        <v>0</v>
      </c>
      <c r="X20" s="101">
        <v>0</v>
      </c>
      <c r="Y20" s="101">
        <v>0</v>
      </c>
      <c r="Z20" s="101">
        <v>0</v>
      </c>
      <c r="AA20" s="101">
        <v>0</v>
      </c>
      <c r="AB20" s="101">
        <v>0</v>
      </c>
      <c r="AC20" s="101">
        <v>0</v>
      </c>
      <c r="AD20" s="101">
        <v>0</v>
      </c>
      <c r="AE20" s="101"/>
      <c r="AF20" s="101"/>
      <c r="AG20" s="101"/>
      <c r="AH20" s="101"/>
      <c r="AI20" s="101"/>
      <c r="AJ20" s="101"/>
      <c r="AK20" s="101"/>
      <c r="AL20" s="101"/>
      <c r="AM20" s="101"/>
      <c r="AN20" s="101"/>
      <c r="AO20" s="101"/>
    </row>
    <row r="21" spans="4:41" s="97" customFormat="1" x14ac:dyDescent="0.2">
      <c r="D21" s="106" t="s">
        <v>862</v>
      </c>
      <c r="F21" s="21"/>
      <c r="J21" s="98" t="s">
        <v>1205</v>
      </c>
      <c r="L21" s="99" t="s">
        <v>947</v>
      </c>
      <c r="N21" s="101"/>
      <c r="O21" s="101"/>
      <c r="P21" s="101"/>
      <c r="Q21" s="101"/>
      <c r="R21" s="101">
        <f>Act_CF_Contract_Liabilities_Current</f>
        <v>18163</v>
      </c>
      <c r="S21" s="101">
        <f t="shared" ref="S21:AD21" si="8">Asset_Liability_Change_In_Contract_Current+Asset_Liability_Change_In_Contract_NonCurrent</f>
        <v>81411.767197021429</v>
      </c>
      <c r="T21" s="101">
        <f t="shared" si="8"/>
        <v>-29019.981939485333</v>
      </c>
      <c r="U21" s="101">
        <f t="shared" si="8"/>
        <v>26153.2831933079</v>
      </c>
      <c r="V21" s="101">
        <f t="shared" si="8"/>
        <v>32913.72387510533</v>
      </c>
      <c r="W21" s="101">
        <f t="shared" si="8"/>
        <v>41838.00867568118</v>
      </c>
      <c r="X21" s="101">
        <f t="shared" si="8"/>
        <v>53693.789454508747</v>
      </c>
      <c r="Y21" s="101">
        <f t="shared" si="8"/>
        <v>69532.217758030878</v>
      </c>
      <c r="Z21" s="101">
        <f t="shared" si="8"/>
        <v>90794.146669483482</v>
      </c>
      <c r="AA21" s="101">
        <f t="shared" si="8"/>
        <v>119456.31146580435</v>
      </c>
      <c r="AB21" s="101">
        <f t="shared" si="8"/>
        <v>158232.56358901275</v>
      </c>
      <c r="AC21" s="101">
        <f t="shared" si="8"/>
        <v>210850.91962094381</v>
      </c>
      <c r="AD21" s="101">
        <f t="shared" si="8"/>
        <v>282435.02014241362</v>
      </c>
      <c r="AE21" s="101"/>
      <c r="AF21" s="101"/>
      <c r="AG21" s="101"/>
      <c r="AH21" s="101"/>
      <c r="AI21" s="101"/>
      <c r="AJ21" s="101"/>
      <c r="AK21" s="101"/>
      <c r="AL21" s="101"/>
      <c r="AM21" s="101"/>
      <c r="AN21" s="101"/>
      <c r="AO21" s="101"/>
    </row>
    <row r="22" spans="4:41" s="97" customFormat="1" x14ac:dyDescent="0.2">
      <c r="D22" s="106" t="s">
        <v>882</v>
      </c>
      <c r="F22" s="21"/>
      <c r="J22" s="98" t="s">
        <v>1205</v>
      </c>
      <c r="L22" s="99" t="s">
        <v>1051</v>
      </c>
      <c r="N22" s="101"/>
      <c r="O22" s="101"/>
      <c r="P22" s="101"/>
      <c r="Q22" s="101"/>
      <c r="R22" s="101">
        <f>Act_CF_Other_NonCurrent_Assets</f>
        <v>0</v>
      </c>
      <c r="S22" s="101">
        <f t="shared" ref="S22:AD22" si="9">Asset_Liability_Change_OCL</f>
        <v>31.895232956409018</v>
      </c>
      <c r="T22" s="101">
        <f t="shared" si="9"/>
        <v>3503.2690947862029</v>
      </c>
      <c r="U22" s="101">
        <f t="shared" si="9"/>
        <v>4363.914808710324</v>
      </c>
      <c r="V22" s="101">
        <f t="shared" si="9"/>
        <v>5491.9562475860512</v>
      </c>
      <c r="W22" s="101">
        <f t="shared" si="9"/>
        <v>6981.0548938449938</v>
      </c>
      <c r="X22" s="101">
        <f t="shared" si="9"/>
        <v>8959.3004902826651</v>
      </c>
      <c r="Y22" s="101">
        <f t="shared" si="9"/>
        <v>11602.087298713777</v>
      </c>
      <c r="Z22" s="101">
        <f t="shared" si="9"/>
        <v>15149.834851196043</v>
      </c>
      <c r="AA22" s="101">
        <f t="shared" si="9"/>
        <v>19932.379531336468</v>
      </c>
      <c r="AB22" s="101">
        <f t="shared" si="9"/>
        <v>26402.552305286823</v>
      </c>
      <c r="AC22" s="101">
        <f t="shared" si="9"/>
        <v>35182.406880351889</v>
      </c>
      <c r="AD22" s="101">
        <f t="shared" si="9"/>
        <v>47126.869608984853</v>
      </c>
      <c r="AE22" s="101"/>
      <c r="AF22" s="101"/>
      <c r="AG22" s="101"/>
      <c r="AH22" s="101"/>
      <c r="AI22" s="101"/>
      <c r="AJ22" s="101"/>
      <c r="AK22" s="101"/>
      <c r="AL22" s="101"/>
      <c r="AM22" s="101"/>
      <c r="AN22" s="101"/>
      <c r="AO22" s="101"/>
    </row>
    <row r="23" spans="4:41" s="97" customFormat="1" x14ac:dyDescent="0.2">
      <c r="D23" s="97" t="s">
        <v>931</v>
      </c>
      <c r="F23" s="21"/>
      <c r="J23" s="98" t="s">
        <v>1205</v>
      </c>
      <c r="L23" s="99" t="s">
        <v>948</v>
      </c>
      <c r="N23" s="101"/>
      <c r="O23" s="101"/>
      <c r="P23" s="101"/>
      <c r="Q23" s="101"/>
      <c r="R23" s="101">
        <f>Act_CF_Tax_Paid</f>
        <v>-9796</v>
      </c>
      <c r="S23" s="101" t="e">
        <f t="shared" ref="S23:AD23" si="10">IS_Tax</f>
        <v>#NAME?</v>
      </c>
      <c r="T23" s="101" t="e">
        <f t="shared" si="10"/>
        <v>#NAME?</v>
      </c>
      <c r="U23" s="101" t="e">
        <f t="shared" si="10"/>
        <v>#NAME?</v>
      </c>
      <c r="V23" s="101" t="e">
        <f t="shared" si="10"/>
        <v>#NAME?</v>
      </c>
      <c r="W23" s="101" t="e">
        <f t="shared" si="10"/>
        <v>#NAME?</v>
      </c>
      <c r="X23" s="101" t="e">
        <f t="shared" si="10"/>
        <v>#NAME?</v>
      </c>
      <c r="Y23" s="101" t="e">
        <f t="shared" si="10"/>
        <v>#NAME?</v>
      </c>
      <c r="Z23" s="101" t="e">
        <f t="shared" si="10"/>
        <v>#NAME?</v>
      </c>
      <c r="AA23" s="101" t="e">
        <f t="shared" si="10"/>
        <v>#NAME?</v>
      </c>
      <c r="AB23" s="101" t="e">
        <f t="shared" si="10"/>
        <v>#NAME?</v>
      </c>
      <c r="AC23" s="101" t="e">
        <f t="shared" si="10"/>
        <v>#NAME?</v>
      </c>
      <c r="AD23" s="101" t="e">
        <f t="shared" si="10"/>
        <v>#NAME?</v>
      </c>
      <c r="AE23" s="101"/>
      <c r="AF23" s="101"/>
      <c r="AG23" s="101"/>
      <c r="AH23" s="101"/>
      <c r="AI23" s="101"/>
      <c r="AJ23" s="101"/>
      <c r="AK23" s="101"/>
      <c r="AL23" s="101"/>
      <c r="AM23" s="101"/>
      <c r="AN23" s="101"/>
      <c r="AO23" s="101"/>
    </row>
    <row r="24" spans="4:41" s="97" customFormat="1" ht="12.6" x14ac:dyDescent="0.25">
      <c r="D24" s="316" t="s">
        <v>457</v>
      </c>
      <c r="E24" s="316"/>
      <c r="F24" s="317"/>
      <c r="G24" s="316"/>
      <c r="H24" s="316"/>
      <c r="I24" s="316"/>
      <c r="J24" s="328" t="s">
        <v>1205</v>
      </c>
      <c r="K24" s="316"/>
      <c r="L24" s="318" t="s">
        <v>500</v>
      </c>
      <c r="M24" s="316"/>
      <c r="N24" s="261"/>
      <c r="O24" s="261"/>
      <c r="P24" s="261"/>
      <c r="Q24" s="261"/>
      <c r="R24" s="261">
        <f>SUM(R15:R23)+R13</f>
        <v>46995</v>
      </c>
      <c r="S24" s="261" t="e">
        <f t="shared" ref="S24:AD24" si="11">SUM(S15:S23)+S13</f>
        <v>#NAME?</v>
      </c>
      <c r="T24" s="261" t="e">
        <f t="shared" si="11"/>
        <v>#NAME?</v>
      </c>
      <c r="U24" s="261" t="e">
        <f t="shared" si="11"/>
        <v>#NAME?</v>
      </c>
      <c r="V24" s="261" t="e">
        <f t="shared" si="11"/>
        <v>#NAME?</v>
      </c>
      <c r="W24" s="261" t="e">
        <f t="shared" si="11"/>
        <v>#NAME?</v>
      </c>
      <c r="X24" s="261" t="e">
        <f t="shared" si="11"/>
        <v>#NAME?</v>
      </c>
      <c r="Y24" s="261" t="e">
        <f t="shared" si="11"/>
        <v>#NAME?</v>
      </c>
      <c r="Z24" s="261" t="e">
        <f t="shared" si="11"/>
        <v>#NAME?</v>
      </c>
      <c r="AA24" s="261" t="e">
        <f t="shared" si="11"/>
        <v>#NAME?</v>
      </c>
      <c r="AB24" s="261" t="e">
        <f t="shared" si="11"/>
        <v>#NAME?</v>
      </c>
      <c r="AC24" s="261" t="e">
        <f t="shared" si="11"/>
        <v>#NAME?</v>
      </c>
      <c r="AD24" s="261" t="e">
        <f t="shared" si="11"/>
        <v>#NAME?</v>
      </c>
      <c r="AE24" s="101"/>
      <c r="AF24" s="101"/>
      <c r="AG24" s="101"/>
      <c r="AH24" s="101"/>
      <c r="AI24" s="101"/>
      <c r="AJ24" s="101"/>
      <c r="AK24" s="101"/>
      <c r="AL24" s="101"/>
      <c r="AM24" s="101"/>
      <c r="AN24" s="101"/>
      <c r="AO24" s="101"/>
    </row>
    <row r="25" spans="4:41" s="97" customFormat="1" x14ac:dyDescent="0.2">
      <c r="D25" s="97" t="s">
        <v>942</v>
      </c>
      <c r="F25" s="21"/>
      <c r="J25" s="98" t="s">
        <v>1205</v>
      </c>
      <c r="L25" s="99" t="s">
        <v>501</v>
      </c>
      <c r="N25" s="101"/>
      <c r="O25" s="101"/>
      <c r="P25" s="101"/>
      <c r="Q25" s="101"/>
      <c r="R25" s="101">
        <f>Act_CF_Capital_Expenditure</f>
        <v>-99072</v>
      </c>
      <c r="S25" s="101">
        <f t="shared" ref="S25:AD25" si="12">-Asset_Liability_PPE_Capex</f>
        <v>-50000</v>
      </c>
      <c r="T25" s="101">
        <f t="shared" si="12"/>
        <v>-50000</v>
      </c>
      <c r="U25" s="101">
        <f t="shared" si="12"/>
        <v>-50000</v>
      </c>
      <c r="V25" s="101">
        <f t="shared" si="12"/>
        <v>-50000</v>
      </c>
      <c r="W25" s="101">
        <f t="shared" si="12"/>
        <v>-50000</v>
      </c>
      <c r="X25" s="101">
        <f t="shared" si="12"/>
        <v>-50000</v>
      </c>
      <c r="Y25" s="101">
        <f t="shared" si="12"/>
        <v>-50000</v>
      </c>
      <c r="Z25" s="101">
        <f t="shared" si="12"/>
        <v>-50000</v>
      </c>
      <c r="AA25" s="101">
        <f t="shared" si="12"/>
        <v>-50000</v>
      </c>
      <c r="AB25" s="101">
        <f t="shared" si="12"/>
        <v>-50000</v>
      </c>
      <c r="AC25" s="101">
        <f t="shared" si="12"/>
        <v>-50000</v>
      </c>
      <c r="AD25" s="101">
        <f t="shared" si="12"/>
        <v>-50000</v>
      </c>
      <c r="AE25" s="101"/>
      <c r="AF25" s="101"/>
      <c r="AG25" s="101"/>
      <c r="AH25" s="101"/>
      <c r="AI25" s="101"/>
      <c r="AJ25" s="101"/>
      <c r="AK25" s="101"/>
      <c r="AL25" s="101"/>
      <c r="AM25" s="101"/>
      <c r="AN25" s="101"/>
      <c r="AO25" s="101"/>
    </row>
    <row r="26" spans="4:41" s="97" customFormat="1" x14ac:dyDescent="0.2">
      <c r="D26" s="97" t="s">
        <v>932</v>
      </c>
      <c r="F26" s="21"/>
      <c r="J26" s="98" t="s">
        <v>1205</v>
      </c>
      <c r="L26" s="99" t="s">
        <v>502</v>
      </c>
      <c r="N26" s="101"/>
      <c r="O26" s="101"/>
      <c r="P26" s="101"/>
      <c r="Q26" s="101"/>
      <c r="R26" s="101">
        <f>Act_CF_Capital_Expenditure_Intangibles</f>
        <v>0</v>
      </c>
      <c r="S26" s="101">
        <f t="shared" ref="S26:AD26" si="13">-Asset_Liability_IA_Capex</f>
        <v>-10000</v>
      </c>
      <c r="T26" s="101">
        <f t="shared" si="13"/>
        <v>-5000</v>
      </c>
      <c r="U26" s="101">
        <f t="shared" si="13"/>
        <v>-5000</v>
      </c>
      <c r="V26" s="101">
        <f t="shared" si="13"/>
        <v>-5000</v>
      </c>
      <c r="W26" s="101">
        <f t="shared" si="13"/>
        <v>-5000</v>
      </c>
      <c r="X26" s="101">
        <f t="shared" si="13"/>
        <v>-5000</v>
      </c>
      <c r="Y26" s="101">
        <f t="shared" si="13"/>
        <v>-5000</v>
      </c>
      <c r="Z26" s="101">
        <f t="shared" si="13"/>
        <v>-5000</v>
      </c>
      <c r="AA26" s="101">
        <f t="shared" si="13"/>
        <v>-5000</v>
      </c>
      <c r="AB26" s="101">
        <f t="shared" si="13"/>
        <v>-5000</v>
      </c>
      <c r="AC26" s="101">
        <f t="shared" si="13"/>
        <v>-5000</v>
      </c>
      <c r="AD26" s="101">
        <f t="shared" si="13"/>
        <v>-5000</v>
      </c>
      <c r="AE26" s="101"/>
      <c r="AF26" s="101"/>
      <c r="AG26" s="101"/>
      <c r="AH26" s="101"/>
      <c r="AI26" s="101"/>
      <c r="AJ26" s="101"/>
      <c r="AK26" s="101"/>
      <c r="AL26" s="101"/>
      <c r="AM26" s="101"/>
      <c r="AN26" s="101"/>
      <c r="AO26" s="101"/>
    </row>
    <row r="27" spans="4:41" s="97" customFormat="1" x14ac:dyDescent="0.2">
      <c r="D27" s="97" t="s">
        <v>933</v>
      </c>
      <c r="F27" s="21"/>
      <c r="J27" s="98" t="s">
        <v>1205</v>
      </c>
      <c r="L27" s="99" t="s">
        <v>503</v>
      </c>
      <c r="N27" s="101"/>
      <c r="O27" s="101"/>
      <c r="P27" s="101"/>
      <c r="Q27" s="101"/>
      <c r="R27" s="101">
        <f>Act_CF_Investments</f>
        <v>-56017</v>
      </c>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row>
    <row r="28" spans="4:41" s="97" customFormat="1" ht="12.6" x14ac:dyDescent="0.25">
      <c r="D28" s="316" t="s">
        <v>458</v>
      </c>
      <c r="E28" s="316"/>
      <c r="F28" s="317"/>
      <c r="G28" s="316"/>
      <c r="H28" s="316"/>
      <c r="I28" s="316"/>
      <c r="J28" s="328" t="s">
        <v>1205</v>
      </c>
      <c r="K28" s="316"/>
      <c r="L28" s="318" t="s">
        <v>504</v>
      </c>
      <c r="M28" s="316"/>
      <c r="N28" s="261"/>
      <c r="O28" s="261"/>
      <c r="P28" s="261"/>
      <c r="Q28" s="261"/>
      <c r="R28" s="261">
        <f>SUM(R24:R27)</f>
        <v>-108094</v>
      </c>
      <c r="S28" s="261" t="e">
        <f t="shared" ref="S28:AD28" si="14">SUM(S24:S27)</f>
        <v>#NAME?</v>
      </c>
      <c r="T28" s="261" t="e">
        <f t="shared" si="14"/>
        <v>#NAME?</v>
      </c>
      <c r="U28" s="261" t="e">
        <f t="shared" si="14"/>
        <v>#NAME?</v>
      </c>
      <c r="V28" s="261" t="e">
        <f t="shared" si="14"/>
        <v>#NAME?</v>
      </c>
      <c r="W28" s="261" t="e">
        <f t="shared" si="14"/>
        <v>#NAME?</v>
      </c>
      <c r="X28" s="261" t="e">
        <f t="shared" si="14"/>
        <v>#NAME?</v>
      </c>
      <c r="Y28" s="261" t="e">
        <f t="shared" si="14"/>
        <v>#NAME?</v>
      </c>
      <c r="Z28" s="261" t="e">
        <f t="shared" si="14"/>
        <v>#NAME?</v>
      </c>
      <c r="AA28" s="261" t="e">
        <f t="shared" si="14"/>
        <v>#NAME?</v>
      </c>
      <c r="AB28" s="261" t="e">
        <f t="shared" si="14"/>
        <v>#NAME?</v>
      </c>
      <c r="AC28" s="261" t="e">
        <f t="shared" si="14"/>
        <v>#NAME?</v>
      </c>
      <c r="AD28" s="261" t="e">
        <f t="shared" si="14"/>
        <v>#NAME?</v>
      </c>
      <c r="AE28" s="101"/>
      <c r="AF28" s="101"/>
      <c r="AG28" s="101"/>
      <c r="AH28" s="101"/>
      <c r="AI28" s="101"/>
      <c r="AJ28" s="101"/>
      <c r="AK28" s="101"/>
      <c r="AL28" s="101"/>
      <c r="AM28" s="101"/>
      <c r="AN28" s="101"/>
      <c r="AO28" s="101"/>
    </row>
    <row r="29" spans="4:41" s="97" customFormat="1" ht="12.6" x14ac:dyDescent="0.25">
      <c r="D29" s="97" t="s">
        <v>934</v>
      </c>
      <c r="E29" s="32"/>
      <c r="F29" s="16"/>
      <c r="G29" s="32"/>
      <c r="H29" s="32"/>
      <c r="I29" s="32"/>
      <c r="J29" s="98" t="s">
        <v>1205</v>
      </c>
      <c r="L29" s="99" t="s">
        <v>949</v>
      </c>
      <c r="M29" s="32"/>
      <c r="N29" s="103"/>
      <c r="O29" s="103"/>
      <c r="P29" s="103"/>
      <c r="Q29" s="103"/>
      <c r="R29" s="101">
        <f>Act_CF_Capital</f>
        <v>251564</v>
      </c>
      <c r="S29" s="103">
        <f t="shared" ref="S29:AD29" si="15">Equity_Add_Share_Capital_Repayment</f>
        <v>0</v>
      </c>
      <c r="T29" s="103">
        <f t="shared" si="15"/>
        <v>0</v>
      </c>
      <c r="U29" s="103">
        <f t="shared" si="15"/>
        <v>0</v>
      </c>
      <c r="V29" s="103">
        <f t="shared" si="15"/>
        <v>0</v>
      </c>
      <c r="W29" s="103">
        <f t="shared" si="15"/>
        <v>0</v>
      </c>
      <c r="X29" s="103">
        <f t="shared" si="15"/>
        <v>0</v>
      </c>
      <c r="Y29" s="103">
        <f t="shared" si="15"/>
        <v>0</v>
      </c>
      <c r="Z29" s="103">
        <f t="shared" si="15"/>
        <v>0</v>
      </c>
      <c r="AA29" s="103">
        <f t="shared" si="15"/>
        <v>0</v>
      </c>
      <c r="AB29" s="103">
        <f t="shared" si="15"/>
        <v>0</v>
      </c>
      <c r="AC29" s="103">
        <f t="shared" si="15"/>
        <v>0</v>
      </c>
      <c r="AD29" s="103">
        <f t="shared" si="15"/>
        <v>0</v>
      </c>
      <c r="AE29" s="101"/>
      <c r="AF29" s="101"/>
      <c r="AG29" s="101"/>
      <c r="AH29" s="101"/>
      <c r="AI29" s="101"/>
      <c r="AJ29" s="101"/>
      <c r="AK29" s="101"/>
      <c r="AL29" s="101"/>
      <c r="AM29" s="101"/>
      <c r="AN29" s="101"/>
      <c r="AO29" s="101"/>
    </row>
    <row r="30" spans="4:41" s="97" customFormat="1" x14ac:dyDescent="0.2">
      <c r="D30" s="97" t="s">
        <v>936</v>
      </c>
      <c r="F30" s="21"/>
      <c r="J30" s="98" t="s">
        <v>1205</v>
      </c>
      <c r="L30" s="99" t="s">
        <v>950</v>
      </c>
      <c r="N30" s="101"/>
      <c r="O30" s="101"/>
      <c r="P30" s="101"/>
      <c r="Q30" s="101"/>
      <c r="R30" s="101">
        <f>Act_CF_Debt_Proceeds</f>
        <v>21539</v>
      </c>
      <c r="S30" s="101">
        <f t="shared" ref="S30:AD30" si="16">Finance_Drawdown</f>
        <v>0</v>
      </c>
      <c r="T30" s="101">
        <f t="shared" si="16"/>
        <v>0</v>
      </c>
      <c r="U30" s="101">
        <f t="shared" si="16"/>
        <v>0</v>
      </c>
      <c r="V30" s="101">
        <f t="shared" si="16"/>
        <v>0</v>
      </c>
      <c r="W30" s="101">
        <f t="shared" si="16"/>
        <v>0</v>
      </c>
      <c r="X30" s="101">
        <f t="shared" si="16"/>
        <v>0</v>
      </c>
      <c r="Y30" s="101">
        <f t="shared" si="16"/>
        <v>0</v>
      </c>
      <c r="Z30" s="101">
        <f t="shared" si="16"/>
        <v>0</v>
      </c>
      <c r="AA30" s="101">
        <f t="shared" si="16"/>
        <v>0</v>
      </c>
      <c r="AB30" s="101">
        <f t="shared" si="16"/>
        <v>0</v>
      </c>
      <c r="AC30" s="101">
        <f t="shared" si="16"/>
        <v>0</v>
      </c>
      <c r="AD30" s="101">
        <f t="shared" si="16"/>
        <v>0</v>
      </c>
      <c r="AE30" s="101"/>
      <c r="AF30" s="101"/>
      <c r="AG30" s="101"/>
      <c r="AH30" s="101"/>
      <c r="AI30" s="101"/>
      <c r="AJ30" s="101"/>
      <c r="AK30" s="101"/>
      <c r="AL30" s="101"/>
      <c r="AM30" s="101"/>
      <c r="AN30" s="101"/>
      <c r="AO30" s="101"/>
    </row>
    <row r="31" spans="4:41" s="97" customFormat="1" x14ac:dyDescent="0.2">
      <c r="D31" s="97" t="s">
        <v>938</v>
      </c>
      <c r="F31" s="21"/>
      <c r="J31" s="98" t="s">
        <v>1205</v>
      </c>
      <c r="L31" s="99" t="s">
        <v>505</v>
      </c>
      <c r="N31" s="101"/>
      <c r="O31" s="101"/>
      <c r="P31" s="101"/>
      <c r="Q31" s="101"/>
      <c r="R31" s="101">
        <f>Act_CF_Finance_Lease</f>
        <v>-20174</v>
      </c>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row>
    <row r="32" spans="4:41" s="97" customFormat="1" x14ac:dyDescent="0.2">
      <c r="D32" s="97" t="s">
        <v>939</v>
      </c>
      <c r="F32" s="21"/>
      <c r="J32" s="98" t="s">
        <v>1205</v>
      </c>
      <c r="L32" s="99" t="s">
        <v>951</v>
      </c>
      <c r="N32" s="101"/>
      <c r="O32" s="101"/>
      <c r="P32" s="101"/>
      <c r="Q32" s="101"/>
      <c r="R32" s="101">
        <f>Act_CF_Debt_Repayment</f>
        <v>-6520</v>
      </c>
      <c r="S32" s="101">
        <f t="shared" ref="S32:AD32" si="17">Finance_Repayment</f>
        <v>-17730</v>
      </c>
      <c r="T32" s="101">
        <f t="shared" si="17"/>
        <v>-32249.125</v>
      </c>
      <c r="U32" s="101">
        <f t="shared" si="17"/>
        <v>-32249.125</v>
      </c>
      <c r="V32" s="101">
        <f t="shared" si="17"/>
        <v>-50999.125</v>
      </c>
      <c r="W32" s="101">
        <f t="shared" si="17"/>
        <v>-50999.125</v>
      </c>
      <c r="X32" s="101">
        <f t="shared" si="17"/>
        <v>-49921.125</v>
      </c>
      <c r="Y32" s="101">
        <f t="shared" si="17"/>
        <v>-49921.125</v>
      </c>
      <c r="Z32" s="101">
        <f t="shared" si="17"/>
        <v>-31171.125</v>
      </c>
      <c r="AA32" s="101">
        <f t="shared" si="17"/>
        <v>-31171.125</v>
      </c>
      <c r="AB32" s="101">
        <f t="shared" si="17"/>
        <v>0</v>
      </c>
      <c r="AC32" s="101">
        <f t="shared" si="17"/>
        <v>0</v>
      </c>
      <c r="AD32" s="101">
        <f t="shared" si="17"/>
        <v>0</v>
      </c>
      <c r="AE32" s="101"/>
      <c r="AF32" s="101"/>
      <c r="AG32" s="101"/>
      <c r="AH32" s="101"/>
      <c r="AI32" s="101"/>
      <c r="AJ32" s="101"/>
      <c r="AK32" s="101"/>
      <c r="AL32" s="101"/>
      <c r="AM32" s="101"/>
      <c r="AN32" s="101"/>
      <c r="AO32" s="101"/>
    </row>
    <row r="33" spans="1:46" s="97" customFormat="1" x14ac:dyDescent="0.2">
      <c r="D33" s="97" t="s">
        <v>928</v>
      </c>
      <c r="F33" s="21"/>
      <c r="J33" s="98" t="s">
        <v>1205</v>
      </c>
      <c r="L33" s="99" t="s">
        <v>952</v>
      </c>
      <c r="N33" s="101"/>
      <c r="O33" s="101"/>
      <c r="P33" s="101"/>
      <c r="Q33" s="101"/>
      <c r="R33" s="101">
        <f>Act_CF_Interest_Paid</f>
        <v>-2274</v>
      </c>
      <c r="S33" s="101" t="e">
        <f t="shared" ref="S33:AD33" si="18">Finance_Charges+Finance_Arrangement_Fee+Finance_Commitment_Fee</f>
        <v>#NAME?</v>
      </c>
      <c r="T33" s="101" t="e">
        <f t="shared" si="18"/>
        <v>#NAME?</v>
      </c>
      <c r="U33" s="101" t="e">
        <f t="shared" si="18"/>
        <v>#NAME?</v>
      </c>
      <c r="V33" s="101" t="e">
        <f t="shared" si="18"/>
        <v>#NAME?</v>
      </c>
      <c r="W33" s="101" t="e">
        <f t="shared" si="18"/>
        <v>#NAME?</v>
      </c>
      <c r="X33" s="101" t="e">
        <f t="shared" si="18"/>
        <v>#NAME?</v>
      </c>
      <c r="Y33" s="101" t="e">
        <f t="shared" si="18"/>
        <v>#NAME?</v>
      </c>
      <c r="Z33" s="101" t="e">
        <f t="shared" si="18"/>
        <v>#NAME?</v>
      </c>
      <c r="AA33" s="101" t="e">
        <f t="shared" si="18"/>
        <v>#NAME?</v>
      </c>
      <c r="AB33" s="101" t="e">
        <f t="shared" si="18"/>
        <v>#NAME?</v>
      </c>
      <c r="AC33" s="101" t="e">
        <f t="shared" si="18"/>
        <v>#NAME?</v>
      </c>
      <c r="AD33" s="101" t="e">
        <f t="shared" si="18"/>
        <v>#NAME?</v>
      </c>
      <c r="AE33" s="101"/>
      <c r="AF33" s="101"/>
      <c r="AG33" s="101"/>
      <c r="AH33" s="101"/>
      <c r="AI33" s="101"/>
      <c r="AJ33" s="101"/>
      <c r="AK33" s="101"/>
      <c r="AL33" s="101"/>
      <c r="AM33" s="101"/>
      <c r="AN33" s="101"/>
      <c r="AO33" s="101"/>
    </row>
    <row r="34" spans="1:46" s="97" customFormat="1" ht="12.6" x14ac:dyDescent="0.25">
      <c r="D34" s="316" t="s">
        <v>459</v>
      </c>
      <c r="E34" s="316"/>
      <c r="F34" s="317"/>
      <c r="G34" s="316"/>
      <c r="H34" s="316"/>
      <c r="I34" s="316"/>
      <c r="J34" s="328" t="s">
        <v>1205</v>
      </c>
      <c r="K34" s="316"/>
      <c r="L34" s="318" t="s">
        <v>506</v>
      </c>
      <c r="M34" s="316"/>
      <c r="N34" s="261"/>
      <c r="O34" s="261"/>
      <c r="P34" s="261"/>
      <c r="Q34" s="261"/>
      <c r="R34" s="261">
        <f>SUM(R28:R33)</f>
        <v>136041</v>
      </c>
      <c r="S34" s="261" t="e">
        <f t="shared" ref="S34:AD34" si="19">SUM(S28:S33)</f>
        <v>#NAME?</v>
      </c>
      <c r="T34" s="261" t="e">
        <f t="shared" si="19"/>
        <v>#NAME?</v>
      </c>
      <c r="U34" s="261" t="e">
        <f t="shared" si="19"/>
        <v>#NAME?</v>
      </c>
      <c r="V34" s="261" t="e">
        <f t="shared" si="19"/>
        <v>#NAME?</v>
      </c>
      <c r="W34" s="261" t="e">
        <f t="shared" si="19"/>
        <v>#NAME?</v>
      </c>
      <c r="X34" s="261" t="e">
        <f t="shared" si="19"/>
        <v>#NAME?</v>
      </c>
      <c r="Y34" s="261" t="e">
        <f t="shared" si="19"/>
        <v>#NAME?</v>
      </c>
      <c r="Z34" s="261" t="e">
        <f t="shared" si="19"/>
        <v>#NAME?</v>
      </c>
      <c r="AA34" s="261" t="e">
        <f t="shared" si="19"/>
        <v>#NAME?</v>
      </c>
      <c r="AB34" s="261" t="e">
        <f t="shared" si="19"/>
        <v>#NAME?</v>
      </c>
      <c r="AC34" s="261" t="e">
        <f t="shared" si="19"/>
        <v>#NAME?</v>
      </c>
      <c r="AD34" s="261" t="e">
        <f t="shared" si="19"/>
        <v>#NAME?</v>
      </c>
      <c r="AE34" s="103"/>
      <c r="AF34" s="103"/>
      <c r="AG34" s="101"/>
      <c r="AH34" s="101"/>
      <c r="AI34" s="101"/>
      <c r="AJ34" s="101"/>
      <c r="AK34" s="101"/>
      <c r="AL34" s="101"/>
      <c r="AM34" s="101"/>
      <c r="AN34" s="101"/>
      <c r="AO34" s="101"/>
    </row>
    <row r="35" spans="1:46" s="97" customFormat="1" x14ac:dyDescent="0.2">
      <c r="D35" s="97" t="s">
        <v>460</v>
      </c>
      <c r="F35" s="21"/>
      <c r="J35" s="98" t="s">
        <v>1205</v>
      </c>
      <c r="L35" s="99" t="s">
        <v>507</v>
      </c>
      <c r="N35" s="101"/>
      <c r="O35" s="101"/>
      <c r="P35" s="101"/>
      <c r="Q35" s="101"/>
      <c r="R35" s="101">
        <f>Act_CF_Dividends</f>
        <v>0</v>
      </c>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6" s="97" customFormat="1" ht="12.6" x14ac:dyDescent="0.25">
      <c r="D36" s="316" t="s">
        <v>461</v>
      </c>
      <c r="E36" s="316"/>
      <c r="F36" s="317"/>
      <c r="G36" s="316"/>
      <c r="H36" s="316"/>
      <c r="I36" s="316"/>
      <c r="J36" s="328" t="s">
        <v>1205</v>
      </c>
      <c r="K36" s="316"/>
      <c r="L36" s="318" t="s">
        <v>508</v>
      </c>
      <c r="M36" s="316"/>
      <c r="N36" s="261"/>
      <c r="O36" s="261"/>
      <c r="P36" s="261"/>
      <c r="Q36" s="261"/>
      <c r="R36" s="261">
        <f>SUM(R34:R35)</f>
        <v>136041</v>
      </c>
      <c r="S36" s="261" t="e">
        <f t="shared" ref="S36:AD36" si="20">SUM(S34:S35)</f>
        <v>#NAME?</v>
      </c>
      <c r="T36" s="261" t="e">
        <f t="shared" si="20"/>
        <v>#NAME?</v>
      </c>
      <c r="U36" s="261" t="e">
        <f t="shared" si="20"/>
        <v>#NAME?</v>
      </c>
      <c r="V36" s="261" t="e">
        <f t="shared" si="20"/>
        <v>#NAME?</v>
      </c>
      <c r="W36" s="261" t="e">
        <f t="shared" si="20"/>
        <v>#NAME?</v>
      </c>
      <c r="X36" s="261" t="e">
        <f t="shared" si="20"/>
        <v>#NAME?</v>
      </c>
      <c r="Y36" s="261" t="e">
        <f t="shared" si="20"/>
        <v>#NAME?</v>
      </c>
      <c r="Z36" s="261" t="e">
        <f t="shared" si="20"/>
        <v>#NAME?</v>
      </c>
      <c r="AA36" s="261" t="e">
        <f t="shared" si="20"/>
        <v>#NAME?</v>
      </c>
      <c r="AB36" s="261" t="e">
        <f t="shared" si="20"/>
        <v>#NAME?</v>
      </c>
      <c r="AC36" s="261" t="e">
        <f t="shared" si="20"/>
        <v>#NAME?</v>
      </c>
      <c r="AD36" s="261" t="e">
        <f t="shared" si="20"/>
        <v>#NAME?</v>
      </c>
      <c r="AE36" s="101"/>
      <c r="AF36" s="101"/>
      <c r="AG36" s="101"/>
      <c r="AH36" s="101"/>
      <c r="AI36" s="101"/>
      <c r="AJ36" s="101"/>
      <c r="AK36" s="101"/>
      <c r="AL36" s="101"/>
      <c r="AM36" s="101"/>
      <c r="AN36" s="101"/>
      <c r="AO36" s="101"/>
    </row>
    <row r="37" spans="1:46" s="97" customFormat="1" ht="12.6" x14ac:dyDescent="0.25">
      <c r="D37" s="106" t="s">
        <v>941</v>
      </c>
      <c r="E37" s="32"/>
      <c r="F37" s="16"/>
      <c r="G37" s="32"/>
      <c r="H37" s="32"/>
      <c r="I37" s="32"/>
      <c r="J37" s="37" t="s">
        <v>1205</v>
      </c>
      <c r="K37" s="32"/>
      <c r="L37" s="38"/>
      <c r="M37" s="32"/>
      <c r="N37" s="103"/>
      <c r="O37" s="103"/>
      <c r="P37" s="103"/>
      <c r="Q37" s="103"/>
      <c r="R37" s="659">
        <v>9505</v>
      </c>
      <c r="S37" s="103">
        <v>0</v>
      </c>
      <c r="T37" s="103">
        <v>0</v>
      </c>
      <c r="U37" s="103">
        <v>0</v>
      </c>
      <c r="V37" s="103">
        <v>0</v>
      </c>
      <c r="W37" s="103">
        <v>0</v>
      </c>
      <c r="X37" s="103">
        <v>0</v>
      </c>
      <c r="Y37" s="103">
        <v>0</v>
      </c>
      <c r="Z37" s="103">
        <v>0</v>
      </c>
      <c r="AA37" s="103">
        <v>0</v>
      </c>
      <c r="AB37" s="103">
        <v>0</v>
      </c>
      <c r="AC37" s="103">
        <v>0</v>
      </c>
      <c r="AD37" s="103">
        <v>0</v>
      </c>
      <c r="AE37" s="101"/>
      <c r="AF37" s="101"/>
      <c r="AG37" s="101"/>
      <c r="AH37" s="101"/>
      <c r="AI37" s="101"/>
      <c r="AJ37" s="101"/>
      <c r="AK37" s="101"/>
      <c r="AL37" s="101"/>
      <c r="AM37" s="101"/>
      <c r="AN37" s="101"/>
      <c r="AO37" s="101"/>
    </row>
    <row r="38" spans="1:46" s="97" customFormat="1" x14ac:dyDescent="0.2">
      <c r="D38" s="97" t="s">
        <v>462</v>
      </c>
      <c r="F38" s="21"/>
      <c r="J38" s="98" t="s">
        <v>1205</v>
      </c>
      <c r="L38" s="99" t="s">
        <v>509</v>
      </c>
      <c r="N38" s="101"/>
      <c r="O38" s="101"/>
      <c r="P38" s="101"/>
      <c r="Q38" s="101"/>
      <c r="R38" s="101">
        <f>Q39</f>
        <v>277034</v>
      </c>
      <c r="S38" s="101">
        <f t="shared" ref="S38:AD38" si="21">R39</f>
        <v>422580</v>
      </c>
      <c r="T38" s="101" t="e">
        <f t="shared" si="21"/>
        <v>#NAME?</v>
      </c>
      <c r="U38" s="101" t="e">
        <f t="shared" si="21"/>
        <v>#NAME?</v>
      </c>
      <c r="V38" s="101" t="e">
        <f t="shared" si="21"/>
        <v>#NAME?</v>
      </c>
      <c r="W38" s="101" t="e">
        <f t="shared" si="21"/>
        <v>#NAME?</v>
      </c>
      <c r="X38" s="101" t="e">
        <f t="shared" si="21"/>
        <v>#NAME?</v>
      </c>
      <c r="Y38" s="101" t="e">
        <f t="shared" si="21"/>
        <v>#NAME?</v>
      </c>
      <c r="Z38" s="101" t="e">
        <f t="shared" si="21"/>
        <v>#NAME?</v>
      </c>
      <c r="AA38" s="101" t="e">
        <f t="shared" si="21"/>
        <v>#NAME?</v>
      </c>
      <c r="AB38" s="101" t="e">
        <f t="shared" si="21"/>
        <v>#NAME?</v>
      </c>
      <c r="AC38" s="101" t="e">
        <f t="shared" si="21"/>
        <v>#NAME?</v>
      </c>
      <c r="AD38" s="101" t="e">
        <f t="shared" si="21"/>
        <v>#NAME?</v>
      </c>
      <c r="AE38" s="101"/>
      <c r="AF38" s="101"/>
      <c r="AG38" s="101"/>
      <c r="AH38" s="101"/>
      <c r="AI38" s="101"/>
      <c r="AJ38" s="101"/>
      <c r="AK38" s="101"/>
      <c r="AL38" s="101"/>
      <c r="AM38" s="101"/>
      <c r="AN38" s="101"/>
      <c r="AO38" s="101"/>
    </row>
    <row r="39" spans="1:46" s="97" customFormat="1" ht="12.6" x14ac:dyDescent="0.25">
      <c r="D39" s="248" t="s">
        <v>463</v>
      </c>
      <c r="E39" s="248"/>
      <c r="F39" s="330"/>
      <c r="G39" s="248"/>
      <c r="H39" s="248"/>
      <c r="I39" s="248"/>
      <c r="J39" s="329" t="s">
        <v>1205</v>
      </c>
      <c r="K39" s="248"/>
      <c r="L39" s="331" t="s">
        <v>510</v>
      </c>
      <c r="M39" s="248"/>
      <c r="N39" s="250"/>
      <c r="O39" s="250"/>
      <c r="P39" s="250"/>
      <c r="Q39" s="250">
        <v>277034</v>
      </c>
      <c r="R39" s="250">
        <f>SUM(R36:R38)</f>
        <v>422580</v>
      </c>
      <c r="S39" s="250" t="e">
        <f t="shared" ref="S39:AD39" si="22">SUM(S36:S38)</f>
        <v>#NAME?</v>
      </c>
      <c r="T39" s="250" t="e">
        <f t="shared" si="22"/>
        <v>#NAME?</v>
      </c>
      <c r="U39" s="250" t="e">
        <f t="shared" si="22"/>
        <v>#NAME?</v>
      </c>
      <c r="V39" s="250" t="e">
        <f t="shared" si="22"/>
        <v>#NAME?</v>
      </c>
      <c r="W39" s="250" t="e">
        <f t="shared" si="22"/>
        <v>#NAME?</v>
      </c>
      <c r="X39" s="250" t="e">
        <f t="shared" si="22"/>
        <v>#NAME?</v>
      </c>
      <c r="Y39" s="250" t="e">
        <f t="shared" si="22"/>
        <v>#NAME?</v>
      </c>
      <c r="Z39" s="250" t="e">
        <f t="shared" si="22"/>
        <v>#NAME?</v>
      </c>
      <c r="AA39" s="250" t="e">
        <f t="shared" si="22"/>
        <v>#NAME?</v>
      </c>
      <c r="AB39" s="250" t="e">
        <f t="shared" si="22"/>
        <v>#NAME?</v>
      </c>
      <c r="AC39" s="250" t="e">
        <f t="shared" si="22"/>
        <v>#NAME?</v>
      </c>
      <c r="AD39" s="250" t="e">
        <f t="shared" si="22"/>
        <v>#NAME?</v>
      </c>
      <c r="AE39" s="101"/>
      <c r="AF39" s="101"/>
      <c r="AG39" s="101"/>
      <c r="AH39" s="101"/>
      <c r="AI39" s="101"/>
      <c r="AJ39" s="101"/>
      <c r="AK39" s="101"/>
      <c r="AL39" s="101"/>
      <c r="AM39" s="101"/>
      <c r="AN39" s="101"/>
      <c r="AO39" s="101"/>
    </row>
    <row r="40" spans="1:46" s="97" customFormat="1" x14ac:dyDescent="0.2">
      <c r="F40" s="21"/>
      <c r="J40" s="98"/>
      <c r="L40" s="99"/>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1:46" ht="12.6" thickBot="1" x14ac:dyDescent="0.25">
      <c r="A41" s="97"/>
      <c r="B41" s="97"/>
      <c r="C41" s="97"/>
      <c r="D41" s="97"/>
      <c r="E41" s="97"/>
      <c r="F41" s="97"/>
      <c r="N41" s="18"/>
    </row>
    <row r="42" spans="1:46" s="97" customFormat="1" ht="13.2" thickTop="1" x14ac:dyDescent="0.25">
      <c r="A42" s="1"/>
      <c r="B42" s="39" t="s">
        <v>15</v>
      </c>
      <c r="C42" s="40"/>
      <c r="D42" s="40"/>
      <c r="E42" s="40"/>
      <c r="F42" s="41"/>
      <c r="G42" s="40"/>
      <c r="H42" s="40"/>
      <c r="I42" s="42"/>
      <c r="J42" s="42"/>
      <c r="K42" s="40"/>
      <c r="L42" s="43"/>
      <c r="M42" s="40"/>
      <c r="N42" s="42"/>
      <c r="O42" s="42"/>
      <c r="P42" s="42"/>
      <c r="Q42" s="42"/>
      <c r="R42" s="42"/>
      <c r="S42" s="42"/>
      <c r="T42" s="42"/>
      <c r="U42" s="42"/>
      <c r="V42" s="42"/>
      <c r="W42" s="42"/>
      <c r="X42" s="42"/>
      <c r="Y42" s="42"/>
      <c r="Z42" s="42"/>
      <c r="AA42" s="42"/>
      <c r="AB42" s="42"/>
      <c r="AC42" s="42"/>
      <c r="AD42" s="42"/>
      <c r="AE42" s="16"/>
      <c r="AF42" s="16"/>
      <c r="AG42" s="16"/>
      <c r="AH42" s="16"/>
      <c r="AI42" s="16"/>
      <c r="AJ42" s="16"/>
      <c r="AK42" s="16"/>
      <c r="AL42" s="16"/>
      <c r="AM42" s="16"/>
      <c r="AN42" s="16"/>
      <c r="AO42" s="16"/>
      <c r="AP42" s="1"/>
    </row>
    <row r="43" spans="1:46" x14ac:dyDescent="0.2">
      <c r="A43" s="97"/>
      <c r="B43" s="97"/>
      <c r="C43" s="97"/>
      <c r="D43" s="97"/>
      <c r="E43" s="97"/>
      <c r="F43" s="97"/>
      <c r="N43" s="18"/>
    </row>
    <row r="44" spans="1:46" x14ac:dyDescent="0.2">
      <c r="A44" s="97"/>
      <c r="B44" s="97"/>
      <c r="C44" s="97"/>
      <c r="D44" s="97"/>
      <c r="E44" s="97"/>
      <c r="F44" s="97"/>
      <c r="N44" s="18"/>
    </row>
    <row r="45" spans="1:46" s="18" customFormat="1" x14ac:dyDescent="0.2">
      <c r="A45" s="97"/>
      <c r="B45" s="97"/>
      <c r="C45" s="97"/>
      <c r="D45" s="97"/>
      <c r="E45" s="97"/>
      <c r="F45" s="97"/>
      <c r="G45" s="1"/>
      <c r="H45" s="1"/>
      <c r="I45" s="1"/>
      <c r="J45" s="2"/>
      <c r="K45" s="1"/>
      <c r="L45" s="3"/>
      <c r="M45" s="1"/>
      <c r="AP45" s="1"/>
      <c r="AQ45" s="1"/>
      <c r="AR45" s="1"/>
      <c r="AS45" s="1"/>
      <c r="AT45" s="1"/>
    </row>
    <row r="46" spans="1:46" s="18" customFormat="1" x14ac:dyDescent="0.2">
      <c r="A46" s="97"/>
      <c r="B46" s="97"/>
      <c r="C46" s="97"/>
      <c r="D46" s="97"/>
      <c r="E46" s="97"/>
      <c r="F46" s="97"/>
      <c r="G46" s="1"/>
      <c r="H46" s="1"/>
      <c r="I46" s="1"/>
      <c r="J46" s="2"/>
      <c r="K46" s="1"/>
      <c r="L46" s="3"/>
      <c r="M46" s="1"/>
      <c r="AP46" s="1"/>
      <c r="AQ46" s="1"/>
      <c r="AR46" s="1"/>
      <c r="AS46" s="1"/>
      <c r="AT46" s="1"/>
    </row>
    <row r="47" spans="1:46" s="18" customFormat="1" x14ac:dyDescent="0.2">
      <c r="A47" s="97"/>
      <c r="B47" s="97"/>
      <c r="C47" s="97"/>
      <c r="D47" s="97"/>
      <c r="E47" s="97"/>
      <c r="F47" s="97"/>
      <c r="G47" s="1"/>
      <c r="H47" s="1"/>
      <c r="I47" s="1"/>
      <c r="J47" s="2"/>
      <c r="K47" s="1"/>
      <c r="L47" s="3"/>
      <c r="M47" s="1"/>
      <c r="AP47" s="1"/>
      <c r="AQ47" s="1"/>
      <c r="AR47" s="1"/>
      <c r="AS47" s="1"/>
      <c r="AT47" s="1"/>
    </row>
    <row r="48" spans="1:46" s="18" customFormat="1" x14ac:dyDescent="0.2">
      <c r="A48" s="97"/>
      <c r="B48" s="97"/>
      <c r="C48" s="97"/>
      <c r="D48" s="97"/>
      <c r="E48" s="97"/>
      <c r="F48" s="97"/>
      <c r="G48" s="1"/>
      <c r="H48" s="1"/>
      <c r="I48" s="1"/>
      <c r="J48" s="2"/>
      <c r="K48" s="1"/>
      <c r="L48" s="3"/>
      <c r="M48" s="1"/>
      <c r="AP48" s="1"/>
      <c r="AQ48" s="1"/>
      <c r="AR48" s="1"/>
      <c r="AS48" s="1"/>
      <c r="AT48" s="1"/>
    </row>
    <row r="49" spans="1:46" s="18" customFormat="1" x14ac:dyDescent="0.2">
      <c r="A49" s="97"/>
      <c r="B49" s="97"/>
      <c r="C49" s="97"/>
      <c r="D49" s="97"/>
      <c r="E49" s="97"/>
      <c r="F49" s="97"/>
      <c r="G49" s="1"/>
      <c r="H49" s="1"/>
      <c r="I49" s="1"/>
      <c r="J49" s="2"/>
      <c r="K49" s="1"/>
      <c r="L49" s="3"/>
      <c r="M49" s="1"/>
      <c r="AP49" s="1"/>
      <c r="AQ49" s="1"/>
      <c r="AR49" s="1"/>
      <c r="AS49" s="1"/>
      <c r="AT49" s="1"/>
    </row>
    <row r="50" spans="1:46" s="18" customFormat="1" x14ac:dyDescent="0.2">
      <c r="A50" s="97"/>
      <c r="B50" s="97"/>
      <c r="C50" s="97"/>
      <c r="D50" s="97"/>
      <c r="E50" s="97"/>
      <c r="F50" s="97"/>
      <c r="G50" s="1"/>
      <c r="H50" s="1"/>
      <c r="I50" s="1"/>
      <c r="J50" s="2"/>
      <c r="K50" s="1"/>
      <c r="L50" s="3"/>
      <c r="M50" s="1"/>
      <c r="AP50" s="1"/>
      <c r="AQ50" s="1"/>
      <c r="AR50" s="1"/>
      <c r="AS50" s="1"/>
      <c r="AT50" s="1"/>
    </row>
    <row r="51" spans="1:46" s="18" customFormat="1" x14ac:dyDescent="0.2">
      <c r="A51" s="97"/>
      <c r="B51" s="97"/>
      <c r="C51" s="97"/>
      <c r="D51" s="97"/>
      <c r="E51" s="97"/>
      <c r="F51" s="97"/>
      <c r="G51" s="1"/>
      <c r="H51" s="1"/>
      <c r="I51" s="1"/>
      <c r="J51" s="2"/>
      <c r="K51" s="1"/>
      <c r="L51" s="3"/>
      <c r="M51" s="1"/>
      <c r="AP51" s="1"/>
      <c r="AQ51" s="1"/>
      <c r="AR51" s="1"/>
      <c r="AS51" s="1"/>
      <c r="AT51" s="1"/>
    </row>
    <row r="52" spans="1:46" s="18" customFormat="1" x14ac:dyDescent="0.2">
      <c r="A52" s="97"/>
      <c r="B52" s="97"/>
      <c r="C52" s="97"/>
      <c r="D52" s="97"/>
      <c r="E52" s="97"/>
      <c r="F52" s="97"/>
      <c r="G52" s="1"/>
      <c r="H52" s="1"/>
      <c r="I52" s="1"/>
      <c r="J52" s="2"/>
      <c r="K52" s="1"/>
      <c r="L52" s="3"/>
      <c r="M52" s="1"/>
      <c r="AP52" s="1"/>
      <c r="AQ52" s="1"/>
      <c r="AR52" s="1"/>
      <c r="AS52" s="1"/>
      <c r="AT52" s="1"/>
    </row>
    <row r="53" spans="1:46" s="18" customFormat="1" x14ac:dyDescent="0.2">
      <c r="A53" s="97"/>
      <c r="B53" s="97"/>
      <c r="C53" s="97"/>
      <c r="D53" s="97"/>
      <c r="E53" s="97"/>
      <c r="F53" s="97"/>
      <c r="G53" s="1"/>
      <c r="H53" s="1"/>
      <c r="I53" s="1"/>
      <c r="J53" s="2"/>
      <c r="K53" s="1"/>
      <c r="L53" s="3"/>
      <c r="M53" s="1"/>
      <c r="AP53" s="1"/>
      <c r="AQ53" s="1"/>
      <c r="AR53" s="1"/>
      <c r="AS53" s="1"/>
      <c r="AT53" s="1"/>
    </row>
    <row r="54" spans="1:46" s="18" customFormat="1" x14ac:dyDescent="0.2">
      <c r="A54" s="97"/>
      <c r="B54" s="97"/>
      <c r="C54" s="97"/>
      <c r="D54" s="97"/>
      <c r="E54" s="97"/>
      <c r="F54" s="97"/>
      <c r="G54" s="1"/>
      <c r="H54" s="1"/>
      <c r="I54" s="1"/>
      <c r="J54" s="2"/>
      <c r="K54" s="1"/>
      <c r="L54" s="3"/>
      <c r="M54" s="1"/>
      <c r="AP54" s="1"/>
      <c r="AQ54" s="1"/>
      <c r="AR54" s="1"/>
      <c r="AS54" s="1"/>
      <c r="AT54" s="1"/>
    </row>
    <row r="55" spans="1:46" s="18" customFormat="1" x14ac:dyDescent="0.2">
      <c r="A55" s="97"/>
      <c r="B55" s="97"/>
      <c r="C55" s="97"/>
      <c r="D55" s="97"/>
      <c r="E55" s="97"/>
      <c r="F55" s="97"/>
      <c r="G55" s="1"/>
      <c r="H55" s="1"/>
      <c r="I55" s="1"/>
      <c r="J55" s="2"/>
      <c r="K55" s="1"/>
      <c r="L55" s="3"/>
      <c r="M55" s="1"/>
      <c r="AP55" s="1"/>
      <c r="AQ55" s="1"/>
      <c r="AR55" s="1"/>
      <c r="AS55" s="1"/>
      <c r="AT55" s="1"/>
    </row>
    <row r="56" spans="1:46" s="18" customFormat="1" x14ac:dyDescent="0.2">
      <c r="A56" s="97"/>
      <c r="B56" s="97"/>
      <c r="C56" s="97"/>
      <c r="D56" s="97"/>
      <c r="E56" s="97"/>
      <c r="F56" s="97"/>
      <c r="G56" s="1"/>
      <c r="H56" s="1"/>
      <c r="I56" s="1"/>
      <c r="J56" s="2"/>
      <c r="K56" s="1"/>
      <c r="L56" s="3"/>
      <c r="M56" s="1"/>
      <c r="AP56" s="1"/>
      <c r="AQ56" s="1"/>
      <c r="AR56" s="1"/>
      <c r="AS56" s="1"/>
      <c r="AT56" s="1"/>
    </row>
    <row r="57" spans="1:46" s="18" customFormat="1" x14ac:dyDescent="0.2">
      <c r="A57" s="97"/>
      <c r="B57" s="97"/>
      <c r="C57" s="97"/>
      <c r="D57" s="97"/>
      <c r="E57" s="97"/>
      <c r="F57" s="97"/>
      <c r="G57" s="1"/>
      <c r="H57" s="1"/>
      <c r="I57" s="1"/>
      <c r="J57" s="2"/>
      <c r="K57" s="1"/>
      <c r="L57" s="3"/>
      <c r="M57" s="1"/>
      <c r="AP57" s="1"/>
      <c r="AQ57" s="1"/>
      <c r="AR57" s="1"/>
      <c r="AS57" s="1"/>
      <c r="AT57" s="1"/>
    </row>
    <row r="58" spans="1:46" s="18" customFormat="1" x14ac:dyDescent="0.2">
      <c r="A58" s="97"/>
      <c r="B58" s="97"/>
      <c r="C58" s="97"/>
      <c r="D58" s="97"/>
      <c r="E58" s="97"/>
      <c r="F58" s="97"/>
      <c r="G58" s="1"/>
      <c r="H58" s="1"/>
      <c r="I58" s="1"/>
      <c r="J58" s="2"/>
      <c r="K58" s="1"/>
      <c r="L58" s="3"/>
      <c r="M58" s="1"/>
      <c r="AP58" s="1"/>
      <c r="AQ58" s="1"/>
      <c r="AR58" s="1"/>
      <c r="AS58" s="1"/>
      <c r="AT58" s="1"/>
    </row>
    <row r="59" spans="1:46" s="18" customFormat="1" x14ac:dyDescent="0.2">
      <c r="A59" s="97"/>
      <c r="B59" s="97"/>
      <c r="C59" s="97"/>
      <c r="D59" s="97"/>
      <c r="E59" s="97"/>
      <c r="F59" s="97"/>
      <c r="G59" s="1"/>
      <c r="H59" s="1"/>
      <c r="I59" s="1"/>
      <c r="J59" s="2"/>
      <c r="K59" s="1"/>
      <c r="L59" s="3"/>
      <c r="M59" s="1"/>
      <c r="AP59" s="1"/>
      <c r="AQ59" s="1"/>
      <c r="AR59" s="1"/>
      <c r="AS59" s="1"/>
      <c r="AT59" s="1"/>
    </row>
    <row r="60" spans="1:46" s="18" customFormat="1" x14ac:dyDescent="0.2">
      <c r="A60" s="97"/>
      <c r="B60" s="97"/>
      <c r="C60" s="97"/>
      <c r="D60" s="97"/>
      <c r="E60" s="97"/>
      <c r="F60" s="97"/>
      <c r="G60" s="1"/>
      <c r="H60" s="1"/>
      <c r="I60" s="1"/>
      <c r="J60" s="2"/>
      <c r="K60" s="1"/>
      <c r="L60" s="3"/>
      <c r="M60" s="1"/>
      <c r="AP60" s="1"/>
      <c r="AQ60" s="1"/>
      <c r="AR60" s="1"/>
      <c r="AS60" s="1"/>
      <c r="AT60" s="1"/>
    </row>
    <row r="61" spans="1:46" s="18" customFormat="1" x14ac:dyDescent="0.2">
      <c r="A61" s="97"/>
      <c r="B61" s="97"/>
      <c r="C61" s="97"/>
      <c r="D61" s="97"/>
      <c r="E61" s="97"/>
      <c r="F61" s="97"/>
      <c r="G61" s="1"/>
      <c r="H61" s="1"/>
      <c r="I61" s="1"/>
      <c r="J61" s="2"/>
      <c r="K61" s="1"/>
      <c r="L61" s="3"/>
      <c r="M61" s="1"/>
      <c r="AP61" s="1"/>
      <c r="AQ61" s="1"/>
      <c r="AR61" s="1"/>
      <c r="AS61" s="1"/>
      <c r="AT61" s="1"/>
    </row>
    <row r="62" spans="1:46" s="18" customFormat="1" x14ac:dyDescent="0.2">
      <c r="A62" s="97"/>
      <c r="B62" s="97"/>
      <c r="C62" s="97"/>
      <c r="D62" s="97"/>
      <c r="E62" s="97"/>
      <c r="F62" s="97"/>
      <c r="G62" s="1"/>
      <c r="H62" s="1"/>
      <c r="I62" s="1"/>
      <c r="J62" s="2"/>
      <c r="K62" s="1"/>
      <c r="L62" s="3"/>
      <c r="M62" s="1"/>
      <c r="AP62" s="1"/>
      <c r="AQ62" s="1"/>
      <c r="AR62" s="1"/>
      <c r="AS62" s="1"/>
      <c r="AT62" s="1"/>
    </row>
    <row r="63" spans="1:46" s="18" customFormat="1" x14ac:dyDescent="0.2">
      <c r="A63" s="97"/>
      <c r="B63" s="97"/>
      <c r="C63" s="97"/>
      <c r="D63" s="97"/>
      <c r="E63" s="97"/>
      <c r="F63" s="97"/>
      <c r="G63" s="1"/>
      <c r="H63" s="1"/>
      <c r="I63" s="1"/>
      <c r="J63" s="2"/>
      <c r="K63" s="1"/>
      <c r="L63" s="3"/>
      <c r="M63" s="1"/>
      <c r="AP63" s="1"/>
      <c r="AQ63" s="1"/>
      <c r="AR63" s="1"/>
      <c r="AS63" s="1"/>
      <c r="AT63" s="1"/>
    </row>
    <row r="64" spans="1:46" s="18" customFormat="1" x14ac:dyDescent="0.2">
      <c r="A64" s="97"/>
      <c r="B64" s="97"/>
      <c r="C64" s="97"/>
      <c r="D64" s="97"/>
      <c r="E64" s="97"/>
      <c r="F64" s="97"/>
      <c r="G64" s="1"/>
      <c r="H64" s="1"/>
      <c r="I64" s="1"/>
      <c r="J64" s="2"/>
      <c r="K64" s="1"/>
      <c r="L64" s="3"/>
      <c r="M64" s="1"/>
      <c r="AP64" s="1"/>
      <c r="AQ64" s="1"/>
      <c r="AR64" s="1"/>
      <c r="AS64" s="1"/>
      <c r="AT64" s="1"/>
    </row>
    <row r="65" spans="1:46" s="18" customFormat="1" x14ac:dyDescent="0.2">
      <c r="A65" s="97"/>
      <c r="B65" s="97"/>
      <c r="C65" s="97"/>
      <c r="D65" s="97"/>
      <c r="E65" s="97"/>
      <c r="F65" s="97"/>
      <c r="G65" s="1"/>
      <c r="H65" s="1"/>
      <c r="I65" s="1"/>
      <c r="J65" s="2"/>
      <c r="K65" s="1"/>
      <c r="L65" s="3"/>
      <c r="M65" s="1"/>
      <c r="AP65" s="1"/>
      <c r="AQ65" s="1"/>
      <c r="AR65" s="1"/>
      <c r="AS65" s="1"/>
      <c r="AT65" s="1"/>
    </row>
    <row r="66" spans="1:46" s="18" customFormat="1" x14ac:dyDescent="0.2">
      <c r="A66" s="97"/>
      <c r="B66" s="97"/>
      <c r="C66" s="97"/>
      <c r="D66" s="97"/>
      <c r="E66" s="97"/>
      <c r="F66" s="97"/>
      <c r="G66" s="1"/>
      <c r="H66" s="1"/>
      <c r="I66" s="1"/>
      <c r="J66" s="2"/>
      <c r="K66" s="1"/>
      <c r="L66" s="3"/>
      <c r="M66" s="1"/>
      <c r="AP66" s="1"/>
      <c r="AQ66" s="1"/>
      <c r="AR66" s="1"/>
      <c r="AS66" s="1"/>
      <c r="AT66" s="1"/>
    </row>
    <row r="67" spans="1:46" s="18" customFormat="1" x14ac:dyDescent="0.2">
      <c r="A67" s="97"/>
      <c r="B67" s="97"/>
      <c r="C67" s="97"/>
      <c r="D67" s="97"/>
      <c r="E67" s="97"/>
      <c r="F67" s="97"/>
      <c r="G67" s="1"/>
      <c r="H67" s="1"/>
      <c r="I67" s="1"/>
      <c r="J67" s="2"/>
      <c r="K67" s="1"/>
      <c r="L67" s="3"/>
      <c r="M67" s="1"/>
      <c r="AP67" s="1"/>
      <c r="AQ67" s="1"/>
      <c r="AR67" s="1"/>
      <c r="AS67" s="1"/>
      <c r="AT67" s="1"/>
    </row>
    <row r="68" spans="1:46" s="18" customFormat="1" x14ac:dyDescent="0.2">
      <c r="A68" s="97"/>
      <c r="B68" s="97"/>
      <c r="C68" s="97"/>
      <c r="D68" s="97"/>
      <c r="E68" s="97"/>
      <c r="F68" s="97"/>
      <c r="G68" s="1"/>
      <c r="H68" s="1"/>
      <c r="I68" s="1"/>
      <c r="J68" s="2"/>
      <c r="K68" s="1"/>
      <c r="L68" s="3"/>
      <c r="M68" s="1"/>
      <c r="AP68" s="1"/>
      <c r="AQ68" s="1"/>
      <c r="AR68" s="1"/>
      <c r="AS68" s="1"/>
      <c r="AT68" s="1"/>
    </row>
    <row r="69" spans="1:46" s="18" customFormat="1" x14ac:dyDescent="0.2">
      <c r="A69" s="97"/>
      <c r="B69" s="97"/>
      <c r="C69" s="97"/>
      <c r="D69" s="97"/>
      <c r="E69" s="97"/>
      <c r="F69" s="97"/>
      <c r="G69" s="1"/>
      <c r="H69" s="1"/>
      <c r="I69" s="1"/>
      <c r="J69" s="2"/>
      <c r="K69" s="1"/>
      <c r="L69" s="3"/>
      <c r="M69" s="1"/>
      <c r="AP69" s="1"/>
      <c r="AQ69" s="1"/>
      <c r="AR69" s="1"/>
      <c r="AS69" s="1"/>
      <c r="AT69" s="1"/>
    </row>
    <row r="70" spans="1:46" s="18" customFormat="1" x14ac:dyDescent="0.2">
      <c r="A70" s="97"/>
      <c r="B70" s="97"/>
      <c r="C70" s="97"/>
      <c r="D70" s="97"/>
      <c r="E70" s="97"/>
      <c r="F70" s="97"/>
      <c r="G70" s="1"/>
      <c r="H70" s="1"/>
      <c r="I70" s="1"/>
      <c r="J70" s="2"/>
      <c r="K70" s="1"/>
      <c r="L70" s="3"/>
      <c r="M70" s="1"/>
      <c r="AP70" s="1"/>
      <c r="AQ70" s="1"/>
      <c r="AR70" s="1"/>
      <c r="AS70" s="1"/>
      <c r="AT70" s="1"/>
    </row>
    <row r="71" spans="1:46" s="18" customFormat="1" x14ac:dyDescent="0.2">
      <c r="A71" s="97"/>
      <c r="B71" s="97"/>
      <c r="C71" s="97"/>
      <c r="D71" s="97"/>
      <c r="E71" s="97"/>
      <c r="F71" s="97"/>
      <c r="G71" s="1"/>
      <c r="H71" s="1"/>
      <c r="I71" s="1"/>
      <c r="J71" s="2"/>
      <c r="K71" s="1"/>
      <c r="L71" s="3"/>
      <c r="M71" s="1"/>
      <c r="AP71" s="1"/>
      <c r="AQ71" s="1"/>
      <c r="AR71" s="1"/>
      <c r="AS71" s="1"/>
      <c r="AT71" s="1"/>
    </row>
    <row r="72" spans="1:46" s="18" customFormat="1" x14ac:dyDescent="0.2">
      <c r="A72" s="97"/>
      <c r="B72" s="97"/>
      <c r="C72" s="97"/>
      <c r="D72" s="97"/>
      <c r="E72" s="97"/>
      <c r="F72" s="97"/>
      <c r="G72" s="1"/>
      <c r="H72" s="1"/>
      <c r="I72" s="1"/>
      <c r="J72" s="2"/>
      <c r="K72" s="1"/>
      <c r="L72" s="3"/>
      <c r="M72" s="1"/>
      <c r="AP72" s="1"/>
      <c r="AQ72" s="1"/>
      <c r="AR72" s="1"/>
      <c r="AS72" s="1"/>
      <c r="AT72" s="1"/>
    </row>
    <row r="73" spans="1:46" s="18" customFormat="1" x14ac:dyDescent="0.2">
      <c r="A73" s="97"/>
      <c r="B73" s="97"/>
      <c r="C73" s="97"/>
      <c r="D73" s="97"/>
      <c r="E73" s="97"/>
      <c r="F73" s="97"/>
      <c r="G73" s="1"/>
      <c r="H73" s="1"/>
      <c r="I73" s="1"/>
      <c r="J73" s="2"/>
      <c r="K73" s="1"/>
      <c r="L73" s="3"/>
      <c r="M73" s="1"/>
      <c r="AP73" s="1"/>
      <c r="AQ73" s="1"/>
      <c r="AR73" s="1"/>
      <c r="AS73" s="1"/>
      <c r="AT73" s="1"/>
    </row>
    <row r="74" spans="1:46" s="18" customFormat="1" x14ac:dyDescent="0.2">
      <c r="A74" s="97"/>
      <c r="B74" s="97"/>
      <c r="C74" s="97"/>
      <c r="D74" s="97"/>
      <c r="E74" s="97"/>
      <c r="F74" s="97"/>
      <c r="G74" s="1"/>
      <c r="H74" s="1"/>
      <c r="I74" s="1"/>
      <c r="J74" s="2"/>
      <c r="K74" s="1"/>
      <c r="L74" s="3"/>
      <c r="M74" s="1"/>
      <c r="AP74" s="1"/>
      <c r="AQ74" s="1"/>
      <c r="AR74" s="1"/>
      <c r="AS74" s="1"/>
      <c r="AT74" s="1"/>
    </row>
    <row r="75" spans="1:46" s="18" customFormat="1" x14ac:dyDescent="0.2">
      <c r="A75" s="97"/>
      <c r="B75" s="97"/>
      <c r="C75" s="97"/>
      <c r="D75" s="97"/>
      <c r="E75" s="97"/>
      <c r="F75" s="97"/>
      <c r="G75" s="1"/>
      <c r="H75" s="1"/>
      <c r="I75" s="1"/>
      <c r="J75" s="2"/>
      <c r="K75" s="1"/>
      <c r="L75" s="3"/>
      <c r="M75" s="1"/>
      <c r="AP75" s="1"/>
      <c r="AQ75" s="1"/>
      <c r="AR75" s="1"/>
      <c r="AS75" s="1"/>
      <c r="AT75" s="1"/>
    </row>
    <row r="76" spans="1:46" s="18" customFormat="1" x14ac:dyDescent="0.2">
      <c r="A76" s="97"/>
      <c r="B76" s="97"/>
      <c r="C76" s="97"/>
      <c r="D76" s="97"/>
      <c r="E76" s="97"/>
      <c r="F76" s="97"/>
      <c r="G76" s="1"/>
      <c r="H76" s="1"/>
      <c r="I76" s="1"/>
      <c r="J76" s="2"/>
      <c r="K76" s="1"/>
      <c r="L76" s="3"/>
      <c r="M76" s="1"/>
      <c r="AP76" s="1"/>
      <c r="AQ76" s="1"/>
      <c r="AR76" s="1"/>
      <c r="AS76" s="1"/>
      <c r="AT76" s="1"/>
    </row>
    <row r="77" spans="1:46" s="18" customFormat="1" x14ac:dyDescent="0.2">
      <c r="A77" s="97"/>
      <c r="B77" s="97"/>
      <c r="C77" s="97"/>
      <c r="D77" s="97"/>
      <c r="E77" s="97"/>
      <c r="F77" s="97"/>
      <c r="G77" s="1"/>
      <c r="H77" s="1"/>
      <c r="I77" s="1"/>
      <c r="J77" s="2"/>
      <c r="K77" s="1"/>
      <c r="L77" s="3"/>
      <c r="M77" s="1"/>
      <c r="AP77" s="1"/>
      <c r="AQ77" s="1"/>
      <c r="AR77" s="1"/>
      <c r="AS77" s="1"/>
      <c r="AT77" s="1"/>
    </row>
    <row r="78" spans="1:46" s="18" customFormat="1" x14ac:dyDescent="0.2">
      <c r="A78" s="97"/>
      <c r="B78" s="97"/>
      <c r="C78" s="97"/>
      <c r="D78" s="97"/>
      <c r="E78" s="97"/>
      <c r="F78" s="97"/>
      <c r="G78" s="1"/>
      <c r="H78" s="1"/>
      <c r="I78" s="1"/>
      <c r="J78" s="2"/>
      <c r="K78" s="1"/>
      <c r="L78" s="3"/>
      <c r="M78" s="1"/>
      <c r="AP78" s="1"/>
      <c r="AQ78" s="1"/>
      <c r="AR78" s="1"/>
      <c r="AS78" s="1"/>
      <c r="AT78" s="1"/>
    </row>
    <row r="79" spans="1:46" s="18" customFormat="1" x14ac:dyDescent="0.2">
      <c r="A79" s="97"/>
      <c r="B79" s="97"/>
      <c r="C79" s="97"/>
      <c r="D79" s="97"/>
      <c r="E79" s="97"/>
      <c r="F79" s="97"/>
      <c r="G79" s="1"/>
      <c r="H79" s="1"/>
      <c r="I79" s="1"/>
      <c r="J79" s="2"/>
      <c r="K79" s="1"/>
      <c r="L79" s="3"/>
      <c r="M79" s="1"/>
      <c r="AP79" s="1"/>
      <c r="AQ79" s="1"/>
      <c r="AR79" s="1"/>
      <c r="AS79" s="1"/>
      <c r="AT79" s="1"/>
    </row>
    <row r="80" spans="1:46" s="18" customFormat="1" x14ac:dyDescent="0.2">
      <c r="A80" s="97"/>
      <c r="B80" s="97"/>
      <c r="C80" s="97"/>
      <c r="D80" s="97"/>
      <c r="E80" s="97"/>
      <c r="F80" s="97"/>
      <c r="G80" s="1"/>
      <c r="H80" s="1"/>
      <c r="I80" s="1"/>
      <c r="J80" s="2"/>
      <c r="K80" s="1"/>
      <c r="L80" s="3"/>
      <c r="M80" s="1"/>
      <c r="AP80" s="1"/>
      <c r="AQ80" s="1"/>
      <c r="AR80" s="1"/>
      <c r="AS80" s="1"/>
      <c r="AT80" s="1"/>
    </row>
    <row r="81" spans="1:46" s="18" customFormat="1" x14ac:dyDescent="0.2">
      <c r="A81" s="97"/>
      <c r="B81" s="97"/>
      <c r="C81" s="97"/>
      <c r="D81" s="97"/>
      <c r="E81" s="97"/>
      <c r="F81" s="97"/>
      <c r="G81" s="1"/>
      <c r="H81" s="1"/>
      <c r="I81" s="1"/>
      <c r="J81" s="2"/>
      <c r="K81" s="1"/>
      <c r="L81" s="3"/>
      <c r="M81" s="1"/>
      <c r="AP81" s="1"/>
      <c r="AQ81" s="1"/>
      <c r="AR81" s="1"/>
      <c r="AS81" s="1"/>
      <c r="AT81" s="1"/>
    </row>
    <row r="82" spans="1:46" s="18" customFormat="1" x14ac:dyDescent="0.2">
      <c r="A82" s="97"/>
      <c r="B82" s="97"/>
      <c r="C82" s="97"/>
      <c r="D82" s="97"/>
      <c r="E82" s="97"/>
      <c r="F82" s="97"/>
      <c r="G82" s="1"/>
      <c r="H82" s="1"/>
      <c r="I82" s="1"/>
      <c r="J82" s="2"/>
      <c r="K82" s="1"/>
      <c r="L82" s="3"/>
      <c r="M82" s="1"/>
      <c r="AP82" s="1"/>
      <c r="AQ82" s="1"/>
      <c r="AR82" s="1"/>
      <c r="AS82" s="1"/>
      <c r="AT82" s="1"/>
    </row>
    <row r="83" spans="1:46" s="18" customFormat="1" x14ac:dyDescent="0.2">
      <c r="A83" s="97"/>
      <c r="B83" s="97"/>
      <c r="C83" s="97"/>
      <c r="D83" s="97"/>
      <c r="E83" s="97"/>
      <c r="F83" s="97"/>
      <c r="G83" s="1"/>
      <c r="H83" s="1"/>
      <c r="I83" s="1"/>
      <c r="J83" s="2"/>
      <c r="K83" s="1"/>
      <c r="L83" s="3"/>
      <c r="M83" s="1"/>
      <c r="AP83" s="1"/>
      <c r="AQ83" s="1"/>
      <c r="AR83" s="1"/>
      <c r="AS83" s="1"/>
      <c r="AT83" s="1"/>
    </row>
    <row r="84" spans="1:46" s="18" customFormat="1" x14ac:dyDescent="0.2">
      <c r="A84" s="97"/>
      <c r="B84" s="97"/>
      <c r="C84" s="97"/>
      <c r="D84" s="97"/>
      <c r="E84" s="97"/>
      <c r="F84" s="97"/>
      <c r="G84" s="1"/>
      <c r="H84" s="1"/>
      <c r="I84" s="1"/>
      <c r="J84" s="2"/>
      <c r="K84" s="1"/>
      <c r="L84" s="3"/>
      <c r="M84" s="1"/>
      <c r="AP84" s="1"/>
      <c r="AQ84" s="1"/>
      <c r="AR84" s="1"/>
      <c r="AS84" s="1"/>
      <c r="AT84" s="1"/>
    </row>
    <row r="85" spans="1:46" s="18" customFormat="1" x14ac:dyDescent="0.2">
      <c r="A85" s="97"/>
      <c r="B85" s="97"/>
      <c r="C85" s="97"/>
      <c r="D85" s="97"/>
      <c r="E85" s="97"/>
      <c r="F85" s="97"/>
      <c r="G85" s="1"/>
      <c r="H85" s="1"/>
      <c r="I85" s="1"/>
      <c r="J85" s="2"/>
      <c r="K85" s="1"/>
      <c r="L85" s="3"/>
      <c r="M85" s="1"/>
      <c r="AP85" s="1"/>
      <c r="AQ85" s="1"/>
      <c r="AR85" s="1"/>
      <c r="AS85" s="1"/>
      <c r="AT85" s="1"/>
    </row>
    <row r="86" spans="1:46" s="18" customFormat="1" x14ac:dyDescent="0.2">
      <c r="A86" s="97"/>
      <c r="B86" s="97"/>
      <c r="C86" s="97"/>
      <c r="D86" s="97"/>
      <c r="E86" s="97"/>
      <c r="F86" s="97"/>
      <c r="G86" s="1"/>
      <c r="H86" s="1"/>
      <c r="I86" s="1"/>
      <c r="J86" s="2"/>
      <c r="K86" s="1"/>
      <c r="L86" s="3"/>
      <c r="M86" s="1"/>
      <c r="AP86" s="1"/>
      <c r="AQ86" s="1"/>
      <c r="AR86" s="1"/>
      <c r="AS86" s="1"/>
      <c r="AT86" s="1"/>
    </row>
    <row r="87" spans="1:46" s="18" customFormat="1" x14ac:dyDescent="0.2">
      <c r="A87" s="97"/>
      <c r="B87" s="97"/>
      <c r="C87" s="97"/>
      <c r="D87" s="97"/>
      <c r="E87" s="97"/>
      <c r="F87" s="97"/>
      <c r="G87" s="1"/>
      <c r="H87" s="1"/>
      <c r="I87" s="1"/>
      <c r="J87" s="2"/>
      <c r="K87" s="1"/>
      <c r="L87" s="3"/>
      <c r="M87" s="1"/>
      <c r="AP87" s="1"/>
      <c r="AQ87" s="1"/>
      <c r="AR87" s="1"/>
      <c r="AS87" s="1"/>
      <c r="AT87" s="1"/>
    </row>
    <row r="88" spans="1:46" s="18" customFormat="1" x14ac:dyDescent="0.2">
      <c r="A88" s="97"/>
      <c r="B88" s="97"/>
      <c r="C88" s="97"/>
      <c r="D88" s="97"/>
      <c r="E88" s="97"/>
      <c r="F88" s="97"/>
      <c r="G88" s="1"/>
      <c r="H88" s="1"/>
      <c r="I88" s="1"/>
      <c r="J88" s="2"/>
      <c r="K88" s="1"/>
      <c r="L88" s="3"/>
      <c r="M88" s="1"/>
      <c r="AP88" s="1"/>
      <c r="AQ88" s="1"/>
      <c r="AR88" s="1"/>
      <c r="AS88" s="1"/>
      <c r="AT88" s="1"/>
    </row>
    <row r="89" spans="1:46" s="18" customFormat="1" x14ac:dyDescent="0.2">
      <c r="A89" s="97"/>
      <c r="B89" s="97"/>
      <c r="C89" s="97"/>
      <c r="D89" s="97"/>
      <c r="E89" s="97"/>
      <c r="F89" s="97"/>
      <c r="G89" s="1"/>
      <c r="H89" s="1"/>
      <c r="I89" s="1"/>
      <c r="J89" s="2"/>
      <c r="K89" s="1"/>
      <c r="L89" s="3"/>
      <c r="M89" s="1"/>
      <c r="AP89" s="1"/>
      <c r="AQ89" s="1"/>
      <c r="AR89" s="1"/>
      <c r="AS89" s="1"/>
      <c r="AT89" s="1"/>
    </row>
    <row r="90" spans="1:46" s="18" customFormat="1" x14ac:dyDescent="0.2">
      <c r="A90" s="97"/>
      <c r="B90" s="97"/>
      <c r="C90" s="97"/>
      <c r="D90" s="97"/>
      <c r="E90" s="97"/>
      <c r="F90" s="97"/>
      <c r="G90" s="1"/>
      <c r="H90" s="1"/>
      <c r="I90" s="1"/>
      <c r="J90" s="2"/>
      <c r="K90" s="1"/>
      <c r="L90" s="3"/>
      <c r="M90" s="1"/>
      <c r="AP90" s="1"/>
      <c r="AQ90" s="1"/>
      <c r="AR90" s="1"/>
      <c r="AS90" s="1"/>
      <c r="AT90" s="1"/>
    </row>
    <row r="91" spans="1:46" s="18" customFormat="1" x14ac:dyDescent="0.2">
      <c r="A91" s="97"/>
      <c r="B91" s="97"/>
      <c r="C91" s="97"/>
      <c r="D91" s="97"/>
      <c r="E91" s="97"/>
      <c r="F91" s="97"/>
      <c r="G91" s="1"/>
      <c r="H91" s="1"/>
      <c r="I91" s="1"/>
      <c r="J91" s="2"/>
      <c r="K91" s="1"/>
      <c r="L91" s="3"/>
      <c r="M91" s="1"/>
      <c r="AP91" s="1"/>
      <c r="AQ91" s="1"/>
      <c r="AR91" s="1"/>
      <c r="AS91" s="1"/>
      <c r="AT91" s="1"/>
    </row>
    <row r="92" spans="1:46" s="18" customFormat="1" x14ac:dyDescent="0.2">
      <c r="A92" s="97"/>
      <c r="B92" s="97"/>
      <c r="C92" s="97"/>
      <c r="D92" s="97"/>
      <c r="E92" s="97"/>
      <c r="F92" s="97"/>
      <c r="G92" s="1"/>
      <c r="H92" s="1"/>
      <c r="I92" s="1"/>
      <c r="J92" s="2"/>
      <c r="K92" s="1"/>
      <c r="L92" s="3"/>
      <c r="M92" s="1"/>
      <c r="AP92" s="1"/>
      <c r="AQ92" s="1"/>
      <c r="AR92" s="1"/>
      <c r="AS92" s="1"/>
      <c r="AT92" s="1"/>
    </row>
    <row r="93" spans="1:46" s="18" customFormat="1" x14ac:dyDescent="0.2">
      <c r="A93" s="97"/>
      <c r="B93" s="97"/>
      <c r="C93" s="97"/>
      <c r="D93" s="97"/>
      <c r="E93" s="97"/>
      <c r="F93" s="97"/>
      <c r="G93" s="1"/>
      <c r="H93" s="1"/>
      <c r="I93" s="1"/>
      <c r="J93" s="2"/>
      <c r="K93" s="1"/>
      <c r="L93" s="3"/>
      <c r="M93" s="1"/>
      <c r="AP93" s="1"/>
      <c r="AQ93" s="1"/>
      <c r="AR93" s="1"/>
      <c r="AS93" s="1"/>
      <c r="AT93" s="1"/>
    </row>
    <row r="94" spans="1:46" s="18" customFormat="1" x14ac:dyDescent="0.2">
      <c r="A94" s="97"/>
      <c r="B94" s="97"/>
      <c r="C94" s="97"/>
      <c r="D94" s="97"/>
      <c r="E94" s="97"/>
      <c r="F94" s="97"/>
      <c r="G94" s="1"/>
      <c r="H94" s="1"/>
      <c r="I94" s="1"/>
      <c r="J94" s="2"/>
      <c r="K94" s="1"/>
      <c r="L94" s="3"/>
      <c r="M94" s="1"/>
      <c r="AP94" s="1"/>
      <c r="AQ94" s="1"/>
      <c r="AR94" s="1"/>
      <c r="AS94" s="1"/>
      <c r="AT94" s="1"/>
    </row>
    <row r="95" spans="1:46" s="18" customFormat="1" x14ac:dyDescent="0.2">
      <c r="A95" s="97"/>
      <c r="B95" s="97"/>
      <c r="C95" s="97"/>
      <c r="D95" s="97"/>
      <c r="E95" s="97"/>
      <c r="F95" s="97"/>
      <c r="G95" s="1"/>
      <c r="H95" s="1"/>
      <c r="I95" s="1"/>
      <c r="J95" s="2"/>
      <c r="K95" s="1"/>
      <c r="L95" s="3"/>
      <c r="M95" s="1"/>
      <c r="AP95" s="1"/>
      <c r="AQ95" s="1"/>
      <c r="AR95" s="1"/>
      <c r="AS95" s="1"/>
      <c r="AT95" s="1"/>
    </row>
    <row r="96" spans="1:46" s="18" customFormat="1" x14ac:dyDescent="0.2">
      <c r="A96" s="97"/>
      <c r="B96" s="97"/>
      <c r="C96" s="97"/>
      <c r="D96" s="97"/>
      <c r="E96" s="97"/>
      <c r="F96" s="97"/>
      <c r="G96" s="1"/>
      <c r="H96" s="1"/>
      <c r="I96" s="1"/>
      <c r="J96" s="2"/>
      <c r="K96" s="1"/>
      <c r="L96" s="3"/>
      <c r="M96" s="1"/>
      <c r="AP96" s="1"/>
      <c r="AQ96" s="1"/>
      <c r="AR96" s="1"/>
      <c r="AS96" s="1"/>
      <c r="AT96" s="1"/>
    </row>
    <row r="97" spans="1:46" s="18" customFormat="1" x14ac:dyDescent="0.2">
      <c r="A97" s="97"/>
      <c r="B97" s="97"/>
      <c r="C97" s="97"/>
      <c r="D97" s="97"/>
      <c r="E97" s="97"/>
      <c r="F97" s="97"/>
      <c r="G97" s="1"/>
      <c r="H97" s="1"/>
      <c r="I97" s="1"/>
      <c r="J97" s="2"/>
      <c r="K97" s="1"/>
      <c r="L97" s="3"/>
      <c r="M97" s="1"/>
      <c r="AP97" s="1"/>
      <c r="AQ97" s="1"/>
      <c r="AR97" s="1"/>
      <c r="AS97" s="1"/>
      <c r="AT97" s="1"/>
    </row>
    <row r="98" spans="1:46" s="18" customFormat="1" x14ac:dyDescent="0.2">
      <c r="A98" s="97"/>
      <c r="B98" s="97"/>
      <c r="C98" s="97"/>
      <c r="D98" s="97"/>
      <c r="E98" s="97"/>
      <c r="F98" s="97"/>
      <c r="G98" s="1"/>
      <c r="H98" s="1"/>
      <c r="I98" s="1"/>
      <c r="J98" s="2"/>
      <c r="K98" s="1"/>
      <c r="L98" s="3"/>
      <c r="M98" s="1"/>
      <c r="AP98" s="1"/>
      <c r="AQ98" s="1"/>
      <c r="AR98" s="1"/>
      <c r="AS98" s="1"/>
      <c r="AT98" s="1"/>
    </row>
    <row r="99" spans="1:46" s="18" customFormat="1" x14ac:dyDescent="0.2">
      <c r="A99" s="97"/>
      <c r="B99" s="97"/>
      <c r="C99" s="97"/>
      <c r="D99" s="97"/>
      <c r="E99" s="97"/>
      <c r="F99" s="97"/>
      <c r="G99" s="1"/>
      <c r="H99" s="1"/>
      <c r="I99" s="1"/>
      <c r="J99" s="2"/>
      <c r="K99" s="1"/>
      <c r="L99" s="3"/>
      <c r="M99" s="1"/>
      <c r="AP99" s="1"/>
      <c r="AQ99" s="1"/>
      <c r="AR99" s="1"/>
      <c r="AS99" s="1"/>
      <c r="AT99" s="1"/>
    </row>
    <row r="100" spans="1:46" s="18" customFormat="1" x14ac:dyDescent="0.2">
      <c r="A100" s="97"/>
      <c r="B100" s="97"/>
      <c r="C100" s="97"/>
      <c r="D100" s="97"/>
      <c r="E100" s="97"/>
      <c r="F100" s="97"/>
      <c r="G100" s="1"/>
      <c r="H100" s="1"/>
      <c r="I100" s="1"/>
      <c r="J100" s="2"/>
      <c r="K100" s="1"/>
      <c r="L100" s="3"/>
      <c r="M100" s="1"/>
      <c r="AP100" s="1"/>
      <c r="AQ100" s="1"/>
      <c r="AR100" s="1"/>
      <c r="AS100" s="1"/>
      <c r="AT100" s="1"/>
    </row>
    <row r="101" spans="1:46" s="18" customFormat="1" x14ac:dyDescent="0.2">
      <c r="A101" s="97"/>
      <c r="B101" s="97"/>
      <c r="C101" s="97"/>
      <c r="D101" s="97"/>
      <c r="E101" s="97"/>
      <c r="F101" s="97"/>
      <c r="G101" s="1"/>
      <c r="H101" s="1"/>
      <c r="I101" s="1"/>
      <c r="J101" s="2"/>
      <c r="K101" s="1"/>
      <c r="L101" s="3"/>
      <c r="M101" s="1"/>
      <c r="AP101" s="1"/>
      <c r="AQ101" s="1"/>
      <c r="AR101" s="1"/>
      <c r="AS101" s="1"/>
      <c r="AT101" s="1"/>
    </row>
    <row r="102" spans="1:46" s="18" customFormat="1" x14ac:dyDescent="0.2">
      <c r="A102" s="97"/>
      <c r="B102" s="97"/>
      <c r="C102" s="97"/>
      <c r="D102" s="97"/>
      <c r="E102" s="97"/>
      <c r="F102" s="97"/>
      <c r="G102" s="1"/>
      <c r="H102" s="1"/>
      <c r="I102" s="1"/>
      <c r="J102" s="2"/>
      <c r="K102" s="1"/>
      <c r="L102" s="3"/>
      <c r="M102" s="1"/>
      <c r="AP102" s="1"/>
      <c r="AQ102" s="1"/>
      <c r="AR102" s="1"/>
      <c r="AS102" s="1"/>
      <c r="AT102" s="1"/>
    </row>
    <row r="103" spans="1:46" s="18" customFormat="1" x14ac:dyDescent="0.2">
      <c r="A103" s="97"/>
      <c r="B103" s="97"/>
      <c r="C103" s="97"/>
      <c r="D103" s="97"/>
      <c r="E103" s="97"/>
      <c r="F103" s="97"/>
      <c r="G103" s="1"/>
      <c r="H103" s="1"/>
      <c r="I103" s="1"/>
      <c r="J103" s="2"/>
      <c r="K103" s="1"/>
      <c r="L103" s="3"/>
      <c r="M103" s="1"/>
      <c r="AP103" s="1"/>
      <c r="AQ103" s="1"/>
      <c r="AR103" s="1"/>
      <c r="AS103" s="1"/>
      <c r="AT103" s="1"/>
    </row>
    <row r="104" spans="1:46" s="18" customFormat="1" x14ac:dyDescent="0.2">
      <c r="A104" s="97"/>
      <c r="B104" s="97"/>
      <c r="C104" s="97"/>
      <c r="D104" s="97"/>
      <c r="E104" s="97"/>
      <c r="F104" s="97"/>
      <c r="G104" s="1"/>
      <c r="H104" s="1"/>
      <c r="I104" s="1"/>
      <c r="J104" s="2"/>
      <c r="K104" s="1"/>
      <c r="L104" s="3"/>
      <c r="M104" s="1"/>
      <c r="AP104" s="1"/>
      <c r="AQ104" s="1"/>
      <c r="AR104" s="1"/>
      <c r="AS104" s="1"/>
      <c r="AT104" s="1"/>
    </row>
    <row r="105" spans="1:46" s="18" customFormat="1" x14ac:dyDescent="0.2">
      <c r="A105" s="97"/>
      <c r="B105" s="97"/>
      <c r="C105" s="97"/>
      <c r="D105" s="97"/>
      <c r="E105" s="97"/>
      <c r="F105" s="97"/>
      <c r="G105" s="1"/>
      <c r="H105" s="1"/>
      <c r="I105" s="1"/>
      <c r="J105" s="2"/>
      <c r="K105" s="1"/>
      <c r="L105" s="3"/>
      <c r="M105" s="1"/>
      <c r="AP105" s="1"/>
      <c r="AQ105" s="1"/>
      <c r="AR105" s="1"/>
      <c r="AS105" s="1"/>
      <c r="AT105" s="1"/>
    </row>
    <row r="106" spans="1:46" s="18" customFormat="1" x14ac:dyDescent="0.2">
      <c r="A106" s="97"/>
      <c r="B106" s="97"/>
      <c r="C106" s="97"/>
      <c r="D106" s="97"/>
      <c r="E106" s="97"/>
      <c r="F106" s="97"/>
      <c r="G106" s="1"/>
      <c r="H106" s="1"/>
      <c r="I106" s="1"/>
      <c r="J106" s="2"/>
      <c r="K106" s="1"/>
      <c r="L106" s="3"/>
      <c r="M106" s="1"/>
      <c r="AP106" s="1"/>
      <c r="AQ106" s="1"/>
      <c r="AR106" s="1"/>
      <c r="AS106" s="1"/>
      <c r="AT106" s="1"/>
    </row>
    <row r="107" spans="1:46" s="18" customFormat="1" x14ac:dyDescent="0.2">
      <c r="A107" s="97"/>
      <c r="B107" s="97"/>
      <c r="C107" s="97"/>
      <c r="D107" s="97"/>
      <c r="E107" s="97"/>
      <c r="F107" s="97"/>
      <c r="G107" s="1"/>
      <c r="H107" s="1"/>
      <c r="I107" s="1"/>
      <c r="J107" s="2"/>
      <c r="K107" s="1"/>
      <c r="L107" s="3"/>
      <c r="M107" s="1"/>
      <c r="AP107" s="1"/>
      <c r="AQ107" s="1"/>
      <c r="AR107" s="1"/>
      <c r="AS107" s="1"/>
      <c r="AT107" s="1"/>
    </row>
    <row r="108" spans="1:46" s="18" customFormat="1" x14ac:dyDescent="0.2">
      <c r="A108" s="97"/>
      <c r="B108" s="97"/>
      <c r="C108" s="97"/>
      <c r="D108" s="97"/>
      <c r="E108" s="97"/>
      <c r="F108" s="97"/>
      <c r="G108" s="1"/>
      <c r="H108" s="1"/>
      <c r="I108" s="1"/>
      <c r="J108" s="2"/>
      <c r="K108" s="1"/>
      <c r="L108" s="3"/>
      <c r="M108" s="1"/>
      <c r="AP108" s="1"/>
      <c r="AQ108" s="1"/>
      <c r="AR108" s="1"/>
      <c r="AS108" s="1"/>
      <c r="AT108" s="1"/>
    </row>
    <row r="109" spans="1:46" s="18" customFormat="1" x14ac:dyDescent="0.2">
      <c r="A109" s="97"/>
      <c r="B109" s="97"/>
      <c r="C109" s="97"/>
      <c r="D109" s="97"/>
      <c r="E109" s="97"/>
      <c r="F109" s="97"/>
      <c r="G109" s="1"/>
      <c r="H109" s="1"/>
      <c r="I109" s="1"/>
      <c r="J109" s="2"/>
      <c r="K109" s="1"/>
      <c r="L109" s="3"/>
      <c r="M109" s="1"/>
      <c r="AP109" s="1"/>
      <c r="AQ109" s="1"/>
      <c r="AR109" s="1"/>
      <c r="AS109" s="1"/>
      <c r="AT109" s="1"/>
    </row>
    <row r="110" spans="1:46" s="18" customFormat="1" x14ac:dyDescent="0.2">
      <c r="A110" s="97"/>
      <c r="B110" s="97"/>
      <c r="C110" s="97"/>
      <c r="D110" s="97"/>
      <c r="E110" s="97"/>
      <c r="F110" s="97"/>
      <c r="G110" s="1"/>
      <c r="H110" s="1"/>
      <c r="I110" s="1"/>
      <c r="J110" s="2"/>
      <c r="K110" s="1"/>
      <c r="L110" s="3"/>
      <c r="M110" s="1"/>
      <c r="AP110" s="1"/>
      <c r="AQ110" s="1"/>
      <c r="AR110" s="1"/>
      <c r="AS110" s="1"/>
      <c r="AT110" s="1"/>
    </row>
    <row r="111" spans="1:46" s="18" customFormat="1" x14ac:dyDescent="0.2">
      <c r="A111" s="97"/>
      <c r="B111" s="97"/>
      <c r="C111" s="97"/>
      <c r="D111" s="97"/>
      <c r="E111" s="97"/>
      <c r="F111" s="97"/>
      <c r="G111" s="1"/>
      <c r="H111" s="1"/>
      <c r="I111" s="1"/>
      <c r="J111" s="2"/>
      <c r="K111" s="1"/>
      <c r="L111" s="3"/>
      <c r="M111" s="1"/>
      <c r="AP111" s="1"/>
      <c r="AQ111" s="1"/>
      <c r="AR111" s="1"/>
      <c r="AS111" s="1"/>
      <c r="AT111" s="1"/>
    </row>
    <row r="112" spans="1:46" s="18" customFormat="1" x14ac:dyDescent="0.2">
      <c r="A112" s="97"/>
      <c r="B112" s="97"/>
      <c r="C112" s="97"/>
      <c r="D112" s="97"/>
      <c r="E112" s="97"/>
      <c r="F112" s="97"/>
      <c r="G112" s="1"/>
      <c r="H112" s="1"/>
      <c r="I112" s="1"/>
      <c r="J112" s="2"/>
      <c r="K112" s="1"/>
      <c r="L112" s="3"/>
      <c r="M112" s="1"/>
      <c r="AP112" s="1"/>
      <c r="AQ112" s="1"/>
      <c r="AR112" s="1"/>
      <c r="AS112" s="1"/>
      <c r="AT112" s="1"/>
    </row>
    <row r="113" spans="1:46" s="18" customFormat="1" x14ac:dyDescent="0.2">
      <c r="A113" s="97"/>
      <c r="B113" s="97"/>
      <c r="C113" s="97"/>
      <c r="D113" s="97"/>
      <c r="E113" s="97"/>
      <c r="F113" s="97"/>
      <c r="G113" s="1"/>
      <c r="H113" s="1"/>
      <c r="I113" s="1"/>
      <c r="J113" s="2"/>
      <c r="K113" s="1"/>
      <c r="L113" s="3"/>
      <c r="M113" s="1"/>
      <c r="AP113" s="1"/>
      <c r="AQ113" s="1"/>
      <c r="AR113" s="1"/>
      <c r="AS113" s="1"/>
      <c r="AT113" s="1"/>
    </row>
    <row r="114" spans="1:46" s="18" customFormat="1" x14ac:dyDescent="0.2">
      <c r="A114" s="97"/>
      <c r="B114" s="97"/>
      <c r="C114" s="97"/>
      <c r="D114" s="97"/>
      <c r="E114" s="97"/>
      <c r="F114" s="97"/>
      <c r="G114" s="1"/>
      <c r="H114" s="1"/>
      <c r="I114" s="1"/>
      <c r="J114" s="2"/>
      <c r="K114" s="1"/>
      <c r="L114" s="3"/>
      <c r="M114" s="1"/>
      <c r="AP114" s="1"/>
      <c r="AQ114" s="1"/>
      <c r="AR114" s="1"/>
      <c r="AS114" s="1"/>
      <c r="AT114" s="1"/>
    </row>
    <row r="115" spans="1:46" s="18" customFormat="1" x14ac:dyDescent="0.2">
      <c r="A115" s="97"/>
      <c r="B115" s="97"/>
      <c r="C115" s="97"/>
      <c r="D115" s="97"/>
      <c r="E115" s="97"/>
      <c r="F115" s="97"/>
      <c r="G115" s="1"/>
      <c r="H115" s="1"/>
      <c r="I115" s="1"/>
      <c r="J115" s="2"/>
      <c r="K115" s="1"/>
      <c r="L115" s="3"/>
      <c r="M115" s="1"/>
      <c r="AP115" s="1"/>
      <c r="AQ115" s="1"/>
      <c r="AR115" s="1"/>
      <c r="AS115" s="1"/>
      <c r="AT115" s="1"/>
    </row>
    <row r="116" spans="1:46" s="18" customFormat="1" x14ac:dyDescent="0.2">
      <c r="A116" s="97"/>
      <c r="B116" s="97"/>
      <c r="C116" s="97"/>
      <c r="D116" s="97"/>
      <c r="E116" s="97"/>
      <c r="F116" s="97"/>
      <c r="G116" s="1"/>
      <c r="H116" s="1"/>
      <c r="I116" s="1"/>
      <c r="J116" s="2"/>
      <c r="K116" s="1"/>
      <c r="L116" s="3"/>
      <c r="M116" s="1"/>
      <c r="AP116" s="1"/>
      <c r="AQ116" s="1"/>
      <c r="AR116" s="1"/>
      <c r="AS116" s="1"/>
      <c r="AT116" s="1"/>
    </row>
    <row r="117" spans="1:46" s="18" customFormat="1" x14ac:dyDescent="0.2">
      <c r="A117" s="97"/>
      <c r="B117" s="97"/>
      <c r="C117" s="97"/>
      <c r="D117" s="97"/>
      <c r="E117" s="97"/>
      <c r="F117" s="97"/>
      <c r="G117" s="1"/>
      <c r="H117" s="1"/>
      <c r="I117" s="1"/>
      <c r="J117" s="2"/>
      <c r="K117" s="1"/>
      <c r="L117" s="3"/>
      <c r="M117" s="1"/>
      <c r="AP117" s="1"/>
      <c r="AQ117" s="1"/>
      <c r="AR117" s="1"/>
      <c r="AS117" s="1"/>
      <c r="AT117" s="1"/>
    </row>
    <row r="118" spans="1:46" s="18" customFormat="1" x14ac:dyDescent="0.2">
      <c r="A118" s="97"/>
      <c r="B118" s="97"/>
      <c r="C118" s="97"/>
      <c r="D118" s="97"/>
      <c r="E118" s="97"/>
      <c r="F118" s="97"/>
      <c r="G118" s="1"/>
      <c r="H118" s="1"/>
      <c r="I118" s="1"/>
      <c r="J118" s="2"/>
      <c r="K118" s="1"/>
      <c r="L118" s="3"/>
      <c r="M118" s="1"/>
      <c r="AP118" s="1"/>
      <c r="AQ118" s="1"/>
      <c r="AR118" s="1"/>
      <c r="AS118" s="1"/>
      <c r="AT118" s="1"/>
    </row>
    <row r="119" spans="1:46" s="18" customFormat="1" x14ac:dyDescent="0.2">
      <c r="A119" s="97"/>
      <c r="B119" s="97"/>
      <c r="C119" s="97"/>
      <c r="D119" s="97"/>
      <c r="E119" s="97"/>
      <c r="F119" s="97"/>
      <c r="G119" s="1"/>
      <c r="H119" s="1"/>
      <c r="I119" s="1"/>
      <c r="J119" s="2"/>
      <c r="K119" s="1"/>
      <c r="L119" s="3"/>
      <c r="M119" s="1"/>
      <c r="AP119" s="1"/>
      <c r="AQ119" s="1"/>
      <c r="AR119" s="1"/>
      <c r="AS119" s="1"/>
      <c r="AT119" s="1"/>
    </row>
    <row r="120" spans="1:46" s="18" customFormat="1" x14ac:dyDescent="0.2">
      <c r="A120" s="97"/>
      <c r="B120" s="97"/>
      <c r="C120" s="97"/>
      <c r="D120" s="97"/>
      <c r="E120" s="97"/>
      <c r="F120" s="97"/>
      <c r="G120" s="1"/>
      <c r="H120" s="1"/>
      <c r="I120" s="1"/>
      <c r="J120" s="2"/>
      <c r="K120" s="1"/>
      <c r="L120" s="3"/>
      <c r="M120" s="1"/>
      <c r="AP120" s="1"/>
      <c r="AQ120" s="1"/>
      <c r="AR120" s="1"/>
      <c r="AS120" s="1"/>
      <c r="AT120" s="1"/>
    </row>
    <row r="121" spans="1:46" s="18" customFormat="1" x14ac:dyDescent="0.2">
      <c r="A121" s="97"/>
      <c r="B121" s="97"/>
      <c r="C121" s="97"/>
      <c r="D121" s="97"/>
      <c r="E121" s="97"/>
      <c r="F121" s="97"/>
      <c r="G121" s="1"/>
      <c r="H121" s="1"/>
      <c r="I121" s="1"/>
      <c r="J121" s="2"/>
      <c r="K121" s="1"/>
      <c r="L121" s="3"/>
      <c r="M121" s="1"/>
      <c r="AP121" s="1"/>
      <c r="AQ121" s="1"/>
      <c r="AR121" s="1"/>
      <c r="AS121" s="1"/>
      <c r="AT121" s="1"/>
    </row>
    <row r="122" spans="1:46" s="18" customFormat="1" x14ac:dyDescent="0.2">
      <c r="A122" s="97"/>
      <c r="B122" s="97"/>
      <c r="C122" s="97"/>
      <c r="D122" s="97"/>
      <c r="E122" s="97"/>
      <c r="F122" s="97"/>
      <c r="G122" s="1"/>
      <c r="H122" s="1"/>
      <c r="I122" s="1"/>
      <c r="J122" s="2"/>
      <c r="K122" s="1"/>
      <c r="L122" s="3"/>
      <c r="M122" s="1"/>
      <c r="AP122" s="1"/>
      <c r="AQ122" s="1"/>
      <c r="AR122" s="1"/>
      <c r="AS122" s="1"/>
      <c r="AT122" s="1"/>
    </row>
    <row r="123" spans="1:46" s="18" customFormat="1" x14ac:dyDescent="0.2">
      <c r="A123" s="97"/>
      <c r="B123" s="97"/>
      <c r="C123" s="97"/>
      <c r="D123" s="97"/>
      <c r="E123" s="97"/>
      <c r="F123" s="97"/>
      <c r="G123" s="1"/>
      <c r="H123" s="1"/>
      <c r="I123" s="1"/>
      <c r="J123" s="2"/>
      <c r="K123" s="1"/>
      <c r="L123" s="3"/>
      <c r="M123" s="1"/>
      <c r="AP123" s="1"/>
      <c r="AQ123" s="1"/>
      <c r="AR123" s="1"/>
      <c r="AS123" s="1"/>
      <c r="AT123" s="1"/>
    </row>
    <row r="124" spans="1:46" s="18" customFormat="1" x14ac:dyDescent="0.2">
      <c r="A124" s="97"/>
      <c r="B124" s="97"/>
      <c r="C124" s="97"/>
      <c r="D124" s="97"/>
      <c r="E124" s="97"/>
      <c r="F124" s="97"/>
      <c r="G124" s="1"/>
      <c r="H124" s="1"/>
      <c r="I124" s="1"/>
      <c r="J124" s="2"/>
      <c r="K124" s="1"/>
      <c r="L124" s="3"/>
      <c r="M124" s="1"/>
      <c r="AP124" s="1"/>
      <c r="AQ124" s="1"/>
      <c r="AR124" s="1"/>
      <c r="AS124" s="1"/>
      <c r="AT124" s="1"/>
    </row>
    <row r="125" spans="1:46" s="18" customFormat="1" x14ac:dyDescent="0.2">
      <c r="A125" s="97"/>
      <c r="B125" s="97"/>
      <c r="C125" s="97"/>
      <c r="D125" s="97"/>
      <c r="E125" s="97"/>
      <c r="F125" s="97"/>
      <c r="G125" s="1"/>
      <c r="H125" s="1"/>
      <c r="I125" s="1"/>
      <c r="J125" s="2"/>
      <c r="K125" s="1"/>
      <c r="L125" s="3"/>
      <c r="M125" s="1"/>
      <c r="AP125" s="1"/>
      <c r="AQ125" s="1"/>
      <c r="AR125" s="1"/>
      <c r="AS125" s="1"/>
      <c r="AT125" s="1"/>
    </row>
    <row r="126" spans="1:46" s="18" customFormat="1" x14ac:dyDescent="0.2">
      <c r="A126" s="97"/>
      <c r="B126" s="97"/>
      <c r="C126" s="97"/>
      <c r="D126" s="97"/>
      <c r="E126" s="97"/>
      <c r="F126" s="97"/>
      <c r="G126" s="1"/>
      <c r="H126" s="1"/>
      <c r="I126" s="1"/>
      <c r="J126" s="2"/>
      <c r="K126" s="1"/>
      <c r="L126" s="3"/>
      <c r="M126" s="1"/>
      <c r="AP126" s="1"/>
      <c r="AQ126" s="1"/>
      <c r="AR126" s="1"/>
      <c r="AS126" s="1"/>
      <c r="AT126" s="1"/>
    </row>
    <row r="127" spans="1:46" s="18" customFormat="1" x14ac:dyDescent="0.2">
      <c r="A127" s="97"/>
      <c r="B127" s="97"/>
      <c r="C127" s="97"/>
      <c r="D127" s="97"/>
      <c r="E127" s="97"/>
      <c r="F127" s="97"/>
      <c r="G127" s="1"/>
      <c r="H127" s="1"/>
      <c r="I127" s="1"/>
      <c r="J127" s="2"/>
      <c r="K127" s="1"/>
      <c r="L127" s="3"/>
      <c r="M127" s="1"/>
      <c r="AP127" s="1"/>
      <c r="AQ127" s="1"/>
      <c r="AR127" s="1"/>
      <c r="AS127" s="1"/>
      <c r="AT127" s="1"/>
    </row>
    <row r="128" spans="1:46" s="18" customFormat="1" x14ac:dyDescent="0.2">
      <c r="A128" s="97"/>
      <c r="B128" s="97"/>
      <c r="C128" s="97"/>
      <c r="D128" s="97"/>
      <c r="E128" s="97"/>
      <c r="F128" s="97"/>
      <c r="G128" s="1"/>
      <c r="H128" s="1"/>
      <c r="I128" s="1"/>
      <c r="J128" s="2"/>
      <c r="K128" s="1"/>
      <c r="L128" s="3"/>
      <c r="M128" s="1"/>
      <c r="AP128" s="1"/>
      <c r="AQ128" s="1"/>
      <c r="AR128" s="1"/>
      <c r="AS128" s="1"/>
      <c r="AT128" s="1"/>
    </row>
    <row r="129" spans="1:46" s="18" customFormat="1" x14ac:dyDescent="0.2">
      <c r="A129" s="97"/>
      <c r="B129" s="97"/>
      <c r="C129" s="97"/>
      <c r="D129" s="97"/>
      <c r="E129" s="97"/>
      <c r="F129" s="97"/>
      <c r="G129" s="1"/>
      <c r="H129" s="1"/>
      <c r="I129" s="1"/>
      <c r="J129" s="2"/>
      <c r="K129" s="1"/>
      <c r="L129" s="3"/>
      <c r="M129" s="1"/>
      <c r="AP129" s="1"/>
      <c r="AQ129" s="1"/>
      <c r="AR129" s="1"/>
      <c r="AS129" s="1"/>
      <c r="AT129" s="1"/>
    </row>
    <row r="130" spans="1:46" s="18" customFormat="1" x14ac:dyDescent="0.2">
      <c r="A130" s="97"/>
      <c r="B130" s="97"/>
      <c r="C130" s="97"/>
      <c r="D130" s="97"/>
      <c r="E130" s="97"/>
      <c r="F130" s="97"/>
      <c r="G130" s="1"/>
      <c r="H130" s="1"/>
      <c r="I130" s="1"/>
      <c r="J130" s="2"/>
      <c r="K130" s="1"/>
      <c r="L130" s="3"/>
      <c r="M130" s="1"/>
      <c r="AP130" s="1"/>
      <c r="AQ130" s="1"/>
      <c r="AR130" s="1"/>
      <c r="AS130" s="1"/>
      <c r="AT130" s="1"/>
    </row>
    <row r="131" spans="1:46" s="18" customFormat="1" x14ac:dyDescent="0.2">
      <c r="A131" s="97"/>
      <c r="B131" s="97"/>
      <c r="C131" s="97"/>
      <c r="D131" s="97"/>
      <c r="E131" s="97"/>
      <c r="F131" s="97"/>
      <c r="G131" s="1"/>
      <c r="H131" s="1"/>
      <c r="I131" s="1"/>
      <c r="J131" s="2"/>
      <c r="K131" s="1"/>
      <c r="L131" s="3"/>
      <c r="M131" s="1"/>
      <c r="AP131" s="1"/>
      <c r="AQ131" s="1"/>
      <c r="AR131" s="1"/>
      <c r="AS131" s="1"/>
      <c r="AT131" s="1"/>
    </row>
    <row r="132" spans="1:46" s="18" customFormat="1" x14ac:dyDescent="0.2">
      <c r="A132" s="97"/>
      <c r="B132" s="97"/>
      <c r="C132" s="97"/>
      <c r="D132" s="97"/>
      <c r="E132" s="97"/>
      <c r="F132" s="97"/>
      <c r="G132" s="1"/>
      <c r="H132" s="1"/>
      <c r="I132" s="1"/>
      <c r="J132" s="2"/>
      <c r="K132" s="1"/>
      <c r="L132" s="3"/>
      <c r="M132" s="1"/>
      <c r="AP132" s="1"/>
      <c r="AQ132" s="1"/>
      <c r="AR132" s="1"/>
      <c r="AS132" s="1"/>
      <c r="AT132" s="1"/>
    </row>
    <row r="133" spans="1:46" s="18" customFormat="1" x14ac:dyDescent="0.2">
      <c r="A133" s="97"/>
      <c r="B133" s="97"/>
      <c r="C133" s="97"/>
      <c r="D133" s="97"/>
      <c r="E133" s="97"/>
      <c r="F133" s="97"/>
      <c r="G133" s="1"/>
      <c r="H133" s="1"/>
      <c r="I133" s="1"/>
      <c r="J133" s="2"/>
      <c r="K133" s="1"/>
      <c r="L133" s="3"/>
      <c r="M133" s="1"/>
      <c r="AP133" s="1"/>
      <c r="AQ133" s="1"/>
      <c r="AR133" s="1"/>
      <c r="AS133" s="1"/>
      <c r="AT133" s="1"/>
    </row>
    <row r="134" spans="1:46" s="18" customFormat="1" x14ac:dyDescent="0.2">
      <c r="A134" s="97"/>
      <c r="B134" s="97"/>
      <c r="C134" s="97"/>
      <c r="D134" s="97"/>
      <c r="E134" s="97"/>
      <c r="F134" s="97"/>
      <c r="G134" s="1"/>
      <c r="H134" s="1"/>
      <c r="I134" s="1"/>
      <c r="J134" s="2"/>
      <c r="K134" s="1"/>
      <c r="L134" s="3"/>
      <c r="M134" s="1"/>
      <c r="AP134" s="1"/>
      <c r="AQ134" s="1"/>
      <c r="AR134" s="1"/>
      <c r="AS134" s="1"/>
      <c r="AT134" s="1"/>
    </row>
    <row r="135" spans="1:46" s="18" customFormat="1" x14ac:dyDescent="0.2">
      <c r="A135" s="97"/>
      <c r="B135" s="97"/>
      <c r="C135" s="97"/>
      <c r="D135" s="97"/>
      <c r="E135" s="97"/>
      <c r="F135" s="97"/>
      <c r="G135" s="1"/>
      <c r="H135" s="1"/>
      <c r="I135" s="1"/>
      <c r="J135" s="2"/>
      <c r="K135" s="1"/>
      <c r="L135" s="3"/>
      <c r="M135" s="1"/>
      <c r="AP135" s="1"/>
      <c r="AQ135" s="1"/>
      <c r="AR135" s="1"/>
      <c r="AS135" s="1"/>
      <c r="AT135" s="1"/>
    </row>
    <row r="136" spans="1:46" s="18" customFormat="1" x14ac:dyDescent="0.2">
      <c r="A136" s="97"/>
      <c r="B136" s="97"/>
      <c r="C136" s="97"/>
      <c r="D136" s="97"/>
      <c r="E136" s="97"/>
      <c r="F136" s="97"/>
      <c r="G136" s="1"/>
      <c r="H136" s="1"/>
      <c r="I136" s="1"/>
      <c r="J136" s="2"/>
      <c r="K136" s="1"/>
      <c r="L136" s="3"/>
      <c r="M136" s="1"/>
      <c r="AP136" s="1"/>
      <c r="AQ136" s="1"/>
      <c r="AR136" s="1"/>
      <c r="AS136" s="1"/>
      <c r="AT136" s="1"/>
    </row>
    <row r="137" spans="1:46" s="18" customFormat="1" x14ac:dyDescent="0.2">
      <c r="A137" s="97"/>
      <c r="B137" s="97"/>
      <c r="C137" s="97"/>
      <c r="D137" s="97"/>
      <c r="E137" s="97"/>
      <c r="F137" s="97"/>
      <c r="G137" s="1"/>
      <c r="H137" s="1"/>
      <c r="I137" s="1"/>
      <c r="J137" s="2"/>
      <c r="K137" s="1"/>
      <c r="L137" s="3"/>
      <c r="M137" s="1"/>
      <c r="AP137" s="1"/>
      <c r="AQ137" s="1"/>
      <c r="AR137" s="1"/>
      <c r="AS137" s="1"/>
      <c r="AT137" s="1"/>
    </row>
    <row r="138" spans="1:46" s="18" customFormat="1" x14ac:dyDescent="0.2">
      <c r="A138" s="97"/>
      <c r="B138" s="97"/>
      <c r="C138" s="97"/>
      <c r="D138" s="97"/>
      <c r="E138" s="97"/>
      <c r="F138" s="97"/>
      <c r="G138" s="1"/>
      <c r="H138" s="1"/>
      <c r="I138" s="1"/>
      <c r="J138" s="2"/>
      <c r="K138" s="1"/>
      <c r="L138" s="3"/>
      <c r="M138" s="1"/>
      <c r="AP138" s="1"/>
      <c r="AQ138" s="1"/>
      <c r="AR138" s="1"/>
      <c r="AS138" s="1"/>
      <c r="AT138" s="1"/>
    </row>
    <row r="139" spans="1:46" s="18" customFormat="1" x14ac:dyDescent="0.2">
      <c r="A139" s="97"/>
      <c r="B139" s="97"/>
      <c r="C139" s="97"/>
      <c r="D139" s="97"/>
      <c r="E139" s="97"/>
      <c r="F139" s="97"/>
      <c r="G139" s="1"/>
      <c r="H139" s="1"/>
      <c r="I139" s="1"/>
      <c r="J139" s="2"/>
      <c r="K139" s="1"/>
      <c r="L139" s="3"/>
      <c r="M139" s="1"/>
      <c r="AP139" s="1"/>
      <c r="AQ139" s="1"/>
      <c r="AR139" s="1"/>
      <c r="AS139" s="1"/>
      <c r="AT139" s="1"/>
    </row>
    <row r="140" spans="1:46" s="18" customFormat="1" x14ac:dyDescent="0.2">
      <c r="A140" s="97"/>
      <c r="B140" s="97"/>
      <c r="C140" s="97"/>
      <c r="D140" s="97"/>
      <c r="E140" s="97"/>
      <c r="F140" s="97"/>
      <c r="G140" s="1"/>
      <c r="H140" s="1"/>
      <c r="I140" s="1"/>
      <c r="J140" s="2"/>
      <c r="K140" s="1"/>
      <c r="L140" s="3"/>
      <c r="M140" s="1"/>
      <c r="AP140" s="1"/>
      <c r="AQ140" s="1"/>
      <c r="AR140" s="1"/>
      <c r="AS140" s="1"/>
      <c r="AT140" s="1"/>
    </row>
    <row r="141" spans="1:46" s="18" customFormat="1" x14ac:dyDescent="0.2">
      <c r="A141" s="97"/>
      <c r="B141" s="97"/>
      <c r="C141" s="97"/>
      <c r="D141" s="97"/>
      <c r="E141" s="97"/>
      <c r="F141" s="97"/>
      <c r="G141" s="1"/>
      <c r="H141" s="1"/>
      <c r="I141" s="1"/>
      <c r="J141" s="2"/>
      <c r="K141" s="1"/>
      <c r="L141" s="3"/>
      <c r="M141" s="1"/>
      <c r="AP141" s="1"/>
      <c r="AQ141" s="1"/>
      <c r="AR141" s="1"/>
      <c r="AS141" s="1"/>
      <c r="AT141" s="1"/>
    </row>
    <row r="142" spans="1:46" s="18" customFormat="1" x14ac:dyDescent="0.2">
      <c r="A142" s="97"/>
      <c r="B142" s="97"/>
      <c r="C142" s="97"/>
      <c r="D142" s="97"/>
      <c r="E142" s="97"/>
      <c r="F142" s="97"/>
      <c r="G142" s="1"/>
      <c r="H142" s="1"/>
      <c r="I142" s="1"/>
      <c r="J142" s="2"/>
      <c r="K142" s="1"/>
      <c r="L142" s="3"/>
      <c r="M142" s="1"/>
      <c r="AP142" s="1"/>
      <c r="AQ142" s="1"/>
      <c r="AR142" s="1"/>
      <c r="AS142" s="1"/>
      <c r="AT142" s="1"/>
    </row>
    <row r="143" spans="1:46" s="18" customFormat="1" x14ac:dyDescent="0.2">
      <c r="A143" s="97"/>
      <c r="B143" s="97"/>
      <c r="C143" s="97"/>
      <c r="D143" s="97"/>
      <c r="E143" s="97"/>
      <c r="F143" s="97"/>
      <c r="G143" s="1"/>
      <c r="H143" s="1"/>
      <c r="I143" s="1"/>
      <c r="J143" s="2"/>
      <c r="K143" s="1"/>
      <c r="L143" s="3"/>
      <c r="M143" s="1"/>
      <c r="AP143" s="1"/>
      <c r="AQ143" s="1"/>
      <c r="AR143" s="1"/>
      <c r="AS143" s="1"/>
      <c r="AT143" s="1"/>
    </row>
    <row r="144" spans="1:46" s="18" customFormat="1" x14ac:dyDescent="0.2">
      <c r="A144" s="97"/>
      <c r="B144" s="97"/>
      <c r="C144" s="97"/>
      <c r="D144" s="97"/>
      <c r="E144" s="97"/>
      <c r="F144" s="97"/>
      <c r="G144" s="1"/>
      <c r="H144" s="1"/>
      <c r="I144" s="1"/>
      <c r="J144" s="2"/>
      <c r="K144" s="1"/>
      <c r="L144" s="3"/>
      <c r="M144" s="1"/>
      <c r="AP144" s="1"/>
      <c r="AQ144" s="1"/>
      <c r="AR144" s="1"/>
      <c r="AS144" s="1"/>
      <c r="AT144" s="1"/>
    </row>
    <row r="145" spans="1:46" s="18" customFormat="1" x14ac:dyDescent="0.2">
      <c r="A145" s="97"/>
      <c r="B145" s="97"/>
      <c r="C145" s="97"/>
      <c r="D145" s="97"/>
      <c r="E145"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97"/>
      <c r="G146" s="1"/>
      <c r="H146" s="1"/>
      <c r="I146" s="1"/>
      <c r="J146" s="2"/>
      <c r="K146" s="1"/>
      <c r="L146" s="3"/>
      <c r="M146" s="1"/>
      <c r="AP146" s="1"/>
      <c r="AQ146" s="1"/>
      <c r="AR146" s="1"/>
      <c r="AS146" s="1"/>
      <c r="AT146" s="1"/>
    </row>
    <row r="147" spans="1:46" s="18" customFormat="1" x14ac:dyDescent="0.2">
      <c r="A147" s="97"/>
      <c r="B147" s="97"/>
      <c r="C147" s="97"/>
      <c r="D147" s="97"/>
      <c r="E147" s="97"/>
      <c r="F147" s="97"/>
      <c r="G147" s="1"/>
      <c r="H147" s="1"/>
      <c r="I147" s="1"/>
      <c r="J147" s="2"/>
      <c r="K147" s="1"/>
      <c r="L147" s="3"/>
      <c r="M147" s="1"/>
      <c r="AP147" s="1"/>
      <c r="AQ147" s="1"/>
      <c r="AR147" s="1"/>
      <c r="AS147" s="1"/>
      <c r="AT147" s="1"/>
    </row>
    <row r="148" spans="1:46" s="18" customFormat="1" x14ac:dyDescent="0.2">
      <c r="A148" s="97"/>
      <c r="B148" s="97"/>
      <c r="C148" s="97"/>
      <c r="D148" s="97"/>
      <c r="E148" s="97"/>
      <c r="F148" s="97"/>
      <c r="G148" s="1"/>
      <c r="H148" s="1"/>
      <c r="I148" s="1"/>
      <c r="J148" s="2"/>
      <c r="K148" s="1"/>
      <c r="L148" s="3"/>
      <c r="M148" s="1"/>
      <c r="AP148" s="1"/>
      <c r="AQ148" s="1"/>
      <c r="AR148" s="1"/>
      <c r="AS148" s="1"/>
      <c r="AT148" s="1"/>
    </row>
    <row r="149" spans="1:46" s="18" customFormat="1" x14ac:dyDescent="0.2">
      <c r="A149" s="97"/>
      <c r="B149" s="97"/>
      <c r="C149" s="97"/>
      <c r="D149" s="97"/>
      <c r="E149" s="97"/>
      <c r="F149" s="97"/>
      <c r="G149" s="1"/>
      <c r="H149" s="1"/>
      <c r="I149" s="1"/>
      <c r="J149" s="2"/>
      <c r="K149" s="1"/>
      <c r="L149" s="3"/>
      <c r="M149" s="1"/>
      <c r="AP149" s="1"/>
      <c r="AQ149" s="1"/>
      <c r="AR149" s="1"/>
      <c r="AS149" s="1"/>
      <c r="AT149" s="1"/>
    </row>
    <row r="150" spans="1:46" s="18" customFormat="1" x14ac:dyDescent="0.2">
      <c r="A150" s="97"/>
      <c r="B150" s="97"/>
      <c r="C150" s="97"/>
      <c r="D150" s="97"/>
      <c r="E150" s="97"/>
      <c r="F150" s="97"/>
      <c r="G150" s="1"/>
      <c r="H150" s="1"/>
      <c r="I150" s="1"/>
      <c r="J150" s="2"/>
      <c r="K150" s="1"/>
      <c r="L150" s="3"/>
      <c r="M150" s="1"/>
      <c r="AP150" s="1"/>
      <c r="AQ150" s="1"/>
      <c r="AR150" s="1"/>
      <c r="AS150" s="1"/>
      <c r="AT150" s="1"/>
    </row>
    <row r="151" spans="1:46" s="18" customFormat="1" x14ac:dyDescent="0.2">
      <c r="A151" s="97"/>
      <c r="B151" s="97"/>
      <c r="C151" s="97"/>
      <c r="D151" s="97"/>
      <c r="E151" s="97"/>
      <c r="F151" s="97"/>
      <c r="G151" s="1"/>
      <c r="H151" s="1"/>
      <c r="I151" s="1"/>
      <c r="J151" s="2"/>
      <c r="K151" s="1"/>
      <c r="L151" s="3"/>
      <c r="M151" s="1"/>
      <c r="AP151" s="1"/>
      <c r="AQ151" s="1"/>
      <c r="AR151" s="1"/>
      <c r="AS151" s="1"/>
      <c r="AT151" s="1"/>
    </row>
    <row r="152" spans="1:46" s="18" customFormat="1" x14ac:dyDescent="0.2">
      <c r="A152" s="97"/>
      <c r="B152" s="97"/>
      <c r="C152" s="97"/>
      <c r="D152" s="97"/>
      <c r="E152" s="97"/>
      <c r="F152" s="97"/>
      <c r="G152" s="1"/>
      <c r="H152" s="1"/>
      <c r="I152" s="1"/>
      <c r="J152" s="2"/>
      <c r="K152" s="1"/>
      <c r="L152" s="3"/>
      <c r="M152" s="1"/>
      <c r="AP152" s="1"/>
      <c r="AQ152" s="1"/>
      <c r="AR152" s="1"/>
      <c r="AS152" s="1"/>
      <c r="AT152" s="1"/>
    </row>
    <row r="153" spans="1:46" s="18" customFormat="1" x14ac:dyDescent="0.2">
      <c r="A153" s="97"/>
      <c r="B153" s="97"/>
      <c r="C153" s="97"/>
      <c r="D153" s="97"/>
      <c r="E153" s="97"/>
      <c r="F153" s="97"/>
      <c r="G153" s="1"/>
      <c r="H153" s="1"/>
      <c r="I153" s="1"/>
      <c r="J153" s="2"/>
      <c r="K153" s="1"/>
      <c r="L153" s="3"/>
      <c r="M153" s="1"/>
      <c r="AP153" s="1"/>
      <c r="AQ153" s="1"/>
      <c r="AR153" s="1"/>
      <c r="AS153" s="1"/>
      <c r="AT153" s="1"/>
    </row>
    <row r="154" spans="1:46" s="18" customFormat="1" x14ac:dyDescent="0.2">
      <c r="A154" s="97"/>
      <c r="B154" s="97"/>
      <c r="C154" s="97"/>
      <c r="D154" s="97"/>
      <c r="E154" s="97"/>
      <c r="F154" s="97"/>
      <c r="G154" s="1"/>
      <c r="H154" s="1"/>
      <c r="I154" s="1"/>
      <c r="J154" s="2"/>
      <c r="K154" s="1"/>
      <c r="L154" s="3"/>
      <c r="M154" s="1"/>
      <c r="AP154" s="1"/>
      <c r="AQ154" s="1"/>
      <c r="AR154" s="1"/>
      <c r="AS154" s="1"/>
      <c r="AT154" s="1"/>
    </row>
    <row r="155" spans="1:46" s="18" customFormat="1" x14ac:dyDescent="0.2">
      <c r="A155" s="97"/>
      <c r="B155" s="97"/>
      <c r="C155" s="97"/>
      <c r="D155" s="97"/>
      <c r="E155" s="97"/>
      <c r="F155" s="97"/>
      <c r="G155" s="1"/>
      <c r="H155" s="1"/>
      <c r="I155" s="1"/>
      <c r="J155" s="2"/>
      <c r="K155" s="1"/>
      <c r="L155" s="3"/>
      <c r="M155" s="1"/>
      <c r="AP155" s="1"/>
      <c r="AQ155" s="1"/>
      <c r="AR155" s="1"/>
      <c r="AS155" s="1"/>
      <c r="AT155" s="1"/>
    </row>
    <row r="156" spans="1:46" s="18" customFormat="1" x14ac:dyDescent="0.2">
      <c r="A156" s="97"/>
      <c r="B156" s="97"/>
      <c r="C156" s="97"/>
      <c r="D156" s="97"/>
      <c r="E156" s="97"/>
      <c r="F156" s="97"/>
      <c r="G156" s="1"/>
      <c r="H156" s="1"/>
      <c r="I156" s="1"/>
      <c r="J156" s="2"/>
      <c r="K156" s="1"/>
      <c r="L156" s="3"/>
      <c r="M156" s="1"/>
      <c r="AP156" s="1"/>
      <c r="AQ156" s="1"/>
      <c r="AR156" s="1"/>
      <c r="AS156" s="1"/>
      <c r="AT156" s="1"/>
    </row>
    <row r="157" spans="1:46" s="18" customFormat="1" x14ac:dyDescent="0.2">
      <c r="A157" s="97"/>
      <c r="B157" s="97"/>
      <c r="C157" s="97"/>
      <c r="D157" s="97"/>
      <c r="E157" s="97"/>
      <c r="F157" s="97"/>
      <c r="G157" s="1"/>
      <c r="H157" s="1"/>
      <c r="I157" s="1"/>
      <c r="J157" s="2"/>
      <c r="K157" s="1"/>
      <c r="L157" s="3"/>
      <c r="M157" s="1"/>
      <c r="AP157" s="1"/>
      <c r="AQ157" s="1"/>
      <c r="AR157" s="1"/>
      <c r="AS157" s="1"/>
      <c r="AT157" s="1"/>
    </row>
    <row r="158" spans="1:46" s="18" customFormat="1" x14ac:dyDescent="0.2">
      <c r="A158" s="97"/>
      <c r="B158" s="97"/>
      <c r="C158" s="97"/>
      <c r="D158" s="97"/>
      <c r="E158" s="97"/>
      <c r="F158" s="97"/>
      <c r="G158" s="1"/>
      <c r="H158" s="1"/>
      <c r="I158" s="1"/>
      <c r="J158" s="2"/>
      <c r="K158" s="1"/>
      <c r="L158" s="3"/>
      <c r="M158" s="1"/>
      <c r="AP158" s="1"/>
      <c r="AQ158" s="1"/>
      <c r="AR158" s="1"/>
      <c r="AS158" s="1"/>
      <c r="AT158" s="1"/>
    </row>
    <row r="159" spans="1:46" s="18" customFormat="1" x14ac:dyDescent="0.2">
      <c r="A159" s="97"/>
      <c r="B159" s="97"/>
      <c r="C159" s="97"/>
      <c r="D159" s="97"/>
      <c r="E159" s="97"/>
      <c r="F159" s="97"/>
      <c r="G159" s="1"/>
      <c r="H159" s="1"/>
      <c r="I159" s="1"/>
      <c r="J159" s="2"/>
      <c r="K159" s="1"/>
      <c r="L159" s="3"/>
      <c r="M159" s="1"/>
      <c r="AP159" s="1"/>
      <c r="AQ159" s="1"/>
      <c r="AR159" s="1"/>
      <c r="AS159" s="1"/>
      <c r="AT159" s="1"/>
    </row>
    <row r="160" spans="1:46" s="18" customFormat="1" x14ac:dyDescent="0.2">
      <c r="A160" s="97"/>
      <c r="B160" s="97"/>
      <c r="C160" s="97"/>
      <c r="D160" s="97"/>
      <c r="E160" s="97"/>
      <c r="F160" s="97"/>
      <c r="G160" s="1"/>
      <c r="H160" s="1"/>
      <c r="I160" s="1"/>
      <c r="J160" s="2"/>
      <c r="K160" s="1"/>
      <c r="L160" s="3"/>
      <c r="M160" s="1"/>
      <c r="AP160" s="1"/>
      <c r="AQ160" s="1"/>
      <c r="AR160" s="1"/>
      <c r="AS160" s="1"/>
      <c r="AT160" s="1"/>
    </row>
    <row r="161" spans="1:46" s="18" customFormat="1" x14ac:dyDescent="0.2">
      <c r="A161" s="97"/>
      <c r="B161" s="97"/>
      <c r="C161" s="97"/>
      <c r="D161" s="97"/>
      <c r="E161" s="97"/>
      <c r="F161" s="97"/>
      <c r="G161" s="1"/>
      <c r="H161" s="1"/>
      <c r="I161" s="1"/>
      <c r="J161" s="2"/>
      <c r="K161" s="1"/>
      <c r="L161" s="3"/>
      <c r="M161" s="1"/>
      <c r="AP161" s="1"/>
      <c r="AQ161" s="1"/>
      <c r="AR161" s="1"/>
      <c r="AS161" s="1"/>
      <c r="AT161" s="1"/>
    </row>
    <row r="162" spans="1:46" s="18" customFormat="1" x14ac:dyDescent="0.2">
      <c r="A162" s="97"/>
      <c r="B162" s="97"/>
      <c r="C162" s="97"/>
      <c r="D162" s="97"/>
      <c r="E162" s="97"/>
      <c r="F162" s="97"/>
      <c r="G162" s="1"/>
      <c r="H162" s="1"/>
      <c r="I162" s="1"/>
      <c r="J162" s="2"/>
      <c r="K162" s="1"/>
      <c r="L162" s="3"/>
      <c r="M162" s="1"/>
      <c r="AP162" s="1"/>
      <c r="AQ162" s="1"/>
      <c r="AR162" s="1"/>
      <c r="AS162" s="1"/>
      <c r="AT162" s="1"/>
    </row>
    <row r="163" spans="1:46" s="18" customFormat="1" x14ac:dyDescent="0.2">
      <c r="A163" s="97"/>
      <c r="B163" s="97"/>
      <c r="C163" s="97"/>
      <c r="D163" s="97"/>
      <c r="E163" s="97"/>
      <c r="F163" s="97"/>
      <c r="G163" s="1"/>
      <c r="H163" s="1"/>
      <c r="I163" s="1"/>
      <c r="J163" s="2"/>
      <c r="K163" s="1"/>
      <c r="L163" s="3"/>
      <c r="M163" s="1"/>
      <c r="AP163" s="1"/>
      <c r="AQ163" s="1"/>
      <c r="AR163" s="1"/>
      <c r="AS163" s="1"/>
      <c r="AT163" s="1"/>
    </row>
    <row r="164" spans="1:46" s="18" customFormat="1" x14ac:dyDescent="0.2">
      <c r="A164" s="97"/>
      <c r="B164" s="97"/>
      <c r="C164" s="97"/>
      <c r="D164" s="97"/>
      <c r="E164" s="97"/>
      <c r="F164" s="97"/>
      <c r="G164" s="1"/>
      <c r="H164" s="1"/>
      <c r="I164" s="1"/>
      <c r="J164" s="2"/>
      <c r="K164" s="1"/>
      <c r="L164" s="3"/>
      <c r="M164" s="1"/>
      <c r="AP164" s="1"/>
      <c r="AQ164" s="1"/>
      <c r="AR164" s="1"/>
      <c r="AS164" s="1"/>
      <c r="AT164" s="1"/>
    </row>
    <row r="165" spans="1:46" s="18" customFormat="1" x14ac:dyDescent="0.2">
      <c r="A165" s="97"/>
      <c r="B165" s="97"/>
      <c r="C165" s="97"/>
      <c r="D165" s="97"/>
      <c r="E165" s="97"/>
      <c r="F165" s="97"/>
      <c r="G165" s="1"/>
      <c r="H165" s="1"/>
      <c r="I165" s="1"/>
      <c r="J165" s="2"/>
      <c r="K165" s="1"/>
      <c r="L165" s="3"/>
      <c r="M165" s="1"/>
      <c r="AP165" s="1"/>
      <c r="AQ165" s="1"/>
      <c r="AR165" s="1"/>
      <c r="AS165" s="1"/>
      <c r="AT165" s="1"/>
    </row>
    <row r="166" spans="1:46" s="18" customFormat="1" x14ac:dyDescent="0.2">
      <c r="A166" s="97"/>
      <c r="B166" s="97"/>
      <c r="C166" s="97"/>
      <c r="D166" s="97"/>
      <c r="E166" s="97"/>
      <c r="F166" s="97"/>
      <c r="G166" s="1"/>
      <c r="H166" s="1"/>
      <c r="I166" s="1"/>
      <c r="J166" s="2"/>
      <c r="K166" s="1"/>
      <c r="L166" s="3"/>
      <c r="M166" s="1"/>
      <c r="AP166" s="1"/>
      <c r="AQ166" s="1"/>
      <c r="AR166" s="1"/>
      <c r="AS166" s="1"/>
      <c r="AT166" s="1"/>
    </row>
    <row r="167" spans="1:46" s="18" customFormat="1" x14ac:dyDescent="0.2">
      <c r="A167" s="97"/>
      <c r="B167" s="97"/>
      <c r="C167" s="97"/>
      <c r="D167" s="97"/>
      <c r="E167" s="97"/>
      <c r="F167" s="97"/>
      <c r="G167" s="1"/>
      <c r="H167" s="1"/>
      <c r="I167" s="1"/>
      <c r="J167" s="2"/>
      <c r="K167" s="1"/>
      <c r="L167" s="3"/>
      <c r="M167" s="1"/>
      <c r="AP167" s="1"/>
      <c r="AQ167" s="1"/>
      <c r="AR167" s="1"/>
      <c r="AS167" s="1"/>
      <c r="AT167" s="1"/>
    </row>
    <row r="168" spans="1:46" s="18" customFormat="1" x14ac:dyDescent="0.2">
      <c r="A168" s="97"/>
      <c r="B168" s="97"/>
      <c r="C168" s="97"/>
      <c r="D168" s="97"/>
      <c r="E168" s="97"/>
      <c r="F168" s="97"/>
      <c r="G168" s="1"/>
      <c r="H168" s="1"/>
      <c r="I168" s="1"/>
      <c r="J168" s="2"/>
      <c r="K168" s="1"/>
      <c r="L168" s="3"/>
      <c r="M168" s="1"/>
      <c r="AP168" s="1"/>
      <c r="AQ168" s="1"/>
      <c r="AR168" s="1"/>
      <c r="AS168" s="1"/>
      <c r="AT168" s="1"/>
    </row>
    <row r="169" spans="1:46" s="18" customFormat="1" x14ac:dyDescent="0.2">
      <c r="A169" s="97"/>
      <c r="B169" s="97"/>
      <c r="C169" s="97"/>
      <c r="D169" s="97"/>
      <c r="E169" s="97"/>
      <c r="F169" s="97"/>
      <c r="G169" s="1"/>
      <c r="H169" s="1"/>
      <c r="I169" s="1"/>
      <c r="J169" s="2"/>
      <c r="K169" s="1"/>
      <c r="L169" s="3"/>
      <c r="M169" s="1"/>
      <c r="AP169" s="1"/>
      <c r="AQ169" s="1"/>
      <c r="AR169" s="1"/>
      <c r="AS169" s="1"/>
      <c r="AT169" s="1"/>
    </row>
    <row r="170" spans="1:46" s="18" customFormat="1" x14ac:dyDescent="0.2">
      <c r="A170" s="97"/>
      <c r="B170" s="97"/>
      <c r="C170" s="97"/>
      <c r="D170" s="97"/>
      <c r="E170" s="97"/>
      <c r="F170" s="97"/>
      <c r="G170" s="1"/>
      <c r="H170" s="1"/>
      <c r="I170" s="1"/>
      <c r="J170" s="2"/>
      <c r="K170" s="1"/>
      <c r="L170" s="3"/>
      <c r="M170" s="1"/>
      <c r="AP170" s="1"/>
      <c r="AQ170" s="1"/>
      <c r="AR170" s="1"/>
      <c r="AS170" s="1"/>
      <c r="AT170" s="1"/>
    </row>
    <row r="171" spans="1:46" s="18" customFormat="1" x14ac:dyDescent="0.2">
      <c r="A171" s="97"/>
      <c r="B171" s="97"/>
      <c r="C171" s="97"/>
      <c r="D171" s="97"/>
      <c r="E171" s="97"/>
      <c r="F171" s="97"/>
      <c r="G171" s="1"/>
      <c r="H171" s="1"/>
      <c r="I171" s="1"/>
      <c r="J171" s="2"/>
      <c r="K171" s="1"/>
      <c r="L171" s="3"/>
      <c r="M171" s="1"/>
      <c r="AP171" s="1"/>
      <c r="AQ171" s="1"/>
      <c r="AR171" s="1"/>
      <c r="AS171" s="1"/>
      <c r="AT171" s="1"/>
    </row>
    <row r="172" spans="1:46" s="18" customFormat="1" x14ac:dyDescent="0.2">
      <c r="A172" s="97"/>
      <c r="B172" s="97"/>
      <c r="C172" s="97"/>
      <c r="D172" s="97"/>
      <c r="E172" s="97"/>
      <c r="F172" s="97"/>
      <c r="G172" s="1"/>
      <c r="H172" s="1"/>
      <c r="I172" s="1"/>
      <c r="J172" s="2"/>
      <c r="K172" s="1"/>
      <c r="L172" s="3"/>
      <c r="M172" s="1"/>
      <c r="AP172" s="1"/>
      <c r="AQ172" s="1"/>
      <c r="AR172" s="1"/>
      <c r="AS172" s="1"/>
      <c r="AT172" s="1"/>
    </row>
    <row r="173" spans="1:46" s="18" customFormat="1" x14ac:dyDescent="0.2">
      <c r="A173" s="97"/>
      <c r="B173" s="97"/>
      <c r="C173" s="97"/>
      <c r="D173" s="97"/>
      <c r="E173" s="97"/>
      <c r="F173" s="97"/>
      <c r="G173" s="1"/>
      <c r="H173" s="1"/>
      <c r="I173" s="1"/>
      <c r="J173" s="2"/>
      <c r="K173" s="1"/>
      <c r="L173" s="3"/>
      <c r="M173" s="1"/>
      <c r="AP173" s="1"/>
      <c r="AQ173" s="1"/>
      <c r="AR173" s="1"/>
      <c r="AS173" s="1"/>
      <c r="AT173" s="1"/>
    </row>
    <row r="174" spans="1:46" s="18" customFormat="1" x14ac:dyDescent="0.2">
      <c r="A174" s="97"/>
      <c r="B174" s="97"/>
      <c r="C174" s="97"/>
      <c r="D174" s="97"/>
      <c r="E174" s="97"/>
      <c r="F174" s="97"/>
      <c r="G174" s="1"/>
      <c r="H174" s="1"/>
      <c r="I174" s="1"/>
      <c r="J174" s="2"/>
      <c r="K174" s="1"/>
      <c r="L174" s="3"/>
      <c r="M174" s="1"/>
      <c r="AP174" s="1"/>
      <c r="AQ174" s="1"/>
      <c r="AR174" s="1"/>
      <c r="AS174" s="1"/>
      <c r="AT174" s="1"/>
    </row>
    <row r="175" spans="1:46" s="18" customFormat="1" x14ac:dyDescent="0.2">
      <c r="A175" s="97"/>
      <c r="B175" s="97"/>
      <c r="C175" s="97"/>
      <c r="D175" s="97"/>
      <c r="E175" s="97"/>
      <c r="F175" s="97"/>
      <c r="G175" s="1"/>
      <c r="H175" s="1"/>
      <c r="I175" s="1"/>
      <c r="J175" s="2"/>
      <c r="K175" s="1"/>
      <c r="L175" s="3"/>
      <c r="M175" s="1"/>
      <c r="AP175" s="1"/>
      <c r="AQ175" s="1"/>
      <c r="AR175" s="1"/>
      <c r="AS175" s="1"/>
      <c r="AT175" s="1"/>
    </row>
    <row r="176" spans="1:46" s="18" customFormat="1" x14ac:dyDescent="0.2">
      <c r="A176" s="97"/>
      <c r="B176" s="97"/>
      <c r="C176" s="97"/>
      <c r="D176" s="97"/>
      <c r="E176" s="97"/>
      <c r="F176" s="97"/>
      <c r="G176" s="1"/>
      <c r="H176" s="1"/>
      <c r="I176" s="1"/>
      <c r="J176" s="2"/>
      <c r="K176" s="1"/>
      <c r="L176" s="3"/>
      <c r="M176" s="1"/>
      <c r="AP176" s="1"/>
      <c r="AQ176" s="1"/>
      <c r="AR176" s="1"/>
      <c r="AS176" s="1"/>
      <c r="AT176" s="1"/>
    </row>
    <row r="177" spans="1:46" s="18" customFormat="1" x14ac:dyDescent="0.2">
      <c r="A177" s="97"/>
      <c r="B177" s="97"/>
      <c r="C177" s="97"/>
      <c r="D177" s="97"/>
      <c r="E177" s="97"/>
      <c r="F177" s="97"/>
      <c r="G177" s="1"/>
      <c r="H177" s="1"/>
      <c r="I177" s="1"/>
      <c r="J177" s="2"/>
      <c r="K177" s="1"/>
      <c r="L177" s="3"/>
      <c r="M177" s="1"/>
      <c r="AP177" s="1"/>
      <c r="AQ177" s="1"/>
      <c r="AR177" s="1"/>
      <c r="AS177" s="1"/>
      <c r="AT177" s="1"/>
    </row>
    <row r="178" spans="1:46" s="18" customFormat="1" x14ac:dyDescent="0.2">
      <c r="A178" s="97"/>
      <c r="B178" s="97"/>
      <c r="C178" s="97"/>
      <c r="D178" s="97"/>
      <c r="E178" s="97"/>
      <c r="F178" s="97"/>
      <c r="G178" s="1"/>
      <c r="H178" s="1"/>
      <c r="I178" s="1"/>
      <c r="J178" s="2"/>
      <c r="K178" s="1"/>
      <c r="L178" s="3"/>
      <c r="M178" s="1"/>
      <c r="AP178" s="1"/>
      <c r="AQ178" s="1"/>
      <c r="AR178" s="1"/>
      <c r="AS178" s="1"/>
      <c r="AT178" s="1"/>
    </row>
    <row r="179" spans="1:46" s="18" customFormat="1" x14ac:dyDescent="0.2">
      <c r="A179" s="97"/>
      <c r="B179" s="97"/>
      <c r="C179" s="97"/>
      <c r="D179" s="97"/>
      <c r="E179" s="97"/>
      <c r="F179" s="97"/>
      <c r="G179" s="1"/>
      <c r="H179" s="1"/>
      <c r="I179" s="1"/>
      <c r="J179" s="2"/>
      <c r="K179" s="1"/>
      <c r="L179" s="3"/>
      <c r="M179" s="1"/>
      <c r="AP179" s="1"/>
      <c r="AQ179" s="1"/>
      <c r="AR179" s="1"/>
      <c r="AS179" s="1"/>
      <c r="AT179" s="1"/>
    </row>
    <row r="180" spans="1:46" s="18" customFormat="1" x14ac:dyDescent="0.2">
      <c r="A180" s="97"/>
      <c r="B180" s="97"/>
      <c r="C180" s="97"/>
      <c r="D180" s="97"/>
      <c r="E180" s="97"/>
      <c r="F180" s="97"/>
      <c r="G180" s="1"/>
      <c r="H180" s="1"/>
      <c r="I180" s="1"/>
      <c r="J180" s="2"/>
      <c r="K180" s="1"/>
      <c r="L180" s="3"/>
      <c r="M180" s="1"/>
      <c r="AP180" s="1"/>
      <c r="AQ180" s="1"/>
      <c r="AR180" s="1"/>
      <c r="AS180" s="1"/>
      <c r="AT180" s="1"/>
    </row>
    <row r="181" spans="1:46" s="18" customFormat="1" x14ac:dyDescent="0.2">
      <c r="A181" s="97"/>
      <c r="B181" s="97"/>
      <c r="C181" s="97"/>
      <c r="D181" s="97"/>
      <c r="E181" s="97"/>
      <c r="F181" s="97"/>
      <c r="G181" s="1"/>
      <c r="H181" s="1"/>
      <c r="I181" s="1"/>
      <c r="J181" s="2"/>
      <c r="K181" s="1"/>
      <c r="L181" s="3"/>
      <c r="M181" s="1"/>
      <c r="AP181" s="1"/>
      <c r="AQ181" s="1"/>
      <c r="AR181" s="1"/>
      <c r="AS181" s="1"/>
      <c r="AT181" s="1"/>
    </row>
    <row r="182" spans="1:46" s="18" customFormat="1" x14ac:dyDescent="0.2">
      <c r="A182" s="97"/>
      <c r="B182" s="97"/>
      <c r="C182" s="97"/>
      <c r="D182" s="97"/>
      <c r="E182" s="97"/>
      <c r="F182" s="97"/>
      <c r="G182" s="1"/>
      <c r="H182" s="1"/>
      <c r="I182" s="1"/>
      <c r="J182" s="2"/>
      <c r="K182" s="1"/>
      <c r="L182" s="3"/>
      <c r="M182" s="1"/>
      <c r="AP182" s="1"/>
      <c r="AQ182" s="1"/>
      <c r="AR182" s="1"/>
      <c r="AS182" s="1"/>
      <c r="AT182" s="1"/>
    </row>
    <row r="183" spans="1:46" s="18" customFormat="1" x14ac:dyDescent="0.2">
      <c r="A183" s="97"/>
      <c r="B183" s="97"/>
      <c r="C183" s="97"/>
      <c r="D183" s="97"/>
      <c r="E183" s="97"/>
      <c r="F183" s="97"/>
      <c r="G183" s="1"/>
      <c r="H183" s="1"/>
      <c r="I183" s="1"/>
      <c r="J183" s="2"/>
      <c r="K183" s="1"/>
      <c r="L183" s="3"/>
      <c r="M183" s="1"/>
      <c r="AP183" s="1"/>
      <c r="AQ183" s="1"/>
      <c r="AR183" s="1"/>
      <c r="AS183" s="1"/>
      <c r="AT183" s="1"/>
    </row>
    <row r="184" spans="1:46" s="18" customFormat="1" x14ac:dyDescent="0.2">
      <c r="A184" s="97"/>
      <c r="B184" s="97"/>
      <c r="C184" s="97"/>
      <c r="D184" s="97"/>
      <c r="E184" s="97"/>
      <c r="F184" s="97"/>
      <c r="G184" s="1"/>
      <c r="H184" s="1"/>
      <c r="I184" s="1"/>
      <c r="J184" s="2"/>
      <c r="K184" s="1"/>
      <c r="L184" s="3"/>
      <c r="M184" s="1"/>
      <c r="AP184" s="1"/>
      <c r="AQ184" s="1"/>
      <c r="AR184" s="1"/>
      <c r="AS184" s="1"/>
      <c r="AT184" s="1"/>
    </row>
    <row r="185" spans="1:46" s="18" customFormat="1" x14ac:dyDescent="0.2">
      <c r="A185" s="97"/>
      <c r="B185" s="97"/>
      <c r="C185" s="97"/>
      <c r="D185" s="97"/>
      <c r="E185" s="97"/>
      <c r="F185" s="97"/>
      <c r="G185" s="1"/>
      <c r="H185" s="1"/>
      <c r="I185" s="1"/>
      <c r="J185" s="2"/>
      <c r="K185" s="1"/>
      <c r="L185" s="3"/>
      <c r="M185" s="1"/>
      <c r="AP185" s="1"/>
      <c r="AQ185" s="1"/>
      <c r="AR185" s="1"/>
      <c r="AS185" s="1"/>
      <c r="AT185" s="1"/>
    </row>
    <row r="186" spans="1:46" s="18" customFormat="1" x14ac:dyDescent="0.2">
      <c r="A186" s="97"/>
      <c r="B186" s="97"/>
      <c r="C186" s="97"/>
      <c r="D186" s="97"/>
      <c r="E186" s="97"/>
      <c r="F186" s="97"/>
      <c r="G186" s="1"/>
      <c r="H186" s="1"/>
      <c r="I186" s="1"/>
      <c r="J186" s="2"/>
      <c r="K186" s="1"/>
      <c r="L186" s="3"/>
      <c r="M186" s="1"/>
      <c r="AP186" s="1"/>
      <c r="AQ186" s="1"/>
      <c r="AR186" s="1"/>
      <c r="AS186" s="1"/>
      <c r="AT186" s="1"/>
    </row>
    <row r="187" spans="1:46" s="18" customFormat="1" x14ac:dyDescent="0.2">
      <c r="A187" s="97"/>
      <c r="B187" s="97"/>
      <c r="C187" s="97"/>
      <c r="D187" s="97"/>
      <c r="E187" s="97"/>
      <c r="F187" s="97"/>
      <c r="G187" s="1"/>
      <c r="H187" s="1"/>
      <c r="I187" s="1"/>
      <c r="J187" s="2"/>
      <c r="K187" s="1"/>
      <c r="L187" s="3"/>
      <c r="M187" s="1"/>
      <c r="AP187" s="1"/>
      <c r="AQ187" s="1"/>
      <c r="AR187" s="1"/>
      <c r="AS187" s="1"/>
      <c r="AT187" s="1"/>
    </row>
    <row r="188" spans="1:46" s="18" customFormat="1" x14ac:dyDescent="0.2">
      <c r="A188" s="97"/>
      <c r="B188" s="97"/>
      <c r="C188" s="97"/>
      <c r="D188" s="97"/>
      <c r="E188" s="97"/>
      <c r="F188" s="97"/>
      <c r="G188" s="1"/>
      <c r="H188" s="1"/>
      <c r="I188" s="1"/>
      <c r="J188" s="2"/>
      <c r="K188" s="1"/>
      <c r="L188" s="3"/>
      <c r="M188" s="1"/>
      <c r="AP188" s="1"/>
      <c r="AQ188" s="1"/>
      <c r="AR188" s="1"/>
      <c r="AS188" s="1"/>
      <c r="AT188" s="1"/>
    </row>
    <row r="189" spans="1:46" s="18" customFormat="1" x14ac:dyDescent="0.2">
      <c r="A189" s="97"/>
      <c r="B189" s="97"/>
      <c r="C189" s="97"/>
      <c r="D189" s="97"/>
      <c r="E189" s="97"/>
      <c r="F189" s="97"/>
      <c r="G189" s="1"/>
      <c r="H189" s="1"/>
      <c r="I189" s="1"/>
      <c r="J189" s="2"/>
      <c r="K189" s="1"/>
      <c r="L189" s="3"/>
      <c r="M189" s="1"/>
      <c r="AP189" s="1"/>
      <c r="AQ189" s="1"/>
      <c r="AR189" s="1"/>
      <c r="AS189" s="1"/>
      <c r="AT189" s="1"/>
    </row>
    <row r="190" spans="1:46" s="18" customFormat="1" x14ac:dyDescent="0.2">
      <c r="A190" s="97"/>
      <c r="B190" s="97"/>
      <c r="C190" s="97"/>
      <c r="D190" s="97"/>
      <c r="E190" s="97"/>
      <c r="F190" s="97"/>
      <c r="G190" s="1"/>
      <c r="H190" s="1"/>
      <c r="I190" s="1"/>
      <c r="J190" s="2"/>
      <c r="K190" s="1"/>
      <c r="L190" s="3"/>
      <c r="M190" s="1"/>
      <c r="AP190" s="1"/>
      <c r="AQ190" s="1"/>
      <c r="AR190" s="1"/>
      <c r="AS190" s="1"/>
      <c r="AT190" s="1"/>
    </row>
    <row r="191" spans="1:46" s="18" customFormat="1" x14ac:dyDescent="0.2">
      <c r="A191" s="97"/>
      <c r="B191" s="97"/>
      <c r="C191" s="97"/>
      <c r="D191" s="97"/>
      <c r="E191" s="97"/>
      <c r="F191" s="97"/>
      <c r="G191" s="1"/>
      <c r="H191" s="1"/>
      <c r="I191" s="1"/>
      <c r="J191" s="2"/>
      <c r="K191" s="1"/>
      <c r="L191" s="3"/>
      <c r="M191" s="1"/>
      <c r="AP191" s="1"/>
      <c r="AQ191" s="1"/>
      <c r="AR191" s="1"/>
      <c r="AS191" s="1"/>
      <c r="AT191" s="1"/>
    </row>
    <row r="192" spans="1:46" s="18" customFormat="1" x14ac:dyDescent="0.2">
      <c r="A192" s="97"/>
      <c r="B192" s="97"/>
      <c r="C192" s="97"/>
      <c r="D192" s="97"/>
      <c r="E192" s="97"/>
      <c r="F192" s="97"/>
      <c r="G192" s="1"/>
      <c r="H192" s="1"/>
      <c r="I192" s="1"/>
      <c r="J192" s="2"/>
      <c r="K192" s="1"/>
      <c r="L192" s="3"/>
      <c r="M192" s="1"/>
      <c r="AP192" s="1"/>
      <c r="AQ192" s="1"/>
      <c r="AR192" s="1"/>
      <c r="AS192" s="1"/>
      <c r="AT192" s="1"/>
    </row>
    <row r="193" spans="1:46" s="18" customFormat="1" x14ac:dyDescent="0.2">
      <c r="A193" s="97"/>
      <c r="B193" s="97"/>
      <c r="C193" s="97"/>
      <c r="D193" s="97"/>
      <c r="E193" s="97"/>
      <c r="F193" s="97"/>
      <c r="G193" s="1"/>
      <c r="H193" s="1"/>
      <c r="I193" s="1"/>
      <c r="J193" s="2"/>
      <c r="K193" s="1"/>
      <c r="L193" s="3"/>
      <c r="M193" s="1"/>
      <c r="AP193" s="1"/>
      <c r="AQ193" s="1"/>
      <c r="AR193" s="1"/>
      <c r="AS193" s="1"/>
      <c r="AT193" s="1"/>
    </row>
    <row r="194" spans="1:46" s="18" customFormat="1" x14ac:dyDescent="0.2">
      <c r="A194" s="97"/>
      <c r="B194" s="97"/>
      <c r="C194" s="97"/>
      <c r="D194" s="97"/>
      <c r="E194" s="97"/>
      <c r="F194" s="97"/>
      <c r="G194" s="1"/>
      <c r="H194" s="1"/>
      <c r="I194" s="1"/>
      <c r="J194" s="2"/>
      <c r="K194" s="1"/>
      <c r="L194" s="3"/>
      <c r="M194" s="1"/>
      <c r="AP194" s="1"/>
      <c r="AQ194" s="1"/>
      <c r="AR194" s="1"/>
      <c r="AS194" s="1"/>
      <c r="AT194" s="1"/>
    </row>
    <row r="195" spans="1:46" s="18" customFormat="1" x14ac:dyDescent="0.2">
      <c r="A195" s="97"/>
      <c r="B195" s="97"/>
      <c r="C195" s="97"/>
      <c r="D195" s="97"/>
      <c r="E195" s="97"/>
      <c r="F195" s="97"/>
      <c r="G195" s="1"/>
      <c r="H195" s="1"/>
      <c r="I195" s="1"/>
      <c r="J195" s="2"/>
      <c r="K195" s="1"/>
      <c r="L195" s="3"/>
      <c r="M195" s="1"/>
      <c r="AP195" s="1"/>
      <c r="AQ195" s="1"/>
      <c r="AR195" s="1"/>
      <c r="AS195" s="1"/>
      <c r="AT195" s="1"/>
    </row>
    <row r="196" spans="1:46" s="18" customFormat="1" x14ac:dyDescent="0.2">
      <c r="A196" s="97"/>
      <c r="B196" s="97"/>
      <c r="C196" s="97"/>
      <c r="D196" s="97"/>
      <c r="E196" s="97"/>
      <c r="F196" s="97"/>
      <c r="G196" s="1"/>
      <c r="H196" s="1"/>
      <c r="I196" s="1"/>
      <c r="J196" s="2"/>
      <c r="K196" s="1"/>
      <c r="L196" s="3"/>
      <c r="M196" s="1"/>
      <c r="AP196" s="1"/>
      <c r="AQ196" s="1"/>
      <c r="AR196" s="1"/>
      <c r="AS196" s="1"/>
      <c r="AT196" s="1"/>
    </row>
    <row r="197" spans="1:46" s="18" customFormat="1" x14ac:dyDescent="0.2">
      <c r="A197" s="97"/>
      <c r="B197" s="97"/>
      <c r="C197" s="97"/>
      <c r="D197" s="97"/>
      <c r="E197" s="97"/>
      <c r="F197" s="97"/>
      <c r="G197" s="1"/>
      <c r="H197" s="1"/>
      <c r="I197" s="1"/>
      <c r="J197" s="2"/>
      <c r="K197" s="1"/>
      <c r="L197" s="3"/>
      <c r="M197" s="1"/>
      <c r="AP197" s="1"/>
      <c r="AQ197" s="1"/>
      <c r="AR197" s="1"/>
      <c r="AS197" s="1"/>
      <c r="AT197" s="1"/>
    </row>
    <row r="198" spans="1:46" s="18" customFormat="1" x14ac:dyDescent="0.2">
      <c r="A198" s="97"/>
      <c r="B198" s="97"/>
      <c r="C198" s="97"/>
      <c r="D198" s="97"/>
      <c r="E198" s="97"/>
      <c r="F198" s="97"/>
      <c r="G198" s="1"/>
      <c r="H198" s="1"/>
      <c r="I198" s="1"/>
      <c r="J198" s="2"/>
      <c r="K198" s="1"/>
      <c r="L198" s="3"/>
      <c r="M198" s="1"/>
      <c r="AP198" s="1"/>
      <c r="AQ198" s="1"/>
      <c r="AR198" s="1"/>
      <c r="AS198" s="1"/>
      <c r="AT198" s="1"/>
    </row>
    <row r="199" spans="1:46" s="18" customFormat="1" x14ac:dyDescent="0.2">
      <c r="A199" s="97"/>
      <c r="B199" s="97"/>
      <c r="C199" s="97"/>
      <c r="D199" s="97"/>
      <c r="E199" s="97"/>
      <c r="F199" s="97"/>
      <c r="G199" s="1"/>
      <c r="H199" s="1"/>
      <c r="I199" s="1"/>
      <c r="J199" s="2"/>
      <c r="K199" s="1"/>
      <c r="L199" s="3"/>
      <c r="M199" s="1"/>
      <c r="AP199" s="1"/>
      <c r="AQ199" s="1"/>
      <c r="AR199" s="1"/>
      <c r="AS199" s="1"/>
      <c r="AT199" s="1"/>
    </row>
    <row r="200" spans="1:46" s="18" customFormat="1" x14ac:dyDescent="0.2">
      <c r="A200" s="97"/>
      <c r="B200" s="97"/>
      <c r="C200" s="97"/>
      <c r="D200" s="97"/>
      <c r="E200" s="97"/>
      <c r="F200" s="97"/>
      <c r="G200" s="1"/>
      <c r="H200" s="1"/>
      <c r="I200" s="1"/>
      <c r="J200" s="2"/>
      <c r="K200" s="1"/>
      <c r="L200" s="3"/>
      <c r="M200" s="1"/>
      <c r="AP200" s="1"/>
      <c r="AQ200" s="1"/>
      <c r="AR200" s="1"/>
      <c r="AS200" s="1"/>
      <c r="AT200" s="1"/>
    </row>
    <row r="201" spans="1:46" s="18" customFormat="1" x14ac:dyDescent="0.2">
      <c r="A201" s="97"/>
      <c r="B201" s="97"/>
      <c r="C201" s="97"/>
      <c r="D201" s="97"/>
      <c r="E201" s="97"/>
      <c r="F201" s="97"/>
      <c r="G201" s="1"/>
      <c r="H201" s="1"/>
      <c r="I201" s="1"/>
      <c r="J201" s="2"/>
      <c r="K201" s="1"/>
      <c r="L201" s="3"/>
      <c r="M201" s="1"/>
      <c r="AP201" s="1"/>
      <c r="AQ201" s="1"/>
      <c r="AR201" s="1"/>
      <c r="AS201" s="1"/>
      <c r="AT201" s="1"/>
    </row>
    <row r="202" spans="1:46" s="18" customFormat="1" x14ac:dyDescent="0.2">
      <c r="A202" s="97"/>
      <c r="B202" s="97"/>
      <c r="C202" s="97"/>
      <c r="D202" s="97"/>
      <c r="E202" s="97"/>
      <c r="F202" s="97"/>
      <c r="G202" s="1"/>
      <c r="H202" s="1"/>
      <c r="I202" s="1"/>
      <c r="J202" s="2"/>
      <c r="K202" s="1"/>
      <c r="L202" s="3"/>
      <c r="M202" s="1"/>
      <c r="AP202" s="1"/>
      <c r="AQ202" s="1"/>
      <c r="AR202" s="1"/>
      <c r="AS202" s="1"/>
      <c r="AT202" s="1"/>
    </row>
    <row r="203" spans="1:46" s="18" customFormat="1" x14ac:dyDescent="0.2">
      <c r="A203" s="97"/>
      <c r="B203" s="97"/>
      <c r="C203" s="97"/>
      <c r="D203" s="97"/>
      <c r="E203" s="97"/>
      <c r="F203" s="97"/>
      <c r="G203" s="1"/>
      <c r="H203" s="1"/>
      <c r="I203" s="1"/>
      <c r="J203" s="2"/>
      <c r="K203" s="1"/>
      <c r="L203" s="3"/>
      <c r="M203" s="1"/>
      <c r="AP203" s="1"/>
      <c r="AQ203" s="1"/>
      <c r="AR203" s="1"/>
      <c r="AS203" s="1"/>
      <c r="AT203" s="1"/>
    </row>
    <row r="204" spans="1:46" s="18" customFormat="1" x14ac:dyDescent="0.2">
      <c r="A204" s="97"/>
      <c r="B204" s="97"/>
      <c r="C204" s="97"/>
      <c r="D204" s="97"/>
      <c r="E204" s="97"/>
      <c r="F204" s="97"/>
      <c r="G204" s="1"/>
      <c r="H204" s="1"/>
      <c r="I204" s="1"/>
      <c r="J204" s="2"/>
      <c r="K204" s="1"/>
      <c r="L204" s="3"/>
      <c r="M204" s="1"/>
      <c r="AP204" s="1"/>
      <c r="AQ204" s="1"/>
      <c r="AR204" s="1"/>
      <c r="AS204" s="1"/>
      <c r="AT204" s="1"/>
    </row>
    <row r="205" spans="1:46" s="18" customFormat="1" x14ac:dyDescent="0.2">
      <c r="A205" s="97"/>
      <c r="B205" s="97"/>
      <c r="C205" s="97"/>
      <c r="D205" s="97"/>
      <c r="E205" s="97"/>
      <c r="F205" s="97"/>
      <c r="G205" s="1"/>
      <c r="H205" s="1"/>
      <c r="I205" s="1"/>
      <c r="J205" s="2"/>
      <c r="K205" s="1"/>
      <c r="L205" s="3"/>
      <c r="M205" s="1"/>
      <c r="AP205" s="1"/>
      <c r="AQ205" s="1"/>
      <c r="AR205" s="1"/>
      <c r="AS205" s="1"/>
      <c r="AT205" s="1"/>
    </row>
    <row r="206" spans="1:46" s="18" customFormat="1" x14ac:dyDescent="0.2">
      <c r="A206" s="97"/>
      <c r="B206" s="97"/>
      <c r="C206" s="97"/>
      <c r="D206" s="97"/>
      <c r="E206" s="97"/>
      <c r="F206" s="97"/>
      <c r="G206" s="1"/>
      <c r="H206" s="1"/>
      <c r="I206" s="1"/>
      <c r="J206" s="2"/>
      <c r="K206" s="1"/>
      <c r="L206" s="3"/>
      <c r="M206" s="1"/>
      <c r="AP206" s="1"/>
      <c r="AQ206" s="1"/>
      <c r="AR206" s="1"/>
      <c r="AS206" s="1"/>
      <c r="AT206" s="1"/>
    </row>
    <row r="207" spans="1:46" s="18" customFormat="1" x14ac:dyDescent="0.2">
      <c r="A207" s="97"/>
      <c r="B207" s="97"/>
      <c r="C207" s="97"/>
      <c r="D207" s="97"/>
      <c r="E207" s="97"/>
      <c r="F207" s="97"/>
      <c r="G207" s="1"/>
      <c r="H207" s="1"/>
      <c r="I207" s="1"/>
      <c r="J207" s="2"/>
      <c r="K207" s="1"/>
      <c r="L207" s="3"/>
      <c r="M207" s="1"/>
      <c r="AP207" s="1"/>
      <c r="AQ207" s="1"/>
      <c r="AR207" s="1"/>
      <c r="AS207" s="1"/>
      <c r="AT207" s="1"/>
    </row>
    <row r="208" spans="1:46" s="18" customFormat="1" x14ac:dyDescent="0.2">
      <c r="A208" s="97"/>
      <c r="B208" s="97"/>
      <c r="C208" s="97"/>
      <c r="D208" s="97"/>
      <c r="E208" s="97"/>
      <c r="F208" s="97"/>
      <c r="G208" s="1"/>
      <c r="H208" s="1"/>
      <c r="I208" s="1"/>
      <c r="J208" s="2"/>
      <c r="K208" s="1"/>
      <c r="L208" s="3"/>
      <c r="M208" s="1"/>
      <c r="AP208" s="1"/>
      <c r="AQ208" s="1"/>
      <c r="AR208" s="1"/>
      <c r="AS208" s="1"/>
      <c r="AT208" s="1"/>
    </row>
    <row r="209" spans="1:46" s="18" customFormat="1" x14ac:dyDescent="0.2">
      <c r="A209" s="97"/>
      <c r="B209" s="97"/>
      <c r="C209" s="97"/>
      <c r="D209" s="97"/>
      <c r="E209" s="97"/>
      <c r="F209" s="97"/>
      <c r="G209" s="1"/>
      <c r="H209" s="1"/>
      <c r="I209" s="1"/>
      <c r="J209" s="2"/>
      <c r="K209" s="1"/>
      <c r="L209" s="3"/>
      <c r="M209" s="1"/>
      <c r="AP209" s="1"/>
      <c r="AQ209" s="1"/>
      <c r="AR209" s="1"/>
      <c r="AS209" s="1"/>
      <c r="AT209" s="1"/>
    </row>
    <row r="210" spans="1:46" s="18" customFormat="1" x14ac:dyDescent="0.2">
      <c r="A210" s="97"/>
      <c r="B210" s="97"/>
      <c r="C210" s="97"/>
      <c r="D210" s="97"/>
      <c r="E210" s="97"/>
      <c r="F210" s="97"/>
      <c r="G210" s="1"/>
      <c r="H210" s="1"/>
      <c r="I210" s="1"/>
      <c r="J210" s="2"/>
      <c r="K210" s="1"/>
      <c r="L210" s="3"/>
      <c r="M210" s="1"/>
      <c r="AP210" s="1"/>
      <c r="AQ210" s="1"/>
      <c r="AR210" s="1"/>
      <c r="AS210" s="1"/>
      <c r="AT210" s="1"/>
    </row>
    <row r="211" spans="1:46" s="18" customFormat="1" x14ac:dyDescent="0.2">
      <c r="A211" s="97"/>
      <c r="B211" s="97"/>
      <c r="C211" s="97"/>
      <c r="D211" s="97"/>
      <c r="E211" s="97"/>
      <c r="F211" s="97"/>
      <c r="G211" s="1"/>
      <c r="H211" s="1"/>
      <c r="I211" s="1"/>
      <c r="J211" s="2"/>
      <c r="K211" s="1"/>
      <c r="L211" s="3"/>
      <c r="M211" s="1"/>
      <c r="AP211" s="1"/>
      <c r="AQ211" s="1"/>
      <c r="AR211" s="1"/>
      <c r="AS211" s="1"/>
      <c r="AT211" s="1"/>
    </row>
    <row r="212" spans="1:46" s="18" customFormat="1" x14ac:dyDescent="0.2">
      <c r="A212" s="97"/>
      <c r="B212" s="97"/>
      <c r="C212" s="97"/>
      <c r="D212" s="97"/>
      <c r="E212" s="97"/>
      <c r="F212" s="97"/>
      <c r="G212" s="1"/>
      <c r="H212" s="1"/>
      <c r="I212" s="1"/>
      <c r="J212" s="2"/>
      <c r="K212" s="1"/>
      <c r="L212" s="3"/>
      <c r="M212" s="1"/>
      <c r="AP212" s="1"/>
      <c r="AQ212" s="1"/>
      <c r="AR212" s="1"/>
      <c r="AS212" s="1"/>
      <c r="AT212" s="1"/>
    </row>
    <row r="213" spans="1:46" s="18" customFormat="1" x14ac:dyDescent="0.2">
      <c r="A213" s="97"/>
      <c r="B213" s="97"/>
      <c r="C213" s="97"/>
      <c r="D213" s="97"/>
      <c r="E213" s="97"/>
      <c r="F213" s="97"/>
      <c r="G213" s="1"/>
      <c r="H213" s="1"/>
      <c r="I213" s="1"/>
      <c r="J213" s="2"/>
      <c r="K213" s="1"/>
      <c r="L213" s="3"/>
      <c r="M213" s="1"/>
      <c r="AP213" s="1"/>
      <c r="AQ213" s="1"/>
      <c r="AR213" s="1"/>
      <c r="AS213" s="1"/>
      <c r="AT213" s="1"/>
    </row>
    <row r="214" spans="1:46" s="18" customFormat="1" x14ac:dyDescent="0.2">
      <c r="A214" s="97"/>
      <c r="B214" s="97"/>
      <c r="C214" s="97"/>
      <c r="D214" s="97"/>
      <c r="E214" s="97"/>
      <c r="F214" s="97"/>
      <c r="G214" s="1"/>
      <c r="H214" s="1"/>
      <c r="I214" s="1"/>
      <c r="J214" s="2"/>
      <c r="K214" s="1"/>
      <c r="L214" s="3"/>
      <c r="M214" s="1"/>
      <c r="AP214" s="1"/>
      <c r="AQ214" s="1"/>
      <c r="AR214" s="1"/>
      <c r="AS214" s="1"/>
      <c r="AT214" s="1"/>
    </row>
    <row r="215" spans="1:46" s="18" customFormat="1" x14ac:dyDescent="0.2">
      <c r="A215" s="97"/>
      <c r="B215" s="97"/>
      <c r="C215" s="97"/>
      <c r="D215" s="97"/>
      <c r="E215" s="97"/>
      <c r="F215" s="97"/>
      <c r="G215" s="1"/>
      <c r="H215" s="1"/>
      <c r="I215" s="1"/>
      <c r="J215" s="2"/>
      <c r="K215" s="1"/>
      <c r="L215" s="3"/>
      <c r="M215" s="1"/>
      <c r="AP215" s="1"/>
      <c r="AQ215" s="1"/>
      <c r="AR215" s="1"/>
      <c r="AS215" s="1"/>
      <c r="AT215" s="1"/>
    </row>
    <row r="216" spans="1:46" s="18" customFormat="1" x14ac:dyDescent="0.2">
      <c r="A216" s="97"/>
      <c r="B216" s="97"/>
      <c r="C216" s="97"/>
      <c r="D216" s="97"/>
      <c r="E216" s="97"/>
      <c r="F216" s="97"/>
      <c r="G216" s="1"/>
      <c r="H216" s="1"/>
      <c r="I216" s="1"/>
      <c r="J216" s="2"/>
      <c r="K216" s="1"/>
      <c r="L216" s="3"/>
      <c r="M216" s="1"/>
      <c r="AP216" s="1"/>
      <c r="AQ216" s="1"/>
      <c r="AR216" s="1"/>
      <c r="AS216" s="1"/>
      <c r="AT216" s="1"/>
    </row>
    <row r="217" spans="1:46" s="18" customFormat="1" x14ac:dyDescent="0.2">
      <c r="A217" s="97"/>
      <c r="B217" s="97"/>
      <c r="C217" s="97"/>
      <c r="D217" s="97"/>
      <c r="E217" s="97"/>
      <c r="F217" s="97"/>
      <c r="G217" s="1"/>
      <c r="H217" s="1"/>
      <c r="I217" s="1"/>
      <c r="J217" s="2"/>
      <c r="K217" s="1"/>
      <c r="L217" s="3"/>
      <c r="M217" s="1"/>
      <c r="AP217" s="1"/>
      <c r="AQ217" s="1"/>
      <c r="AR217" s="1"/>
      <c r="AS217" s="1"/>
      <c r="AT217" s="1"/>
    </row>
    <row r="218" spans="1:46" s="18" customFormat="1" x14ac:dyDescent="0.2">
      <c r="A218" s="97"/>
      <c r="B218" s="97"/>
      <c r="C218" s="97"/>
      <c r="D218" s="97"/>
      <c r="E218" s="97"/>
      <c r="F218" s="97"/>
      <c r="G218" s="1"/>
      <c r="H218" s="1"/>
      <c r="I218" s="1"/>
      <c r="J218" s="2"/>
      <c r="K218" s="1"/>
      <c r="L218" s="3"/>
      <c r="M218" s="1"/>
      <c r="AP218" s="1"/>
      <c r="AQ218" s="1"/>
      <c r="AR218" s="1"/>
      <c r="AS218" s="1"/>
      <c r="AT218" s="1"/>
    </row>
    <row r="219" spans="1:46" s="18" customFormat="1" x14ac:dyDescent="0.2">
      <c r="A219" s="97"/>
      <c r="B219" s="97"/>
      <c r="C219" s="97"/>
      <c r="D219" s="97"/>
      <c r="E219" s="97"/>
      <c r="F219" s="97"/>
      <c r="G219" s="1"/>
      <c r="H219" s="1"/>
      <c r="I219" s="1"/>
      <c r="J219" s="2"/>
      <c r="K219" s="1"/>
      <c r="L219" s="3"/>
      <c r="M219" s="1"/>
      <c r="AP219" s="1"/>
      <c r="AQ219" s="1"/>
      <c r="AR219" s="1"/>
      <c r="AS219" s="1"/>
      <c r="AT219" s="1"/>
    </row>
    <row r="220" spans="1:46" s="18" customFormat="1" x14ac:dyDescent="0.2">
      <c r="A220" s="97"/>
      <c r="B220" s="97"/>
      <c r="C220" s="97"/>
      <c r="D220" s="97"/>
      <c r="E220" s="97"/>
      <c r="F220" s="97"/>
      <c r="G220" s="1"/>
      <c r="H220" s="1"/>
      <c r="I220" s="1"/>
      <c r="J220" s="2"/>
      <c r="K220" s="1"/>
      <c r="L220" s="3"/>
      <c r="M220" s="1"/>
      <c r="AP220" s="1"/>
      <c r="AQ220" s="1"/>
      <c r="AR220" s="1"/>
      <c r="AS220" s="1"/>
      <c r="AT220" s="1"/>
    </row>
    <row r="221" spans="1:46" s="18" customFormat="1" x14ac:dyDescent="0.2">
      <c r="A221" s="97"/>
      <c r="B221" s="97"/>
      <c r="C221" s="97"/>
      <c r="D221" s="97"/>
      <c r="E221" s="97"/>
      <c r="F221" s="97"/>
      <c r="G221" s="1"/>
      <c r="H221" s="1"/>
      <c r="I221" s="1"/>
      <c r="J221" s="2"/>
      <c r="K221" s="1"/>
      <c r="L221" s="3"/>
      <c r="M221" s="1"/>
      <c r="AP221" s="1"/>
      <c r="AQ221" s="1"/>
      <c r="AR221" s="1"/>
      <c r="AS221" s="1"/>
      <c r="AT221" s="1"/>
    </row>
    <row r="222" spans="1:46" s="18" customFormat="1" x14ac:dyDescent="0.2">
      <c r="A222" s="97"/>
      <c r="B222" s="97"/>
      <c r="C222" s="97"/>
      <c r="D222" s="97"/>
      <c r="E222" s="97"/>
      <c r="F222" s="97"/>
      <c r="G222" s="1"/>
      <c r="H222" s="1"/>
      <c r="I222" s="1"/>
      <c r="J222" s="2"/>
      <c r="K222" s="1"/>
      <c r="L222" s="3"/>
      <c r="M222" s="1"/>
      <c r="AP222" s="1"/>
      <c r="AQ222" s="1"/>
      <c r="AR222" s="1"/>
      <c r="AS222" s="1"/>
      <c r="AT222" s="1"/>
    </row>
    <row r="223" spans="1:46" s="18" customFormat="1" x14ac:dyDescent="0.2">
      <c r="A223" s="97"/>
      <c r="B223" s="97"/>
      <c r="C223" s="97"/>
      <c r="D223" s="97"/>
      <c r="E223" s="97"/>
      <c r="F223" s="97"/>
      <c r="G223" s="1"/>
      <c r="H223" s="1"/>
      <c r="I223" s="1"/>
      <c r="J223" s="2"/>
      <c r="K223" s="1"/>
      <c r="L223" s="3"/>
      <c r="M223" s="1"/>
      <c r="AP223" s="1"/>
      <c r="AQ223" s="1"/>
      <c r="AR223" s="1"/>
      <c r="AS223" s="1"/>
      <c r="AT223" s="1"/>
    </row>
    <row r="224" spans="1:46" s="18" customFormat="1" x14ac:dyDescent="0.2">
      <c r="A224" s="97"/>
      <c r="B224" s="97"/>
      <c r="C224" s="97"/>
      <c r="D224" s="97"/>
      <c r="E224" s="97"/>
      <c r="F224" s="97"/>
      <c r="G224" s="1"/>
      <c r="H224" s="1"/>
      <c r="I224" s="1"/>
      <c r="J224" s="2"/>
      <c r="K224" s="1"/>
      <c r="L224" s="3"/>
      <c r="M224" s="1"/>
      <c r="AP224" s="1"/>
      <c r="AQ224" s="1"/>
      <c r="AR224" s="1"/>
      <c r="AS224" s="1"/>
      <c r="AT224" s="1"/>
    </row>
    <row r="225" spans="1:46" s="18" customFormat="1" x14ac:dyDescent="0.2">
      <c r="A225" s="97"/>
      <c r="B225" s="97"/>
      <c r="C225" s="97"/>
      <c r="D225" s="97"/>
      <c r="E225" s="97"/>
      <c r="F225" s="97"/>
      <c r="G225" s="1"/>
      <c r="H225" s="1"/>
      <c r="I225" s="1"/>
      <c r="J225" s="2"/>
      <c r="K225" s="1"/>
      <c r="L225" s="3"/>
      <c r="M225" s="1"/>
      <c r="AP225" s="1"/>
      <c r="AQ225" s="1"/>
      <c r="AR225" s="1"/>
      <c r="AS225" s="1"/>
      <c r="AT225" s="1"/>
    </row>
    <row r="226" spans="1:46" s="18" customFormat="1" x14ac:dyDescent="0.2">
      <c r="A226" s="97"/>
      <c r="B226" s="97"/>
      <c r="C226" s="97"/>
      <c r="D226" s="97"/>
      <c r="E226" s="97"/>
      <c r="F226" s="97"/>
      <c r="G226" s="1"/>
      <c r="H226" s="1"/>
      <c r="I226" s="1"/>
      <c r="J226" s="2"/>
      <c r="K226" s="1"/>
      <c r="L226" s="3"/>
      <c r="M226" s="1"/>
      <c r="AP226" s="1"/>
      <c r="AQ226" s="1"/>
      <c r="AR226" s="1"/>
      <c r="AS226" s="1"/>
      <c r="AT226" s="1"/>
    </row>
    <row r="227" spans="1:46" s="18" customFormat="1" x14ac:dyDescent="0.2">
      <c r="A227" s="97"/>
      <c r="B227" s="97"/>
      <c r="C227" s="97"/>
      <c r="D227" s="97"/>
      <c r="E227" s="97"/>
      <c r="F227" s="97"/>
      <c r="G227" s="1"/>
      <c r="H227" s="1"/>
      <c r="I227" s="1"/>
      <c r="J227" s="2"/>
      <c r="K227" s="1"/>
      <c r="L227" s="3"/>
      <c r="M227" s="1"/>
      <c r="AP227" s="1"/>
      <c r="AQ227" s="1"/>
      <c r="AR227" s="1"/>
      <c r="AS227" s="1"/>
      <c r="AT227" s="1"/>
    </row>
    <row r="228" spans="1:46" s="18" customFormat="1" x14ac:dyDescent="0.2">
      <c r="A228" s="97"/>
      <c r="B228" s="97"/>
      <c r="C228" s="97"/>
      <c r="D228" s="97"/>
      <c r="E228" s="97"/>
      <c r="F228" s="97"/>
      <c r="G228" s="1"/>
      <c r="H228" s="1"/>
      <c r="I228" s="1"/>
      <c r="J228" s="2"/>
      <c r="K228" s="1"/>
      <c r="L228" s="3"/>
      <c r="M228" s="1"/>
      <c r="AP228" s="1"/>
      <c r="AQ228" s="1"/>
      <c r="AR228" s="1"/>
      <c r="AS228" s="1"/>
      <c r="AT228" s="1"/>
    </row>
    <row r="229" spans="1:46" s="18" customFormat="1" x14ac:dyDescent="0.2">
      <c r="A229" s="97"/>
      <c r="B229" s="97"/>
      <c r="C229" s="97"/>
      <c r="D229" s="97"/>
      <c r="E229" s="97"/>
      <c r="F229" s="97"/>
      <c r="G229" s="1"/>
      <c r="H229" s="1"/>
      <c r="I229" s="1"/>
      <c r="J229" s="2"/>
      <c r="K229" s="1"/>
      <c r="L229" s="3"/>
      <c r="M229" s="1"/>
      <c r="AP229" s="1"/>
      <c r="AQ229" s="1"/>
      <c r="AR229" s="1"/>
      <c r="AS229" s="1"/>
      <c r="AT229" s="1"/>
    </row>
    <row r="230" spans="1:46" s="18" customFormat="1" x14ac:dyDescent="0.2">
      <c r="A230" s="97"/>
      <c r="B230" s="97"/>
      <c r="C230" s="97"/>
      <c r="D230" s="97"/>
      <c r="E230" s="97"/>
      <c r="F230" s="97"/>
      <c r="G230" s="1"/>
      <c r="H230" s="1"/>
      <c r="I230" s="1"/>
      <c r="J230" s="2"/>
      <c r="K230" s="1"/>
      <c r="L230" s="3"/>
      <c r="M230" s="1"/>
      <c r="AP230" s="1"/>
      <c r="AQ230" s="1"/>
      <c r="AR230" s="1"/>
      <c r="AS230" s="1"/>
      <c r="AT230" s="1"/>
    </row>
    <row r="231" spans="1:46" s="18" customFormat="1" x14ac:dyDescent="0.2">
      <c r="A231" s="97"/>
      <c r="B231" s="97"/>
      <c r="C231" s="97"/>
      <c r="D231" s="97"/>
      <c r="E231" s="97"/>
      <c r="F231" s="97"/>
      <c r="G231" s="1"/>
      <c r="H231" s="1"/>
      <c r="I231" s="1"/>
      <c r="J231" s="2"/>
      <c r="K231" s="1"/>
      <c r="L231" s="3"/>
      <c r="M231" s="1"/>
      <c r="AP231" s="1"/>
      <c r="AQ231" s="1"/>
      <c r="AR231" s="1"/>
      <c r="AS231" s="1"/>
      <c r="AT231" s="1"/>
    </row>
    <row r="232" spans="1:46" s="18" customFormat="1" x14ac:dyDescent="0.2">
      <c r="A232" s="97"/>
      <c r="B232" s="97"/>
      <c r="C232" s="97"/>
      <c r="D232" s="97"/>
      <c r="E232" s="97"/>
      <c r="F232" s="97"/>
      <c r="G232" s="1"/>
      <c r="H232" s="1"/>
      <c r="I232" s="1"/>
      <c r="J232" s="2"/>
      <c r="K232" s="1"/>
      <c r="L232" s="3"/>
      <c r="M232" s="1"/>
      <c r="N232" s="1"/>
      <c r="AP232" s="1"/>
      <c r="AQ232" s="1"/>
      <c r="AR232" s="1"/>
      <c r="AS232" s="1"/>
      <c r="AT232" s="1"/>
    </row>
    <row r="233" spans="1:46" s="18" customFormat="1" x14ac:dyDescent="0.2">
      <c r="A233" s="97"/>
      <c r="B233" s="97"/>
      <c r="C233" s="97"/>
      <c r="D233" s="97"/>
      <c r="E233" s="97"/>
      <c r="F233" s="97"/>
      <c r="G233" s="1"/>
      <c r="H233" s="1"/>
      <c r="I233" s="1"/>
      <c r="J233" s="2"/>
      <c r="K233" s="1"/>
      <c r="L233" s="3"/>
      <c r="M233" s="1"/>
      <c r="N233" s="1"/>
      <c r="AP233" s="1"/>
      <c r="AQ233" s="1"/>
      <c r="AR233" s="1"/>
      <c r="AS233" s="1"/>
      <c r="AT233" s="1"/>
    </row>
  </sheetData>
  <conditionalFormatting sqref="N10:AO41">
    <cfRule type="cellIs" dxfId="387" priority="1" operator="lessThan">
      <formula>0</formula>
    </cfRule>
  </conditionalFormatting>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262760"/>
    <pageSetUpPr fitToPage="1"/>
  </sheetPr>
  <dimension ref="A1:BA355"/>
  <sheetViews>
    <sheetView zoomScale="80" zoomScaleNormal="80" workbookViewId="0">
      <pane xSplit="10" ySplit="6" topLeftCell="K7" activePane="bottomRight" state="frozen"/>
      <selection pane="topRight" activeCell="K1" sqref="K1"/>
      <selection pane="bottomLeft" activeCell="A7" sqref="A7"/>
      <selection pane="bottomRight" activeCell="R12" sqref="R12"/>
    </sheetView>
  </sheetViews>
  <sheetFormatPr defaultColWidth="0" defaultRowHeight="12" outlineLevelCol="1" x14ac:dyDescent="0.2"/>
  <cols>
    <col min="1" max="2" width="2.6640625" style="1" customWidth="1"/>
    <col min="3" max="3" width="2.44140625" style="1" customWidth="1"/>
    <col min="4" max="4" width="2.6640625" style="1" customWidth="1"/>
    <col min="5" max="5" width="26" style="1" customWidth="1"/>
    <col min="6" max="6" width="10.44140625" style="1" bestFit="1" customWidth="1"/>
    <col min="7" max="7" width="5.44140625" style="1" hidden="1" customWidth="1" outlineLevel="1"/>
    <col min="8" max="8" width="33.44140625" style="1" hidden="1" customWidth="1" outlineLevel="1"/>
    <col min="9" max="9" width="11.44140625" style="1" bestFit="1" customWidth="1" collapsed="1"/>
    <col min="10" max="10" width="11.44140625" style="2" bestFit="1" customWidth="1"/>
    <col min="11" max="11" width="11.44140625" style="1" bestFit="1" customWidth="1"/>
    <col min="12" max="12" width="12.33203125" style="3" hidden="1" customWidth="1" outlineLevel="1"/>
    <col min="13" max="13" width="12.33203125" style="1" bestFit="1" customWidth="1" collapsed="1"/>
    <col min="14" max="14" width="17.109375" style="1" hidden="1" customWidth="1" outlineLevel="1"/>
    <col min="15" max="15" width="16" style="18" hidden="1" customWidth="1" outlineLevel="1"/>
    <col min="16" max="16" width="13.6640625" style="18" customWidth="1" collapsed="1"/>
    <col min="17" max="30" width="16" style="18" customWidth="1"/>
    <col min="31" max="31" width="20.33203125" style="1" bestFit="1" customWidth="1"/>
    <col min="32" max="53" width="0" style="1" hidden="1" customWidth="1"/>
    <col min="54" max="16384" width="9.109375" style="1" hidden="1"/>
  </cols>
  <sheetData>
    <row r="1" spans="1:32"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353</v>
      </c>
      <c r="O3" s="1"/>
      <c r="P3" s="1"/>
      <c r="Q3" s="1"/>
      <c r="R3" s="1"/>
      <c r="S3" s="1"/>
      <c r="T3" s="1"/>
      <c r="U3" s="1"/>
      <c r="V3" s="1"/>
      <c r="W3" s="1"/>
      <c r="X3" s="1"/>
      <c r="Y3" s="1"/>
      <c r="Z3" s="1"/>
      <c r="AA3" s="1"/>
      <c r="AB3" s="1"/>
      <c r="AC3" s="1"/>
      <c r="AD3" s="1"/>
    </row>
    <row r="4" spans="1:32" x14ac:dyDescent="0.2">
      <c r="F4" s="5"/>
      <c r="N4" s="186" t="str">
        <f t="shared" ref="N4:AD4" si="0">Range</f>
        <v>Actual</v>
      </c>
      <c r="O4" s="187" t="str">
        <f t="shared" si="0"/>
        <v>Actual</v>
      </c>
      <c r="P4" s="187" t="str">
        <f t="shared" si="0"/>
        <v>Actual</v>
      </c>
      <c r="Q4" s="7"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Highligh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394</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s="32" customFormat="1" ht="12.6" x14ac:dyDescent="0.25">
      <c r="A11" s="35"/>
      <c r="B11" s="35"/>
      <c r="H11" s="103"/>
      <c r="J11" s="37"/>
      <c r="L11" s="38"/>
      <c r="M11" s="103"/>
      <c r="N11" s="103"/>
      <c r="O11" s="103"/>
      <c r="P11" s="103"/>
      <c r="Q11" s="103"/>
      <c r="R11" s="103"/>
      <c r="S11" s="103"/>
      <c r="T11" s="103"/>
      <c r="U11" s="103"/>
      <c r="V11" s="103"/>
      <c r="W11" s="103"/>
      <c r="X11" s="103"/>
      <c r="Y11" s="103"/>
      <c r="Z11" s="103"/>
      <c r="AA11" s="103"/>
      <c r="AB11" s="103"/>
      <c r="AC11" s="103"/>
      <c r="AD11" s="103"/>
    </row>
    <row r="12" spans="1:32" s="32" customFormat="1" ht="12.6" x14ac:dyDescent="0.25">
      <c r="A12" s="35"/>
      <c r="B12" s="35"/>
      <c r="D12" s="97" t="s">
        <v>12</v>
      </c>
      <c r="H12" s="103"/>
      <c r="J12" s="37" t="s">
        <v>1205</v>
      </c>
      <c r="L12" s="38"/>
      <c r="M12" s="103"/>
      <c r="N12" s="103"/>
      <c r="O12" s="222">
        <f t="shared" ref="O12:AD12" si="2">IS_EBITDA</f>
        <v>0</v>
      </c>
      <c r="P12" s="222">
        <f t="shared" si="2"/>
        <v>7382</v>
      </c>
      <c r="Q12" s="222">
        <f t="shared" si="2"/>
        <v>123318</v>
      </c>
      <c r="R12" s="222">
        <f t="shared" si="2"/>
        <v>107825</v>
      </c>
      <c r="S12" s="101">
        <f t="shared" si="2"/>
        <v>80488.744347983229</v>
      </c>
      <c r="T12" s="101">
        <f t="shared" si="2"/>
        <v>94534.831626661995</v>
      </c>
      <c r="U12" s="101">
        <f t="shared" si="2"/>
        <v>112031.61152606754</v>
      </c>
      <c r="V12" s="101">
        <f t="shared" si="2"/>
        <v>111955.31961184702</v>
      </c>
      <c r="W12" s="101">
        <f t="shared" si="2"/>
        <v>158826.5378174677</v>
      </c>
      <c r="X12" s="101">
        <f t="shared" si="2"/>
        <v>194035.53199152311</v>
      </c>
      <c r="Y12" s="101">
        <f t="shared" si="2"/>
        <v>239630.36660504621</v>
      </c>
      <c r="Z12" s="101">
        <f t="shared" si="2"/>
        <v>321295.01337613614</v>
      </c>
      <c r="AA12" s="101">
        <f t="shared" si="2"/>
        <v>405420.6448779644</v>
      </c>
      <c r="AB12" s="101">
        <f t="shared" si="2"/>
        <v>516853.97286825185</v>
      </c>
      <c r="AC12" s="101">
        <f t="shared" si="2"/>
        <v>665343.12800955051</v>
      </c>
      <c r="AD12" s="101">
        <f t="shared" si="2"/>
        <v>864244.50154236448</v>
      </c>
    </row>
    <row r="13" spans="1:32" s="32" customFormat="1" ht="12.6" x14ac:dyDescent="0.25">
      <c r="A13" s="35"/>
      <c r="B13" s="35"/>
      <c r="D13" s="97" t="s">
        <v>305</v>
      </c>
      <c r="H13" s="103"/>
      <c r="J13" s="37" t="s">
        <v>1205</v>
      </c>
      <c r="L13" s="38"/>
      <c r="M13" s="103"/>
      <c r="N13" s="103"/>
      <c r="O13" s="222" t="e">
        <f>BS_Debt</f>
        <v>#NAME?</v>
      </c>
      <c r="P13" s="222">
        <f t="shared" ref="P13:AD13" si="3">BS_Debt_Current+BS_Debt_Non_Current</f>
        <v>0</v>
      </c>
      <c r="Q13" s="222">
        <f t="shared" si="3"/>
        <v>331229</v>
      </c>
      <c r="R13" s="222">
        <f t="shared" si="3"/>
        <v>346411</v>
      </c>
      <c r="S13" s="101">
        <f t="shared" si="3"/>
        <v>328681</v>
      </c>
      <c r="T13" s="101">
        <f t="shared" si="3"/>
        <v>296431.875</v>
      </c>
      <c r="U13" s="101">
        <f t="shared" si="3"/>
        <v>264182.75</v>
      </c>
      <c r="V13" s="101">
        <f t="shared" si="3"/>
        <v>213183.625</v>
      </c>
      <c r="W13" s="101">
        <f t="shared" si="3"/>
        <v>162184.5</v>
      </c>
      <c r="X13" s="101">
        <f t="shared" si="3"/>
        <v>112263.375</v>
      </c>
      <c r="Y13" s="101">
        <f t="shared" si="3"/>
        <v>62342.25</v>
      </c>
      <c r="Z13" s="101">
        <f t="shared" si="3"/>
        <v>31171.125</v>
      </c>
      <c r="AA13" s="101">
        <f t="shared" si="3"/>
        <v>0</v>
      </c>
      <c r="AB13" s="101">
        <f t="shared" si="3"/>
        <v>0</v>
      </c>
      <c r="AC13" s="101">
        <f t="shared" si="3"/>
        <v>0</v>
      </c>
      <c r="AD13" s="101">
        <f t="shared" si="3"/>
        <v>0</v>
      </c>
    </row>
    <row r="14" spans="1:32" s="32" customFormat="1" ht="12.6" x14ac:dyDescent="0.25">
      <c r="A14" s="35"/>
      <c r="B14" s="35"/>
      <c r="D14" s="97" t="s">
        <v>63</v>
      </c>
      <c r="H14" s="103"/>
      <c r="J14" s="37" t="s">
        <v>1205</v>
      </c>
      <c r="L14" s="38"/>
      <c r="M14" s="103"/>
      <c r="N14" s="103"/>
      <c r="O14" s="222" t="e">
        <f>-O13-BS_Cash</f>
        <v>#NAME?</v>
      </c>
      <c r="P14" s="222">
        <f>-P13-BS_Cash</f>
        <v>0</v>
      </c>
      <c r="Q14" s="222">
        <f>+Q13-BS_Cash</f>
        <v>54195</v>
      </c>
      <c r="R14" s="222">
        <f>+R13-BS_Cash</f>
        <v>-76169</v>
      </c>
      <c r="S14" s="101" t="e">
        <f t="shared" ref="S14:AD14" si="4">+S13-BS_Cash</f>
        <v>#NAME?</v>
      </c>
      <c r="T14" s="101" t="e">
        <f t="shared" si="4"/>
        <v>#NAME?</v>
      </c>
      <c r="U14" s="101" t="e">
        <f t="shared" si="4"/>
        <v>#NAME?</v>
      </c>
      <c r="V14" s="101" t="e">
        <f t="shared" si="4"/>
        <v>#NAME?</v>
      </c>
      <c r="W14" s="101" t="e">
        <f t="shared" si="4"/>
        <v>#NAME?</v>
      </c>
      <c r="X14" s="101" t="e">
        <f t="shared" si="4"/>
        <v>#NAME?</v>
      </c>
      <c r="Y14" s="101" t="e">
        <f t="shared" si="4"/>
        <v>#NAME?</v>
      </c>
      <c r="Z14" s="101" t="e">
        <f t="shared" si="4"/>
        <v>#NAME?</v>
      </c>
      <c r="AA14" s="101" t="e">
        <f t="shared" si="4"/>
        <v>#NAME?</v>
      </c>
      <c r="AB14" s="101" t="e">
        <f t="shared" si="4"/>
        <v>#NAME?</v>
      </c>
      <c r="AC14" s="101" t="e">
        <f t="shared" si="4"/>
        <v>#NAME?</v>
      </c>
      <c r="AD14" s="101" t="e">
        <f t="shared" si="4"/>
        <v>#NAME?</v>
      </c>
    </row>
    <row r="15" spans="1:32" s="32" customFormat="1" ht="12.6" x14ac:dyDescent="0.25">
      <c r="A15" s="35"/>
      <c r="B15" s="35"/>
      <c r="D15" s="97" t="s">
        <v>236</v>
      </c>
      <c r="H15" s="103"/>
      <c r="J15" s="37" t="s">
        <v>1205</v>
      </c>
      <c r="L15" s="38"/>
      <c r="M15" s="103"/>
      <c r="N15" s="103"/>
      <c r="O15" s="222">
        <f>Finance_Charges</f>
        <v>0</v>
      </c>
      <c r="P15" s="222">
        <f>Finance_Charges</f>
        <v>0</v>
      </c>
      <c r="Q15" s="222">
        <f>Finance_Charges</f>
        <v>0</v>
      </c>
      <c r="R15" s="222">
        <f>Finance_Charges</f>
        <v>0</v>
      </c>
      <c r="S15" s="101" t="e">
        <f t="shared" ref="S15:AD15" si="5">-IS_Interest_Expense</f>
        <v>#NAME?</v>
      </c>
      <c r="T15" s="101" t="e">
        <f t="shared" si="5"/>
        <v>#NAME?</v>
      </c>
      <c r="U15" s="101" t="e">
        <f t="shared" si="5"/>
        <v>#NAME?</v>
      </c>
      <c r="V15" s="101" t="e">
        <f t="shared" si="5"/>
        <v>#NAME?</v>
      </c>
      <c r="W15" s="101" t="e">
        <f t="shared" si="5"/>
        <v>#NAME?</v>
      </c>
      <c r="X15" s="101" t="e">
        <f t="shared" si="5"/>
        <v>#NAME?</v>
      </c>
      <c r="Y15" s="101" t="e">
        <f t="shared" si="5"/>
        <v>#NAME?</v>
      </c>
      <c r="Z15" s="101" t="e">
        <f t="shared" si="5"/>
        <v>#NAME?</v>
      </c>
      <c r="AA15" s="101" t="e">
        <f t="shared" si="5"/>
        <v>#NAME?</v>
      </c>
      <c r="AB15" s="101" t="e">
        <f t="shared" si="5"/>
        <v>#NAME?</v>
      </c>
      <c r="AC15" s="101" t="e">
        <f t="shared" si="5"/>
        <v>#NAME?</v>
      </c>
      <c r="AD15" s="101" t="e">
        <f t="shared" si="5"/>
        <v>#NAME?</v>
      </c>
    </row>
    <row r="16" spans="1:32" s="32" customFormat="1" ht="12.6" x14ac:dyDescent="0.25">
      <c r="A16" s="35"/>
      <c r="B16" s="35"/>
      <c r="D16" s="97" t="s">
        <v>395</v>
      </c>
      <c r="H16" s="103"/>
      <c r="J16" s="37" t="s">
        <v>1205</v>
      </c>
      <c r="L16" s="38"/>
      <c r="M16" s="103"/>
      <c r="N16" s="103"/>
      <c r="O16" s="222">
        <f t="shared" ref="O16:R16" si="6">-Finance_Repayment</f>
        <v>0</v>
      </c>
      <c r="P16" s="222">
        <f t="shared" si="6"/>
        <v>0</v>
      </c>
      <c r="Q16" s="222">
        <f t="shared" si="6"/>
        <v>0</v>
      </c>
      <c r="R16" s="222">
        <f t="shared" si="6"/>
        <v>0</v>
      </c>
      <c r="S16" s="101">
        <f t="shared" ref="S16:AD16" si="7">-Finance_Repayment</f>
        <v>17730</v>
      </c>
      <c r="T16" s="101">
        <f t="shared" si="7"/>
        <v>32249.125</v>
      </c>
      <c r="U16" s="101">
        <f t="shared" si="7"/>
        <v>32249.125</v>
      </c>
      <c r="V16" s="101">
        <f t="shared" si="7"/>
        <v>50999.125</v>
      </c>
      <c r="W16" s="101">
        <f t="shared" si="7"/>
        <v>50999.125</v>
      </c>
      <c r="X16" s="101">
        <f t="shared" si="7"/>
        <v>49921.125</v>
      </c>
      <c r="Y16" s="101">
        <f t="shared" si="7"/>
        <v>49921.125</v>
      </c>
      <c r="Z16" s="101">
        <f t="shared" si="7"/>
        <v>31171.125</v>
      </c>
      <c r="AA16" s="101">
        <f t="shared" si="7"/>
        <v>31171.125</v>
      </c>
      <c r="AB16" s="101">
        <f t="shared" si="7"/>
        <v>0</v>
      </c>
      <c r="AC16" s="101">
        <f t="shared" si="7"/>
        <v>0</v>
      </c>
      <c r="AD16" s="101">
        <f t="shared" si="7"/>
        <v>0</v>
      </c>
    </row>
    <row r="17" spans="1:30" s="32" customFormat="1" ht="12.6" x14ac:dyDescent="0.25">
      <c r="A17" s="35"/>
      <c r="B17" s="35"/>
      <c r="D17" s="97" t="s">
        <v>163</v>
      </c>
      <c r="H17" s="103"/>
      <c r="J17" s="37" t="s">
        <v>1205</v>
      </c>
      <c r="L17" s="38"/>
      <c r="M17" s="103"/>
      <c r="N17" s="103"/>
      <c r="O17" s="222"/>
      <c r="P17" s="222"/>
      <c r="Q17" s="222"/>
      <c r="R17" s="222"/>
      <c r="S17" s="101">
        <f t="shared" ref="S17:AD17" si="8">Finance_Drawdown</f>
        <v>0</v>
      </c>
      <c r="T17" s="101">
        <f t="shared" si="8"/>
        <v>0</v>
      </c>
      <c r="U17" s="101">
        <f t="shared" si="8"/>
        <v>0</v>
      </c>
      <c r="V17" s="101">
        <f t="shared" si="8"/>
        <v>0</v>
      </c>
      <c r="W17" s="101">
        <f t="shared" si="8"/>
        <v>0</v>
      </c>
      <c r="X17" s="101">
        <f t="shared" si="8"/>
        <v>0</v>
      </c>
      <c r="Y17" s="101">
        <f t="shared" si="8"/>
        <v>0</v>
      </c>
      <c r="Z17" s="101">
        <f t="shared" si="8"/>
        <v>0</v>
      </c>
      <c r="AA17" s="101">
        <f t="shared" si="8"/>
        <v>0</v>
      </c>
      <c r="AB17" s="101">
        <f t="shared" si="8"/>
        <v>0</v>
      </c>
      <c r="AC17" s="101">
        <f t="shared" si="8"/>
        <v>0</v>
      </c>
      <c r="AD17" s="101">
        <f t="shared" si="8"/>
        <v>0</v>
      </c>
    </row>
    <row r="18" spans="1:30" s="32" customFormat="1" ht="12.6" x14ac:dyDescent="0.25">
      <c r="A18" s="35"/>
      <c r="B18" s="35"/>
      <c r="D18" s="97" t="s">
        <v>396</v>
      </c>
      <c r="H18" s="103"/>
      <c r="J18" s="37" t="s">
        <v>1205</v>
      </c>
      <c r="L18" s="38"/>
      <c r="M18" s="103"/>
      <c r="N18" s="103"/>
      <c r="O18" s="222">
        <f>O16+O15</f>
        <v>0</v>
      </c>
      <c r="P18" s="222">
        <f>P16+P15</f>
        <v>0</v>
      </c>
      <c r="Q18" s="222">
        <f>Q16+Q15</f>
        <v>0</v>
      </c>
      <c r="R18" s="222">
        <f>R16+R15</f>
        <v>0</v>
      </c>
      <c r="S18" s="101" t="e">
        <f>S17-S16-S15</f>
        <v>#NAME?</v>
      </c>
      <c r="T18" s="101" t="e">
        <f t="shared" ref="T18:AD18" si="9">T17-T16-T15</f>
        <v>#NAME?</v>
      </c>
      <c r="U18" s="101" t="e">
        <f t="shared" si="9"/>
        <v>#NAME?</v>
      </c>
      <c r="V18" s="101" t="e">
        <f t="shared" si="9"/>
        <v>#NAME?</v>
      </c>
      <c r="W18" s="101" t="e">
        <f t="shared" si="9"/>
        <v>#NAME?</v>
      </c>
      <c r="X18" s="101" t="e">
        <f t="shared" si="9"/>
        <v>#NAME?</v>
      </c>
      <c r="Y18" s="101" t="e">
        <f t="shared" si="9"/>
        <v>#NAME?</v>
      </c>
      <c r="Z18" s="101" t="e">
        <f t="shared" si="9"/>
        <v>#NAME?</v>
      </c>
      <c r="AA18" s="101" t="e">
        <f t="shared" si="9"/>
        <v>#NAME?</v>
      </c>
      <c r="AB18" s="101" t="e">
        <f t="shared" si="9"/>
        <v>#NAME?</v>
      </c>
      <c r="AC18" s="101" t="e">
        <f t="shared" si="9"/>
        <v>#NAME?</v>
      </c>
      <c r="AD18" s="101" t="e">
        <f t="shared" si="9"/>
        <v>#NAME?</v>
      </c>
    </row>
    <row r="19" spans="1:30" s="32" customFormat="1" ht="13.2" thickBot="1" x14ac:dyDescent="0.3">
      <c r="A19" s="35"/>
      <c r="B19" s="35"/>
      <c r="H19" s="103"/>
      <c r="J19" s="37"/>
      <c r="L19" s="38"/>
      <c r="M19" s="103"/>
      <c r="N19" s="103"/>
      <c r="O19" s="103"/>
      <c r="P19" s="103"/>
      <c r="Q19" s="103"/>
      <c r="R19" s="103"/>
      <c r="S19" s="103"/>
      <c r="T19" s="103"/>
      <c r="U19" s="103"/>
      <c r="V19" s="103"/>
      <c r="W19" s="103"/>
      <c r="X19" s="103"/>
      <c r="Y19" s="103"/>
      <c r="Z19" s="103"/>
      <c r="AA19" s="103"/>
      <c r="AB19" s="103"/>
      <c r="AC19" s="103"/>
      <c r="AD19" s="103"/>
    </row>
    <row r="20" spans="1:30" ht="12.6" thickTop="1" x14ac:dyDescent="0.2">
      <c r="B20" s="20"/>
      <c r="C20" s="336" t="s">
        <v>47</v>
      </c>
      <c r="D20" s="337"/>
      <c r="E20" s="338"/>
      <c r="F20" s="338"/>
      <c r="G20" s="338"/>
      <c r="H20" s="338"/>
      <c r="I20" s="338"/>
      <c r="J20" s="340"/>
      <c r="K20" s="338"/>
      <c r="L20" s="342"/>
      <c r="M20" s="338"/>
      <c r="N20" s="343"/>
      <c r="O20" s="343"/>
      <c r="P20" s="343"/>
      <c r="Q20" s="343"/>
      <c r="R20" s="343"/>
      <c r="S20" s="343"/>
      <c r="T20" s="343"/>
      <c r="U20" s="343"/>
      <c r="V20" s="343"/>
      <c r="W20" s="343"/>
      <c r="X20" s="343"/>
      <c r="Y20" s="343"/>
      <c r="Z20" s="343"/>
      <c r="AA20" s="343"/>
      <c r="AB20" s="343"/>
      <c r="AC20" s="343"/>
      <c r="AD20" s="343"/>
    </row>
    <row r="21" spans="1:30" x14ac:dyDescent="0.2">
      <c r="B21" s="20"/>
      <c r="C21" s="20"/>
      <c r="D21" s="20"/>
      <c r="E21" s="97"/>
      <c r="F21" s="97"/>
      <c r="G21" s="97"/>
      <c r="H21" s="97"/>
      <c r="I21" s="97"/>
      <c r="J21" s="98"/>
      <c r="K21" s="97"/>
      <c r="L21" s="99"/>
      <c r="M21" s="97"/>
      <c r="N21" s="21"/>
      <c r="O21" s="21"/>
      <c r="P21" s="21"/>
      <c r="Q21" s="21"/>
      <c r="R21" s="21"/>
      <c r="S21" s="21"/>
      <c r="T21" s="21"/>
      <c r="U21" s="21"/>
      <c r="V21" s="21"/>
      <c r="W21" s="21"/>
      <c r="X21" s="21"/>
      <c r="Y21" s="21"/>
      <c r="Z21" s="21"/>
      <c r="AA21" s="21"/>
      <c r="AB21" s="21"/>
      <c r="AC21" s="21"/>
      <c r="AD21" s="21"/>
    </row>
    <row r="22" spans="1:30" ht="12.6" x14ac:dyDescent="0.25">
      <c r="B22" s="20"/>
      <c r="C22" s="20"/>
      <c r="D22" s="32" t="s">
        <v>48</v>
      </c>
      <c r="E22" s="97"/>
      <c r="G22" s="97"/>
      <c r="H22" s="101"/>
      <c r="I22" s="97"/>
      <c r="J22" s="98"/>
      <c r="K22" s="97"/>
      <c r="L22" s="99"/>
      <c r="M22" s="97"/>
      <c r="N22" s="21"/>
      <c r="O22" s="21"/>
      <c r="P22" s="21"/>
      <c r="Q22" s="21"/>
      <c r="R22" s="21"/>
      <c r="S22" s="21"/>
      <c r="T22" s="21"/>
      <c r="U22" s="21"/>
      <c r="V22" s="21"/>
      <c r="W22" s="21"/>
      <c r="X22" s="21"/>
      <c r="Y22" s="21"/>
      <c r="Z22" s="21"/>
      <c r="AA22" s="21"/>
      <c r="AB22" s="21"/>
      <c r="AC22" s="21"/>
      <c r="AD22" s="21"/>
    </row>
    <row r="23" spans="1:30" s="32" customFormat="1" ht="12.6" x14ac:dyDescent="0.25">
      <c r="A23" s="35"/>
      <c r="B23" s="35"/>
      <c r="D23" s="97"/>
      <c r="E23" s="97" t="s">
        <v>50</v>
      </c>
      <c r="G23" s="97"/>
      <c r="H23" s="101"/>
      <c r="I23" s="97"/>
      <c r="J23" s="98" t="s">
        <v>49</v>
      </c>
      <c r="L23" s="38"/>
      <c r="M23" s="103"/>
      <c r="N23" s="108"/>
      <c r="O23" s="226"/>
      <c r="P23" s="228"/>
      <c r="Q23" s="228">
        <f t="shared" ref="Q23:AD23" si="10">IS_EBITDA/IS_Revenue</f>
        <v>0.27622710483226076</v>
      </c>
      <c r="R23" s="228">
        <f t="shared" si="10"/>
        <v>0.21525221390869673</v>
      </c>
      <c r="S23" s="108">
        <f t="shared" si="10"/>
        <v>0.13793760700313215</v>
      </c>
      <c r="T23" s="108">
        <f t="shared" si="10"/>
        <v>0.13793760700313221</v>
      </c>
      <c r="U23" s="108">
        <f t="shared" si="10"/>
        <v>0.13793760700313223</v>
      </c>
      <c r="V23" s="108">
        <f t="shared" si="10"/>
        <v>0.11520113526736346</v>
      </c>
      <c r="W23" s="108">
        <f t="shared" si="10"/>
        <v>0.13520113526736349</v>
      </c>
      <c r="X23" s="108">
        <f t="shared" si="10"/>
        <v>0.13520113526736355</v>
      </c>
      <c r="Y23" s="108">
        <f t="shared" si="10"/>
        <v>0.13520113526736355</v>
      </c>
      <c r="Z23" s="108">
        <f t="shared" si="10"/>
        <v>0.14520113526736353</v>
      </c>
      <c r="AA23" s="108">
        <f t="shared" si="10"/>
        <v>0.1452011352673635</v>
      </c>
      <c r="AB23" s="108">
        <f t="shared" si="10"/>
        <v>0.14520113526736356</v>
      </c>
      <c r="AC23" s="108">
        <f t="shared" si="10"/>
        <v>0.1452011352673635</v>
      </c>
      <c r="AD23" s="108">
        <f t="shared" si="10"/>
        <v>0.14520113526736347</v>
      </c>
    </row>
    <row r="24" spans="1:30" s="32" customFormat="1" ht="12.6" x14ac:dyDescent="0.25">
      <c r="A24" s="35"/>
      <c r="B24" s="35"/>
      <c r="D24" s="97"/>
      <c r="E24" s="97" t="s">
        <v>51</v>
      </c>
      <c r="G24" s="97"/>
      <c r="H24" s="101"/>
      <c r="I24" s="97"/>
      <c r="J24" s="98" t="s">
        <v>49</v>
      </c>
      <c r="L24" s="38"/>
      <c r="M24" s="103"/>
      <c r="N24" s="108"/>
      <c r="O24" s="226"/>
      <c r="P24" s="228"/>
      <c r="Q24" s="228">
        <f t="shared" ref="Q24:AD24" si="11">IS_Net_Income/IS_Revenue</f>
        <v>8.3389145612930829E-2</v>
      </c>
      <c r="R24" s="228">
        <f t="shared" si="11"/>
        <v>1.2480935231691833E-2</v>
      </c>
      <c r="S24" s="108" t="e">
        <f t="shared" si="11"/>
        <v>#NAME?</v>
      </c>
      <c r="T24" s="108" t="e">
        <f t="shared" si="11"/>
        <v>#NAME?</v>
      </c>
      <c r="U24" s="108" t="e">
        <f t="shared" si="11"/>
        <v>#NAME?</v>
      </c>
      <c r="V24" s="108" t="e">
        <f t="shared" si="11"/>
        <v>#NAME?</v>
      </c>
      <c r="W24" s="108" t="e">
        <f t="shared" si="11"/>
        <v>#NAME?</v>
      </c>
      <c r="X24" s="108" t="e">
        <f t="shared" si="11"/>
        <v>#NAME?</v>
      </c>
      <c r="Y24" s="108" t="e">
        <f t="shared" si="11"/>
        <v>#NAME?</v>
      </c>
      <c r="Z24" s="108" t="e">
        <f t="shared" si="11"/>
        <v>#NAME?</v>
      </c>
      <c r="AA24" s="108" t="e">
        <f t="shared" si="11"/>
        <v>#NAME?</v>
      </c>
      <c r="AB24" s="108" t="e">
        <f t="shared" si="11"/>
        <v>#NAME?</v>
      </c>
      <c r="AC24" s="108" t="e">
        <f t="shared" si="11"/>
        <v>#NAME?</v>
      </c>
      <c r="AD24" s="108" t="e">
        <f t="shared" si="11"/>
        <v>#NAME?</v>
      </c>
    </row>
    <row r="25" spans="1:30" s="32" customFormat="1" ht="12.6" x14ac:dyDescent="0.25">
      <c r="A25" s="35"/>
      <c r="B25" s="35"/>
      <c r="D25" s="97"/>
      <c r="E25" s="97" t="s">
        <v>53</v>
      </c>
      <c r="G25" s="97"/>
      <c r="H25" s="101"/>
      <c r="I25" s="97"/>
      <c r="J25" s="98" t="s">
        <v>49</v>
      </c>
      <c r="L25" s="38"/>
      <c r="M25" s="103"/>
      <c r="N25" s="108"/>
      <c r="O25" s="226"/>
      <c r="P25" s="226"/>
      <c r="Q25" s="226">
        <f t="shared" ref="Q25:AD25" si="12">IS_Net_Income/BS_Equity</f>
        <v>7.8041376939347498E-2</v>
      </c>
      <c r="R25" s="226">
        <f t="shared" si="12"/>
        <v>8.6491451844514598E-3</v>
      </c>
      <c r="S25" s="108" t="e">
        <f t="shared" si="12"/>
        <v>#NAME?</v>
      </c>
      <c r="T25" s="108" t="e">
        <f t="shared" si="12"/>
        <v>#NAME?</v>
      </c>
      <c r="U25" s="108" t="e">
        <f t="shared" si="12"/>
        <v>#NAME?</v>
      </c>
      <c r="V25" s="108" t="e">
        <f t="shared" si="12"/>
        <v>#NAME?</v>
      </c>
      <c r="W25" s="108" t="e">
        <f t="shared" si="12"/>
        <v>#NAME?</v>
      </c>
      <c r="X25" s="108" t="e">
        <f t="shared" si="12"/>
        <v>#NAME?</v>
      </c>
      <c r="Y25" s="108" t="e">
        <f t="shared" si="12"/>
        <v>#NAME?</v>
      </c>
      <c r="Z25" s="108" t="e">
        <f t="shared" si="12"/>
        <v>#NAME?</v>
      </c>
      <c r="AA25" s="108" t="e">
        <f t="shared" si="12"/>
        <v>#NAME?</v>
      </c>
      <c r="AB25" s="108" t="e">
        <f t="shared" si="12"/>
        <v>#NAME?</v>
      </c>
      <c r="AC25" s="108" t="e">
        <f t="shared" si="12"/>
        <v>#NAME?</v>
      </c>
      <c r="AD25" s="108" t="e">
        <f t="shared" si="12"/>
        <v>#NAME?</v>
      </c>
    </row>
    <row r="26" spans="1:30" s="32" customFormat="1" ht="12.6" x14ac:dyDescent="0.25">
      <c r="A26" s="35"/>
      <c r="B26" s="35"/>
      <c r="D26" s="97"/>
      <c r="E26" s="97"/>
      <c r="G26" s="97"/>
      <c r="H26" s="101"/>
      <c r="I26" s="97"/>
      <c r="J26" s="98"/>
      <c r="L26" s="38"/>
      <c r="M26" s="103"/>
      <c r="N26" s="101"/>
      <c r="O26" s="222"/>
      <c r="P26" s="222"/>
      <c r="Q26" s="222"/>
      <c r="R26" s="222"/>
      <c r="S26" s="101"/>
      <c r="T26" s="101"/>
      <c r="U26" s="101"/>
      <c r="V26" s="101"/>
      <c r="W26" s="101"/>
      <c r="X26" s="101"/>
      <c r="Y26" s="101"/>
      <c r="Z26" s="101"/>
      <c r="AA26" s="101"/>
      <c r="AB26" s="101"/>
      <c r="AC26" s="101"/>
      <c r="AD26" s="101"/>
    </row>
    <row r="27" spans="1:30" s="32" customFormat="1" ht="12.6" x14ac:dyDescent="0.25">
      <c r="A27" s="35"/>
      <c r="B27" s="35"/>
      <c r="D27" s="32" t="s">
        <v>54</v>
      </c>
      <c r="E27" s="97"/>
      <c r="G27" s="97"/>
      <c r="H27" s="101"/>
      <c r="I27" s="97"/>
      <c r="J27" s="98"/>
      <c r="L27" s="38"/>
      <c r="M27" s="103"/>
      <c r="N27" s="101"/>
      <c r="O27" s="222"/>
      <c r="P27" s="222"/>
      <c r="Q27" s="222"/>
      <c r="R27" s="222"/>
      <c r="S27" s="101"/>
      <c r="T27" s="101"/>
      <c r="U27" s="101"/>
      <c r="V27" s="101"/>
      <c r="W27" s="101"/>
      <c r="X27" s="101"/>
      <c r="Y27" s="101"/>
      <c r="Z27" s="101"/>
      <c r="AA27" s="101"/>
      <c r="AB27" s="101"/>
      <c r="AC27" s="101"/>
      <c r="AD27" s="101"/>
    </row>
    <row r="28" spans="1:30" s="32" customFormat="1" ht="12.6" x14ac:dyDescent="0.25">
      <c r="A28" s="35"/>
      <c r="B28" s="35"/>
      <c r="D28" s="97"/>
      <c r="E28" s="97" t="s">
        <v>55</v>
      </c>
      <c r="G28" s="97"/>
      <c r="H28" s="101"/>
      <c r="I28" s="97"/>
      <c r="J28" s="98" t="s">
        <v>52</v>
      </c>
      <c r="L28" s="38"/>
      <c r="M28" s="103"/>
      <c r="N28" s="82"/>
      <c r="O28" s="227"/>
      <c r="P28" s="228"/>
      <c r="Q28" s="676">
        <f t="shared" ref="Q28:AD28" si="13">(BS_Debt_Current+BS_Debt_Non_Current)/BS_Equity</f>
        <v>0.6943582046374539</v>
      </c>
      <c r="R28" s="676">
        <f t="shared" si="13"/>
        <v>0.47923209092946489</v>
      </c>
      <c r="S28" s="21" t="e">
        <f t="shared" si="13"/>
        <v>#NAME?</v>
      </c>
      <c r="T28" s="21" t="e">
        <f t="shared" si="13"/>
        <v>#NAME?</v>
      </c>
      <c r="U28" s="21" t="e">
        <f t="shared" si="13"/>
        <v>#NAME?</v>
      </c>
      <c r="V28" s="21" t="e">
        <f t="shared" si="13"/>
        <v>#NAME?</v>
      </c>
      <c r="W28" s="21" t="e">
        <f t="shared" si="13"/>
        <v>#NAME?</v>
      </c>
      <c r="X28" s="21" t="e">
        <f t="shared" si="13"/>
        <v>#NAME?</v>
      </c>
      <c r="Y28" s="21" t="e">
        <f t="shared" si="13"/>
        <v>#NAME?</v>
      </c>
      <c r="Z28" s="21" t="e">
        <f t="shared" si="13"/>
        <v>#NAME?</v>
      </c>
      <c r="AA28" s="21" t="e">
        <f t="shared" si="13"/>
        <v>#NAME?</v>
      </c>
      <c r="AB28" s="21" t="e">
        <f t="shared" si="13"/>
        <v>#NAME?</v>
      </c>
      <c r="AC28" s="21" t="e">
        <f t="shared" si="13"/>
        <v>#NAME?</v>
      </c>
      <c r="AD28" s="21" t="e">
        <f t="shared" si="13"/>
        <v>#NAME?</v>
      </c>
    </row>
    <row r="29" spans="1:30" s="32" customFormat="1" ht="12.6" x14ac:dyDescent="0.25">
      <c r="A29" s="35"/>
      <c r="B29" s="35"/>
      <c r="D29" s="97"/>
      <c r="E29" s="97" t="s">
        <v>697</v>
      </c>
      <c r="G29" s="97"/>
      <c r="H29" s="101"/>
      <c r="I29" s="97"/>
      <c r="J29" s="98" t="s">
        <v>52</v>
      </c>
      <c r="L29" s="38"/>
      <c r="M29" s="103"/>
      <c r="N29" s="82"/>
      <c r="O29" s="227"/>
      <c r="P29" s="228"/>
      <c r="Q29" s="676">
        <f t="shared" ref="Q29:AD29" si="14">((BS_Debt_Current+BS_Debt_Non_Current)-BS_Cash)/BS_Equity</f>
        <v>0.11360944512807397</v>
      </c>
      <c r="R29" s="676">
        <f t="shared" si="14"/>
        <v>-0.10537375872592503</v>
      </c>
      <c r="S29" s="21" t="e">
        <f t="shared" si="14"/>
        <v>#NAME?</v>
      </c>
      <c r="T29" s="21" t="e">
        <f t="shared" si="14"/>
        <v>#NAME?</v>
      </c>
      <c r="U29" s="21" t="e">
        <f t="shared" si="14"/>
        <v>#NAME?</v>
      </c>
      <c r="V29" s="21" t="e">
        <f t="shared" si="14"/>
        <v>#NAME?</v>
      </c>
      <c r="W29" s="21" t="e">
        <f t="shared" si="14"/>
        <v>#NAME?</v>
      </c>
      <c r="X29" s="21" t="e">
        <f t="shared" si="14"/>
        <v>#NAME?</v>
      </c>
      <c r="Y29" s="21" t="e">
        <f t="shared" si="14"/>
        <v>#NAME?</v>
      </c>
      <c r="Z29" s="21" t="e">
        <f t="shared" si="14"/>
        <v>#NAME?</v>
      </c>
      <c r="AA29" s="21" t="e">
        <f t="shared" si="14"/>
        <v>#NAME?</v>
      </c>
      <c r="AB29" s="21" t="e">
        <f t="shared" si="14"/>
        <v>#NAME?</v>
      </c>
      <c r="AC29" s="21" t="e">
        <f t="shared" si="14"/>
        <v>#NAME?</v>
      </c>
      <c r="AD29" s="21" t="e">
        <f t="shared" si="14"/>
        <v>#NAME?</v>
      </c>
    </row>
    <row r="30" spans="1:30" s="32" customFormat="1" ht="12.6" x14ac:dyDescent="0.25">
      <c r="A30" s="35"/>
      <c r="B30" s="35"/>
      <c r="D30" s="97"/>
      <c r="E30" s="97" t="s">
        <v>56</v>
      </c>
      <c r="G30" s="97"/>
      <c r="H30" s="101"/>
      <c r="I30" s="97"/>
      <c r="J30" s="98" t="s">
        <v>52</v>
      </c>
      <c r="L30" s="38"/>
      <c r="M30" s="99"/>
      <c r="N30" s="82"/>
      <c r="O30" s="227"/>
      <c r="P30" s="227"/>
      <c r="Q30" s="676">
        <f t="shared" ref="Q30:AD30" si="15">(BS_Debt_Current+BS_Debt_Non_Current)/BS_Total_Assets</f>
        <v>0.28048576015825055</v>
      </c>
      <c r="R30" s="676">
        <f t="shared" si="15"/>
        <v>0.23679826645111235</v>
      </c>
      <c r="S30" s="21" t="e">
        <f t="shared" si="15"/>
        <v>#NAME?</v>
      </c>
      <c r="T30" s="21" t="e">
        <f t="shared" si="15"/>
        <v>#NAME?</v>
      </c>
      <c r="U30" s="21" t="e">
        <f t="shared" si="15"/>
        <v>#NAME?</v>
      </c>
      <c r="V30" s="21" t="e">
        <f t="shared" si="15"/>
        <v>#NAME?</v>
      </c>
      <c r="W30" s="21" t="e">
        <f t="shared" si="15"/>
        <v>#NAME?</v>
      </c>
      <c r="X30" s="21" t="e">
        <f t="shared" si="15"/>
        <v>#NAME?</v>
      </c>
      <c r="Y30" s="21" t="e">
        <f t="shared" si="15"/>
        <v>#NAME?</v>
      </c>
      <c r="Z30" s="21" t="e">
        <f t="shared" si="15"/>
        <v>#NAME?</v>
      </c>
      <c r="AA30" s="21" t="e">
        <f t="shared" si="15"/>
        <v>#NAME?</v>
      </c>
      <c r="AB30" s="21" t="e">
        <f t="shared" si="15"/>
        <v>#NAME?</v>
      </c>
      <c r="AC30" s="21" t="e">
        <f t="shared" si="15"/>
        <v>#NAME?</v>
      </c>
      <c r="AD30" s="21" t="e">
        <f t="shared" si="15"/>
        <v>#NAME?</v>
      </c>
    </row>
    <row r="31" spans="1:30" s="32" customFormat="1" ht="12.6" x14ac:dyDescent="0.25">
      <c r="A31" s="35"/>
      <c r="B31" s="35"/>
      <c r="D31" s="97"/>
      <c r="E31" s="97" t="s">
        <v>57</v>
      </c>
      <c r="G31" s="97"/>
      <c r="H31" s="101"/>
      <c r="I31" s="97"/>
      <c r="J31" s="98" t="s">
        <v>52</v>
      </c>
      <c r="L31" s="38"/>
      <c r="M31" s="99"/>
      <c r="N31" s="82"/>
      <c r="O31" s="227"/>
      <c r="P31" s="227"/>
      <c r="Q31" s="227">
        <f t="shared" ref="Q31:AD31" si="16">(BS_Debt_Current+BS_Debt_Non_Current)/IS_EBITDA</f>
        <v>2.6859744725019867</v>
      </c>
      <c r="R31" s="227">
        <f t="shared" si="16"/>
        <v>3.2127150475307209</v>
      </c>
      <c r="S31" s="82">
        <f t="shared" si="16"/>
        <v>4.083564760048783</v>
      </c>
      <c r="T31" s="82">
        <f t="shared" si="16"/>
        <v>3.1356894585762003</v>
      </c>
      <c r="U31" s="82">
        <f t="shared" si="16"/>
        <v>2.3581089872881984</v>
      </c>
      <c r="V31" s="82">
        <f t="shared" si="16"/>
        <v>1.9041848635608833</v>
      </c>
      <c r="W31" s="82">
        <f t="shared" si="16"/>
        <v>1.0211423243790119</v>
      </c>
      <c r="X31" s="82">
        <f t="shared" si="16"/>
        <v>0.57857122274339157</v>
      </c>
      <c r="Y31" s="82">
        <f t="shared" si="16"/>
        <v>0.26016005768897899</v>
      </c>
      <c r="Z31" s="82">
        <f t="shared" si="16"/>
        <v>9.7017145309716793E-2</v>
      </c>
      <c r="AA31" s="82">
        <f t="shared" si="16"/>
        <v>0</v>
      </c>
      <c r="AB31" s="82">
        <f t="shared" si="16"/>
        <v>0</v>
      </c>
      <c r="AC31" s="82">
        <f t="shared" si="16"/>
        <v>0</v>
      </c>
      <c r="AD31" s="82">
        <f t="shared" si="16"/>
        <v>0</v>
      </c>
    </row>
    <row r="32" spans="1:30" s="32" customFormat="1" ht="12.6" x14ac:dyDescent="0.25">
      <c r="A32" s="35"/>
      <c r="B32" s="35"/>
      <c r="D32" s="97"/>
      <c r="E32" s="97" t="s">
        <v>58</v>
      </c>
      <c r="G32" s="97"/>
      <c r="H32" s="101"/>
      <c r="I32" s="97"/>
      <c r="J32" s="98" t="s">
        <v>52</v>
      </c>
      <c r="L32" s="38"/>
      <c r="M32" s="99"/>
      <c r="N32" s="108"/>
      <c r="O32" s="226"/>
      <c r="P32" s="226"/>
      <c r="Q32" s="226"/>
      <c r="R32" s="226"/>
      <c r="S32" s="90">
        <f t="shared" ref="S32:AD32" si="17">IFERROR(-IS_EBITDA/S18,0)</f>
        <v>0</v>
      </c>
      <c r="T32" s="90">
        <f t="shared" si="17"/>
        <v>0</v>
      </c>
      <c r="U32" s="90">
        <f t="shared" si="17"/>
        <v>0</v>
      </c>
      <c r="V32" s="90">
        <f t="shared" si="17"/>
        <v>0</v>
      </c>
      <c r="W32" s="90">
        <f t="shared" si="17"/>
        <v>0</v>
      </c>
      <c r="X32" s="90">
        <f t="shared" si="17"/>
        <v>0</v>
      </c>
      <c r="Y32" s="90">
        <f t="shared" si="17"/>
        <v>0</v>
      </c>
      <c r="Z32" s="90">
        <f t="shared" si="17"/>
        <v>0</v>
      </c>
      <c r="AA32" s="90">
        <f t="shared" si="17"/>
        <v>0</v>
      </c>
      <c r="AB32" s="90">
        <f t="shared" si="17"/>
        <v>0</v>
      </c>
      <c r="AC32" s="90">
        <f t="shared" si="17"/>
        <v>0</v>
      </c>
      <c r="AD32" s="90">
        <f t="shared" si="17"/>
        <v>0</v>
      </c>
    </row>
    <row r="33" spans="1:30" s="32" customFormat="1" ht="12.6" x14ac:dyDescent="0.25">
      <c r="A33" s="35"/>
      <c r="B33" s="35"/>
      <c r="D33" s="97"/>
      <c r="E33" s="97" t="s">
        <v>59</v>
      </c>
      <c r="G33" s="97"/>
      <c r="H33" s="101"/>
      <c r="I33" s="97"/>
      <c r="J33" s="98" t="s">
        <v>52</v>
      </c>
      <c r="L33" s="38"/>
      <c r="M33" s="103"/>
      <c r="N33" s="108"/>
      <c r="O33" s="226"/>
      <c r="P33" s="226"/>
      <c r="Q33" s="226"/>
      <c r="R33" s="226"/>
      <c r="S33" s="21">
        <f t="shared" ref="S33:AD33" si="18">IFERROR(CF_FCFF/S18,0)</f>
        <v>0</v>
      </c>
      <c r="T33" s="21">
        <f t="shared" si="18"/>
        <v>0</v>
      </c>
      <c r="U33" s="21">
        <f t="shared" si="18"/>
        <v>0</v>
      </c>
      <c r="V33" s="21">
        <f t="shared" si="18"/>
        <v>0</v>
      </c>
      <c r="W33" s="21">
        <f t="shared" si="18"/>
        <v>0</v>
      </c>
      <c r="X33" s="21">
        <f t="shared" si="18"/>
        <v>0</v>
      </c>
      <c r="Y33" s="21">
        <f t="shared" si="18"/>
        <v>0</v>
      </c>
      <c r="Z33" s="21">
        <f t="shared" si="18"/>
        <v>0</v>
      </c>
      <c r="AA33" s="21">
        <f t="shared" si="18"/>
        <v>0</v>
      </c>
      <c r="AB33" s="21">
        <f t="shared" si="18"/>
        <v>0</v>
      </c>
      <c r="AC33" s="21">
        <f t="shared" si="18"/>
        <v>0</v>
      </c>
      <c r="AD33" s="21">
        <f t="shared" si="18"/>
        <v>0</v>
      </c>
    </row>
    <row r="34" spans="1:30" s="32" customFormat="1" ht="12.6" x14ac:dyDescent="0.25">
      <c r="A34" s="35"/>
      <c r="B34" s="35"/>
      <c r="D34" s="97"/>
      <c r="E34" s="97"/>
      <c r="G34" s="97"/>
      <c r="H34" s="101"/>
      <c r="I34" s="97"/>
      <c r="J34" s="98"/>
      <c r="L34" s="38"/>
      <c r="M34" s="103"/>
      <c r="N34" s="108"/>
      <c r="O34" s="226"/>
      <c r="P34" s="226"/>
      <c r="Q34" s="226"/>
      <c r="R34" s="226"/>
      <c r="S34" s="108"/>
      <c r="T34" s="108"/>
      <c r="U34" s="108"/>
      <c r="V34" s="108"/>
      <c r="W34" s="108"/>
      <c r="X34" s="108"/>
      <c r="Y34" s="108"/>
      <c r="Z34" s="108"/>
      <c r="AA34" s="108"/>
      <c r="AB34" s="108"/>
      <c r="AC34" s="108"/>
      <c r="AD34" s="108"/>
    </row>
    <row r="35" spans="1:30" s="32" customFormat="1" ht="13.2" thickBot="1" x14ac:dyDescent="0.3">
      <c r="A35" s="35"/>
      <c r="B35" s="35"/>
      <c r="D35" s="97"/>
      <c r="E35" s="97"/>
      <c r="G35" s="97"/>
      <c r="H35" s="101"/>
      <c r="I35" s="97"/>
      <c r="J35" s="98"/>
      <c r="L35" s="38"/>
      <c r="M35" s="103"/>
      <c r="N35" s="101"/>
      <c r="O35" s="101"/>
      <c r="P35" s="101"/>
      <c r="Q35" s="101"/>
      <c r="R35" s="101"/>
      <c r="S35" s="101"/>
      <c r="T35" s="101"/>
      <c r="U35" s="101"/>
      <c r="V35" s="101"/>
      <c r="W35" s="101"/>
      <c r="X35" s="101"/>
      <c r="Y35" s="101"/>
      <c r="Z35" s="101"/>
      <c r="AA35" s="101"/>
      <c r="AB35" s="101"/>
      <c r="AC35" s="101"/>
      <c r="AD35" s="101"/>
    </row>
    <row r="36" spans="1:30" ht="12.6" thickTop="1" x14ac:dyDescent="0.2">
      <c r="B36" s="20"/>
      <c r="C36" s="336" t="s">
        <v>61</v>
      </c>
      <c r="D36" s="337"/>
      <c r="E36" s="338"/>
      <c r="F36" s="338"/>
      <c r="G36" s="338"/>
      <c r="H36" s="338"/>
      <c r="I36" s="338"/>
      <c r="J36" s="340"/>
      <c r="K36" s="338"/>
      <c r="L36" s="342"/>
      <c r="M36" s="338"/>
      <c r="N36" s="343"/>
      <c r="O36" s="343"/>
      <c r="P36" s="343"/>
      <c r="Q36" s="343"/>
      <c r="R36" s="343"/>
      <c r="S36" s="343"/>
      <c r="T36" s="343"/>
      <c r="U36" s="343"/>
      <c r="V36" s="343"/>
      <c r="W36" s="343"/>
      <c r="X36" s="343"/>
      <c r="Y36" s="343"/>
      <c r="Z36" s="343"/>
      <c r="AA36" s="343"/>
      <c r="AB36" s="343"/>
      <c r="AC36" s="343"/>
      <c r="AD36" s="343"/>
    </row>
    <row r="37" spans="1:30" s="32" customFormat="1" ht="12.6" x14ac:dyDescent="0.25">
      <c r="A37" s="35"/>
      <c r="B37" s="35"/>
      <c r="D37" s="97"/>
      <c r="E37" s="97"/>
      <c r="G37" s="97"/>
      <c r="H37" s="101"/>
      <c r="I37" s="97"/>
      <c r="J37" s="98"/>
      <c r="L37" s="38"/>
      <c r="M37" s="103"/>
      <c r="N37" s="101"/>
      <c r="O37" s="101"/>
      <c r="P37" s="101"/>
      <c r="Q37" s="101"/>
      <c r="R37" s="101"/>
      <c r="S37" s="101"/>
      <c r="T37" s="101"/>
      <c r="U37" s="101"/>
      <c r="V37" s="101"/>
      <c r="W37" s="101"/>
      <c r="X37" s="101"/>
      <c r="Y37" s="101"/>
      <c r="Z37" s="101"/>
      <c r="AA37" s="101"/>
      <c r="AB37" s="101"/>
      <c r="AC37" s="101"/>
      <c r="AD37" s="101"/>
    </row>
    <row r="38" spans="1:30" s="32" customFormat="1" ht="12.6" x14ac:dyDescent="0.25">
      <c r="A38" s="35"/>
      <c r="B38" s="35"/>
      <c r="D38" s="97"/>
      <c r="E38" s="97" t="s">
        <v>62</v>
      </c>
      <c r="G38" s="97"/>
      <c r="H38" s="101"/>
      <c r="I38" s="97"/>
      <c r="J38" s="98" t="s">
        <v>1210</v>
      </c>
      <c r="L38" s="38"/>
      <c r="M38" s="103"/>
      <c r="N38" s="101"/>
      <c r="O38" s="222">
        <f t="shared" ref="O38" si="19">IS_Revenue</f>
        <v>0</v>
      </c>
      <c r="P38" s="222">
        <f t="shared" ref="P38:AD38" si="20">IS_Revenue/Inputs_Thousand</f>
        <v>70.912999999999997</v>
      </c>
      <c r="Q38" s="222">
        <f t="shared" si="20"/>
        <v>446.43700000000001</v>
      </c>
      <c r="R38" s="222">
        <f t="shared" si="20"/>
        <v>500.92399999999998</v>
      </c>
      <c r="S38" s="101">
        <f t="shared" si="20"/>
        <v>583.51559155405357</v>
      </c>
      <c r="T38" s="101">
        <f t="shared" si="20"/>
        <v>685.34487208057294</v>
      </c>
      <c r="U38" s="101">
        <f t="shared" si="20"/>
        <v>812.19048205993295</v>
      </c>
      <c r="V38" s="101">
        <f t="shared" si="20"/>
        <v>971.82479453884355</v>
      </c>
      <c r="W38" s="101">
        <f t="shared" si="20"/>
        <v>1174.7426343971476</v>
      </c>
      <c r="X38" s="101">
        <f t="shared" si="20"/>
        <v>1435.162002211099</v>
      </c>
      <c r="Y38" s="101">
        <f t="shared" si="20"/>
        <v>1772.3990714365771</v>
      </c>
      <c r="Z38" s="101">
        <f t="shared" si="20"/>
        <v>2212.7582734427338</v>
      </c>
      <c r="AA38" s="101">
        <f t="shared" si="20"/>
        <v>2792.1313709527844</v>
      </c>
      <c r="AB38" s="101">
        <f t="shared" si="20"/>
        <v>3559.5725330697442</v>
      </c>
      <c r="AC38" s="101">
        <f t="shared" si="20"/>
        <v>4582.2171209917396</v>
      </c>
      <c r="AD38" s="101">
        <f t="shared" si="20"/>
        <v>5952.0505810853574</v>
      </c>
    </row>
    <row r="39" spans="1:30" s="32" customFormat="1" ht="12.6" x14ac:dyDescent="0.25">
      <c r="A39" s="35"/>
      <c r="B39" s="35"/>
      <c r="D39" s="97"/>
      <c r="E39" s="97" t="s">
        <v>12</v>
      </c>
      <c r="G39" s="97"/>
      <c r="H39" s="101"/>
      <c r="I39" s="97"/>
      <c r="J39" s="98" t="s">
        <v>1210</v>
      </c>
      <c r="L39" s="38"/>
      <c r="M39" s="103"/>
      <c r="N39" s="101"/>
      <c r="O39" s="222">
        <f t="shared" ref="O39" si="21">IS_EBITDA</f>
        <v>0</v>
      </c>
      <c r="P39" s="222">
        <f t="shared" ref="P39:AD39" si="22">IS_EBITDA/Inputs_Thousand</f>
        <v>7.3819999999999997</v>
      </c>
      <c r="Q39" s="222">
        <f t="shared" si="22"/>
        <v>123.318</v>
      </c>
      <c r="R39" s="222">
        <f t="shared" si="22"/>
        <v>107.825</v>
      </c>
      <c r="S39" s="101">
        <f t="shared" si="22"/>
        <v>80.488744347983229</v>
      </c>
      <c r="T39" s="101">
        <f t="shared" si="22"/>
        <v>94.534831626661997</v>
      </c>
      <c r="U39" s="101">
        <f t="shared" si="22"/>
        <v>112.03161152606755</v>
      </c>
      <c r="V39" s="101">
        <f t="shared" si="22"/>
        <v>111.95531961184702</v>
      </c>
      <c r="W39" s="101">
        <f t="shared" si="22"/>
        <v>158.82653781746771</v>
      </c>
      <c r="X39" s="101">
        <f t="shared" si="22"/>
        <v>194.0355319915231</v>
      </c>
      <c r="Y39" s="101">
        <f t="shared" si="22"/>
        <v>239.63036660504619</v>
      </c>
      <c r="Z39" s="101">
        <f t="shared" si="22"/>
        <v>321.29501337613613</v>
      </c>
      <c r="AA39" s="101">
        <f t="shared" si="22"/>
        <v>405.42064487796438</v>
      </c>
      <c r="AB39" s="101">
        <f t="shared" si="22"/>
        <v>516.85397286825184</v>
      </c>
      <c r="AC39" s="101">
        <f t="shared" si="22"/>
        <v>665.34312800955047</v>
      </c>
      <c r="AD39" s="101">
        <f t="shared" si="22"/>
        <v>864.24450154236445</v>
      </c>
    </row>
    <row r="40" spans="1:30" s="32" customFormat="1" ht="12.6" x14ac:dyDescent="0.25">
      <c r="A40" s="35"/>
      <c r="B40" s="35"/>
      <c r="D40" s="27" t="s">
        <v>40</v>
      </c>
      <c r="E40" s="28"/>
      <c r="F40" s="27"/>
      <c r="G40" s="28"/>
      <c r="H40" s="100"/>
      <c r="I40" s="28"/>
      <c r="J40" s="29" t="s">
        <v>1210</v>
      </c>
      <c r="K40" s="27"/>
      <c r="L40" s="83"/>
      <c r="M40" s="66"/>
      <c r="N40" s="66"/>
      <c r="O40" s="224">
        <f t="shared" ref="O40" si="23">IS_Net_Income</f>
        <v>0</v>
      </c>
      <c r="P40" s="224">
        <f t="shared" ref="P40:AD40" si="24">IS_Net_Income/Inputs_Thousand</f>
        <v>5.8209999999999997</v>
      </c>
      <c r="Q40" s="224">
        <f t="shared" si="24"/>
        <v>37.228000000000002</v>
      </c>
      <c r="R40" s="224">
        <f t="shared" si="24"/>
        <v>6.2519999999999998</v>
      </c>
      <c r="S40" s="66" t="e">
        <f t="shared" si="24"/>
        <v>#NAME?</v>
      </c>
      <c r="T40" s="66" t="e">
        <f t="shared" si="24"/>
        <v>#NAME?</v>
      </c>
      <c r="U40" s="66" t="e">
        <f t="shared" si="24"/>
        <v>#NAME?</v>
      </c>
      <c r="V40" s="66" t="e">
        <f t="shared" si="24"/>
        <v>#NAME?</v>
      </c>
      <c r="W40" s="66" t="e">
        <f t="shared" si="24"/>
        <v>#NAME?</v>
      </c>
      <c r="X40" s="66" t="e">
        <f t="shared" si="24"/>
        <v>#NAME?</v>
      </c>
      <c r="Y40" s="66" t="e">
        <f t="shared" si="24"/>
        <v>#NAME?</v>
      </c>
      <c r="Z40" s="66" t="e">
        <f t="shared" si="24"/>
        <v>#NAME?</v>
      </c>
      <c r="AA40" s="66" t="e">
        <f t="shared" si="24"/>
        <v>#NAME?</v>
      </c>
      <c r="AB40" s="66" t="e">
        <f t="shared" si="24"/>
        <v>#NAME?</v>
      </c>
      <c r="AC40" s="66" t="e">
        <f t="shared" si="24"/>
        <v>#NAME?</v>
      </c>
      <c r="AD40" s="66" t="e">
        <f t="shared" si="24"/>
        <v>#NAME?</v>
      </c>
    </row>
    <row r="41" spans="1:30" s="32" customFormat="1" ht="13.2" thickBot="1" x14ac:dyDescent="0.3">
      <c r="A41" s="35"/>
      <c r="B41" s="35"/>
      <c r="E41" s="97"/>
      <c r="G41" s="97"/>
      <c r="H41" s="101"/>
      <c r="I41" s="97"/>
      <c r="J41" s="98"/>
      <c r="L41" s="38"/>
      <c r="M41" s="103"/>
      <c r="N41" s="103"/>
      <c r="O41" s="223"/>
      <c r="P41" s="675">
        <f t="shared" ref="P41:R41" si="25">P39/P38</f>
        <v>0.10409938939263605</v>
      </c>
      <c r="Q41" s="675">
        <f t="shared" si="25"/>
        <v>0.27622710483226076</v>
      </c>
      <c r="R41" s="675">
        <f t="shared" si="25"/>
        <v>0.21525221390869675</v>
      </c>
      <c r="S41" s="81">
        <f>S39/S38</f>
        <v>0.13793760700313218</v>
      </c>
      <c r="T41" s="81">
        <f t="shared" ref="T41:AD41" si="26">T39/T38</f>
        <v>0.13793760700313223</v>
      </c>
      <c r="U41" s="81">
        <f t="shared" si="26"/>
        <v>0.13793760700313223</v>
      </c>
      <c r="V41" s="81">
        <f t="shared" si="26"/>
        <v>0.11520113526736346</v>
      </c>
      <c r="W41" s="81">
        <f t="shared" si="26"/>
        <v>0.13520113526736349</v>
      </c>
      <c r="X41" s="81">
        <f t="shared" si="26"/>
        <v>0.13520113526736355</v>
      </c>
      <c r="Y41" s="81">
        <f t="shared" si="26"/>
        <v>0.13520113526736355</v>
      </c>
      <c r="Z41" s="81">
        <f t="shared" si="26"/>
        <v>0.1452011352673635</v>
      </c>
      <c r="AA41" s="81">
        <f t="shared" si="26"/>
        <v>0.1452011352673635</v>
      </c>
      <c r="AB41" s="81">
        <f t="shared" si="26"/>
        <v>0.14520113526736356</v>
      </c>
      <c r="AC41" s="81">
        <f t="shared" si="26"/>
        <v>0.14520113526736347</v>
      </c>
      <c r="AD41" s="81">
        <f t="shared" si="26"/>
        <v>0.1452011352673635</v>
      </c>
    </row>
    <row r="42" spans="1:30" ht="12.6" thickTop="1" x14ac:dyDescent="0.2">
      <c r="B42" s="20"/>
      <c r="C42" s="336" t="s">
        <v>21</v>
      </c>
      <c r="D42" s="337"/>
      <c r="E42" s="338"/>
      <c r="F42" s="338"/>
      <c r="G42" s="338"/>
      <c r="H42" s="338"/>
      <c r="I42" s="338"/>
      <c r="J42" s="340"/>
      <c r="K42" s="338"/>
      <c r="L42" s="342"/>
      <c r="M42" s="338"/>
      <c r="N42" s="343"/>
      <c r="O42" s="343"/>
      <c r="P42" s="343"/>
      <c r="Q42" s="343"/>
      <c r="R42" s="343"/>
      <c r="S42" s="343"/>
      <c r="T42" s="343"/>
      <c r="U42" s="343"/>
      <c r="V42" s="343"/>
      <c r="W42" s="343"/>
      <c r="X42" s="343"/>
      <c r="Y42" s="343"/>
      <c r="Z42" s="343"/>
      <c r="AA42" s="343"/>
      <c r="AB42" s="343"/>
      <c r="AC42" s="343"/>
      <c r="AD42" s="343"/>
    </row>
    <row r="43" spans="1:30" s="32" customFormat="1" ht="12.6" x14ac:dyDescent="0.25">
      <c r="A43" s="35"/>
      <c r="B43" s="35"/>
      <c r="D43" s="97"/>
      <c r="E43" s="97"/>
      <c r="G43" s="97"/>
      <c r="H43" s="101"/>
      <c r="I43" s="97"/>
      <c r="J43" s="98"/>
      <c r="L43" s="38"/>
      <c r="M43" s="103"/>
      <c r="N43" s="101"/>
      <c r="O43" s="101"/>
      <c r="P43" s="101"/>
      <c r="Q43" s="101"/>
      <c r="R43" s="101"/>
      <c r="S43" s="101"/>
      <c r="T43" s="101"/>
      <c r="U43" s="101"/>
      <c r="V43" s="101"/>
      <c r="W43" s="101"/>
      <c r="X43" s="101"/>
      <c r="Y43" s="101"/>
      <c r="Z43" s="101"/>
      <c r="AA43" s="101"/>
      <c r="AB43" s="101"/>
      <c r="AC43" s="101"/>
      <c r="AD43" s="101"/>
    </row>
    <row r="44" spans="1:30" s="32" customFormat="1" ht="12.6" x14ac:dyDescent="0.25">
      <c r="A44" s="35"/>
      <c r="B44" s="35"/>
      <c r="D44" s="97" t="s">
        <v>669</v>
      </c>
      <c r="E44" s="97"/>
      <c r="G44" s="97"/>
      <c r="H44" s="101"/>
      <c r="I44" s="97"/>
      <c r="J44" s="98" t="s">
        <v>1210</v>
      </c>
      <c r="L44" s="38"/>
      <c r="M44" s="103"/>
      <c r="N44" s="101"/>
      <c r="O44" s="101"/>
      <c r="P44" s="101"/>
      <c r="Q44" s="101">
        <f t="shared" ref="Q44:AD44" si="27">BS_Total_Assets/Inputs_Thousand</f>
        <v>1180.912</v>
      </c>
      <c r="R44" s="101">
        <f t="shared" si="27"/>
        <v>1462.895</v>
      </c>
      <c r="S44" s="101" t="e">
        <f t="shared" si="27"/>
        <v>#NAME?</v>
      </c>
      <c r="T44" s="101" t="e">
        <f t="shared" si="27"/>
        <v>#NAME?</v>
      </c>
      <c r="U44" s="101" t="e">
        <f t="shared" si="27"/>
        <v>#NAME?</v>
      </c>
      <c r="V44" s="101" t="e">
        <f t="shared" si="27"/>
        <v>#NAME?</v>
      </c>
      <c r="W44" s="101" t="e">
        <f t="shared" si="27"/>
        <v>#NAME?</v>
      </c>
      <c r="X44" s="101" t="e">
        <f t="shared" si="27"/>
        <v>#NAME?</v>
      </c>
      <c r="Y44" s="101" t="e">
        <f t="shared" si="27"/>
        <v>#NAME?</v>
      </c>
      <c r="Z44" s="101" t="e">
        <f t="shared" si="27"/>
        <v>#NAME?</v>
      </c>
      <c r="AA44" s="101" t="e">
        <f t="shared" si="27"/>
        <v>#NAME?</v>
      </c>
      <c r="AB44" s="101" t="e">
        <f t="shared" si="27"/>
        <v>#NAME?</v>
      </c>
      <c r="AC44" s="101" t="e">
        <f t="shared" si="27"/>
        <v>#NAME?</v>
      </c>
      <c r="AD44" s="101" t="e">
        <f t="shared" si="27"/>
        <v>#NAME?</v>
      </c>
    </row>
    <row r="45" spans="1:30" s="32" customFormat="1" ht="12.6" x14ac:dyDescent="0.25">
      <c r="A45" s="35"/>
      <c r="B45" s="35"/>
      <c r="D45" s="97" t="s">
        <v>111</v>
      </c>
      <c r="E45" s="97"/>
      <c r="G45" s="97"/>
      <c r="H45" s="101"/>
      <c r="I45" s="97"/>
      <c r="J45" s="98" t="s">
        <v>1210</v>
      </c>
      <c r="L45" s="38"/>
      <c r="M45" s="103"/>
      <c r="N45" s="101"/>
      <c r="O45" s="222" t="e" vm="1">
        <f t="array" aca="1" ref="O45" ca="1">_xlfn.SINGLE(BS_PPE)/Inputs_SAR_Thousand</f>
        <v>#NAME?</v>
      </c>
      <c r="P45" s="222"/>
      <c r="Q45" s="222">
        <f t="shared" ref="Q45:AD45" si="28">BS_PPE/Inputs_Thousand</f>
        <v>239.22900000000001</v>
      </c>
      <c r="R45" s="222">
        <f t="shared" si="28"/>
        <v>337.29700000000003</v>
      </c>
      <c r="S45" s="101">
        <f t="shared" si="28"/>
        <v>342.98970037083996</v>
      </c>
      <c r="T45" s="101">
        <f t="shared" si="28"/>
        <v>344.31180148335989</v>
      </c>
      <c r="U45" s="101">
        <f t="shared" si="28"/>
        <v>341.26330333755982</v>
      </c>
      <c r="V45" s="101">
        <f t="shared" si="28"/>
        <v>333.84420593343964</v>
      </c>
      <c r="W45" s="101">
        <f t="shared" si="28"/>
        <v>322.05450927099952</v>
      </c>
      <c r="X45" s="101">
        <f t="shared" si="28"/>
        <v>305.89421335023934</v>
      </c>
      <c r="Y45" s="101">
        <f t="shared" si="28"/>
        <v>285.36331817115911</v>
      </c>
      <c r="Z45" s="101">
        <f t="shared" si="28"/>
        <v>260.46182373375888</v>
      </c>
      <c r="AA45" s="101">
        <f t="shared" si="28"/>
        <v>231.18973003803856</v>
      </c>
      <c r="AB45" s="101">
        <f t="shared" si="28"/>
        <v>197.54703708399822</v>
      </c>
      <c r="AC45" s="101">
        <f t="shared" si="28"/>
        <v>159.53374487163779</v>
      </c>
      <c r="AD45" s="101">
        <f t="shared" si="28"/>
        <v>117.14985340095743</v>
      </c>
    </row>
    <row r="46" spans="1:30" s="32" customFormat="1" ht="12.6" x14ac:dyDescent="0.25">
      <c r="A46" s="35"/>
      <c r="B46" s="35"/>
      <c r="D46" s="97" t="s">
        <v>532</v>
      </c>
      <c r="E46" s="97"/>
      <c r="G46" s="97"/>
      <c r="H46" s="101"/>
      <c r="I46" s="97"/>
      <c r="J46" s="98" t="s">
        <v>1210</v>
      </c>
      <c r="L46" s="38"/>
      <c r="M46" s="103"/>
      <c r="N46" s="101"/>
      <c r="O46" s="222" t="e" vm="1">
        <f t="array" aca="1" ref="O46" ca="1">-_xlfn.SINGLE(BS_Debt)/Inputs_SAR_Thousand</f>
        <v>#NAME?</v>
      </c>
      <c r="P46" s="222"/>
      <c r="Q46" s="222">
        <f t="shared" ref="Q46:AD46" si="29">(BS_Debt_Current+BS_Debt_Non_Current)/Inputs_Thousand</f>
        <v>331.22899999999998</v>
      </c>
      <c r="R46" s="222">
        <f t="shared" si="29"/>
        <v>346.411</v>
      </c>
      <c r="S46" s="101">
        <f t="shared" si="29"/>
        <v>328.68099999999998</v>
      </c>
      <c r="T46" s="101">
        <f t="shared" si="29"/>
        <v>296.43187499999999</v>
      </c>
      <c r="U46" s="101">
        <f t="shared" si="29"/>
        <v>264.18275</v>
      </c>
      <c r="V46" s="101">
        <f t="shared" si="29"/>
        <v>213.18362500000001</v>
      </c>
      <c r="W46" s="101">
        <f t="shared" si="29"/>
        <v>162.18450000000001</v>
      </c>
      <c r="X46" s="101">
        <f t="shared" si="29"/>
        <v>112.263375</v>
      </c>
      <c r="Y46" s="101">
        <f t="shared" si="29"/>
        <v>62.34225</v>
      </c>
      <c r="Z46" s="101">
        <f t="shared" si="29"/>
        <v>31.171125</v>
      </c>
      <c r="AA46" s="101">
        <f t="shared" si="29"/>
        <v>0</v>
      </c>
      <c r="AB46" s="101">
        <f t="shared" si="29"/>
        <v>0</v>
      </c>
      <c r="AC46" s="101">
        <f t="shared" si="29"/>
        <v>0</v>
      </c>
      <c r="AD46" s="101">
        <f t="shared" si="29"/>
        <v>0</v>
      </c>
    </row>
    <row r="47" spans="1:30" s="32" customFormat="1" ht="12.6" x14ac:dyDescent="0.25">
      <c r="A47" s="35"/>
      <c r="B47" s="35"/>
      <c r="D47" s="97" t="s">
        <v>68</v>
      </c>
      <c r="E47" s="97"/>
      <c r="G47" s="97"/>
      <c r="H47" s="101"/>
      <c r="I47" s="97"/>
      <c r="J47" s="98" t="s">
        <v>1210</v>
      </c>
      <c r="L47" s="38"/>
      <c r="M47" s="103"/>
      <c r="N47" s="101"/>
      <c r="O47" s="222" t="e" vm="1">
        <f t="array" aca="1" ref="O47" ca="1">-_xlfn.SINGLE(BS_Equity)/Inputs_SAR_Thousand</f>
        <v>#NAME?</v>
      </c>
      <c r="P47" s="222"/>
      <c r="Q47" s="222">
        <f t="shared" ref="Q47:AD47" si="30">BS_Equity/Inputs_Thousand</f>
        <v>477.029</v>
      </c>
      <c r="R47" s="222">
        <f t="shared" si="30"/>
        <v>722.846</v>
      </c>
      <c r="S47" s="101" t="e">
        <f t="shared" si="30"/>
        <v>#NAME?</v>
      </c>
      <c r="T47" s="101" t="e">
        <f t="shared" si="30"/>
        <v>#NAME?</v>
      </c>
      <c r="U47" s="101" t="e">
        <f t="shared" si="30"/>
        <v>#NAME?</v>
      </c>
      <c r="V47" s="101" t="e">
        <f t="shared" si="30"/>
        <v>#NAME?</v>
      </c>
      <c r="W47" s="101" t="e">
        <f t="shared" si="30"/>
        <v>#NAME?</v>
      </c>
      <c r="X47" s="101" t="e">
        <f t="shared" si="30"/>
        <v>#NAME?</v>
      </c>
      <c r="Y47" s="101" t="e">
        <f t="shared" si="30"/>
        <v>#NAME?</v>
      </c>
      <c r="Z47" s="101" t="e">
        <f t="shared" si="30"/>
        <v>#NAME?</v>
      </c>
      <c r="AA47" s="101" t="e">
        <f t="shared" si="30"/>
        <v>#NAME?</v>
      </c>
      <c r="AB47" s="101" t="e">
        <f t="shared" si="30"/>
        <v>#NAME?</v>
      </c>
      <c r="AC47" s="101" t="e">
        <f t="shared" si="30"/>
        <v>#NAME?</v>
      </c>
      <c r="AD47" s="101" t="e">
        <f t="shared" si="30"/>
        <v>#NAME?</v>
      </c>
    </row>
    <row r="48" spans="1:30" s="32" customFormat="1" ht="13.2" thickBot="1" x14ac:dyDescent="0.3">
      <c r="A48" s="35"/>
      <c r="B48" s="35"/>
      <c r="E48" s="97"/>
      <c r="G48" s="97"/>
      <c r="H48" s="101"/>
      <c r="I48" s="97"/>
      <c r="J48" s="98"/>
      <c r="L48" s="38"/>
      <c r="M48" s="103"/>
      <c r="N48" s="103"/>
      <c r="O48" s="103"/>
      <c r="P48" s="103"/>
      <c r="Q48" s="103"/>
      <c r="R48" s="103"/>
      <c r="S48" s="103"/>
      <c r="T48" s="103"/>
      <c r="U48" s="103"/>
      <c r="V48" s="103"/>
      <c r="W48" s="103"/>
      <c r="X48" s="103"/>
      <c r="Y48" s="103"/>
      <c r="Z48" s="103"/>
      <c r="AA48" s="103"/>
      <c r="AB48" s="103"/>
      <c r="AC48" s="103"/>
      <c r="AD48" s="103"/>
    </row>
    <row r="49" spans="1:30" ht="12.6" thickTop="1" x14ac:dyDescent="0.2">
      <c r="B49" s="20"/>
      <c r="C49" s="336" t="s">
        <v>533</v>
      </c>
      <c r="D49" s="337"/>
      <c r="E49" s="338"/>
      <c r="F49" s="338"/>
      <c r="G49" s="338"/>
      <c r="H49" s="338"/>
      <c r="I49" s="338"/>
      <c r="J49" s="340"/>
      <c r="K49" s="338"/>
      <c r="L49" s="342"/>
      <c r="M49" s="338"/>
      <c r="N49" s="343"/>
      <c r="O49" s="343"/>
      <c r="P49" s="343"/>
      <c r="Q49" s="343"/>
      <c r="R49" s="343"/>
      <c r="S49" s="343"/>
      <c r="T49" s="343"/>
      <c r="U49" s="343"/>
      <c r="V49" s="343"/>
      <c r="W49" s="343"/>
      <c r="X49" s="343"/>
      <c r="Y49" s="343"/>
      <c r="Z49" s="343"/>
      <c r="AA49" s="343"/>
      <c r="AB49" s="343"/>
      <c r="AC49" s="343"/>
      <c r="AD49" s="343"/>
    </row>
    <row r="50" spans="1:30" s="32" customFormat="1" ht="12.6" x14ac:dyDescent="0.25">
      <c r="A50" s="35"/>
      <c r="B50" s="35"/>
      <c r="E50" s="97"/>
      <c r="G50" s="97"/>
      <c r="H50" s="101"/>
      <c r="I50" s="97"/>
      <c r="J50" s="98"/>
      <c r="L50" s="38"/>
      <c r="M50" s="103"/>
      <c r="N50" s="103"/>
      <c r="O50" s="103"/>
      <c r="P50" s="103"/>
      <c r="Q50" s="103"/>
      <c r="R50" s="103"/>
      <c r="S50" s="103"/>
      <c r="T50" s="103"/>
      <c r="U50" s="103"/>
      <c r="V50" s="103"/>
      <c r="W50" s="103"/>
      <c r="X50" s="103"/>
      <c r="Y50" s="103"/>
      <c r="Z50" s="103"/>
      <c r="AA50" s="103"/>
      <c r="AB50" s="103"/>
      <c r="AC50" s="103"/>
      <c r="AD50" s="103"/>
    </row>
    <row r="51" spans="1:30" s="32" customFormat="1" ht="12.6" x14ac:dyDescent="0.25">
      <c r="A51" s="35"/>
      <c r="B51" s="35"/>
      <c r="D51" s="32" t="s">
        <v>534</v>
      </c>
      <c r="E51" s="97"/>
      <c r="G51" s="97"/>
      <c r="H51" s="101"/>
      <c r="I51" s="97"/>
      <c r="J51" s="98" t="s">
        <v>1210</v>
      </c>
      <c r="L51" s="38"/>
      <c r="M51" s="103"/>
      <c r="N51" s="103"/>
      <c r="O51" s="223"/>
      <c r="P51" s="223"/>
      <c r="Q51" s="223"/>
      <c r="R51" s="223"/>
      <c r="S51" s="101" t="e">
        <f t="shared" ref="S51:AD51" si="31">(S15+S16-S17)/Inputs_Thousand</f>
        <v>#NAME?</v>
      </c>
      <c r="T51" s="101" t="e">
        <f t="shared" si="31"/>
        <v>#NAME?</v>
      </c>
      <c r="U51" s="101" t="e">
        <f t="shared" si="31"/>
        <v>#NAME?</v>
      </c>
      <c r="V51" s="101" t="e">
        <f t="shared" si="31"/>
        <v>#NAME?</v>
      </c>
      <c r="W51" s="101" t="e">
        <f t="shared" si="31"/>
        <v>#NAME?</v>
      </c>
      <c r="X51" s="101" t="e">
        <f t="shared" si="31"/>
        <v>#NAME?</v>
      </c>
      <c r="Y51" s="101" t="e">
        <f t="shared" si="31"/>
        <v>#NAME?</v>
      </c>
      <c r="Z51" s="101" t="e">
        <f t="shared" si="31"/>
        <v>#NAME?</v>
      </c>
      <c r="AA51" s="101" t="e">
        <f t="shared" si="31"/>
        <v>#NAME?</v>
      </c>
      <c r="AB51" s="101" t="e">
        <f t="shared" si="31"/>
        <v>#NAME?</v>
      </c>
      <c r="AC51" s="101" t="e">
        <f t="shared" si="31"/>
        <v>#NAME?</v>
      </c>
      <c r="AD51" s="101" t="e">
        <f t="shared" si="31"/>
        <v>#NAME?</v>
      </c>
    </row>
    <row r="52" spans="1:30" s="32" customFormat="1" ht="12.6" x14ac:dyDescent="0.25">
      <c r="A52" s="35"/>
      <c r="B52" s="35"/>
      <c r="D52" s="32" t="s">
        <v>12</v>
      </c>
      <c r="E52" s="97"/>
      <c r="G52" s="97"/>
      <c r="H52" s="101"/>
      <c r="I52" s="97"/>
      <c r="J52" s="98" t="s">
        <v>1210</v>
      </c>
      <c r="L52" s="38"/>
      <c r="M52" s="103"/>
      <c r="N52" s="103"/>
      <c r="O52" s="223"/>
      <c r="P52" s="223"/>
      <c r="Q52" s="223"/>
      <c r="R52" s="223"/>
      <c r="S52" s="101">
        <f t="shared" ref="S52:AD52" si="32">IS_EBITDA/Inputs_Thousand</f>
        <v>80.488744347983229</v>
      </c>
      <c r="T52" s="101">
        <f t="shared" si="32"/>
        <v>94.534831626661997</v>
      </c>
      <c r="U52" s="101">
        <f t="shared" si="32"/>
        <v>112.03161152606755</v>
      </c>
      <c r="V52" s="101">
        <f t="shared" si="32"/>
        <v>111.95531961184702</v>
      </c>
      <c r="W52" s="101">
        <f t="shared" si="32"/>
        <v>158.82653781746771</v>
      </c>
      <c r="X52" s="101">
        <f t="shared" si="32"/>
        <v>194.0355319915231</v>
      </c>
      <c r="Y52" s="101">
        <f t="shared" si="32"/>
        <v>239.63036660504619</v>
      </c>
      <c r="Z52" s="101">
        <f t="shared" si="32"/>
        <v>321.29501337613613</v>
      </c>
      <c r="AA52" s="101">
        <f t="shared" si="32"/>
        <v>405.42064487796438</v>
      </c>
      <c r="AB52" s="101">
        <f t="shared" si="32"/>
        <v>516.85397286825184</v>
      </c>
      <c r="AC52" s="101">
        <f t="shared" si="32"/>
        <v>665.34312800955047</v>
      </c>
      <c r="AD52" s="101">
        <f t="shared" si="32"/>
        <v>864.24450154236445</v>
      </c>
    </row>
    <row r="53" spans="1:30" s="32" customFormat="1" ht="13.2" thickBot="1" x14ac:dyDescent="0.3">
      <c r="A53" s="35"/>
      <c r="B53" s="35"/>
      <c r="E53" s="97"/>
      <c r="G53" s="97"/>
      <c r="H53" s="101"/>
      <c r="I53" s="97"/>
      <c r="J53" s="98"/>
      <c r="L53" s="38"/>
      <c r="M53" s="103"/>
      <c r="N53" s="103"/>
      <c r="O53" s="103"/>
      <c r="P53" s="103"/>
      <c r="Q53" s="103"/>
      <c r="R53" s="103"/>
      <c r="S53" s="103"/>
      <c r="T53" s="103"/>
      <c r="U53" s="103"/>
      <c r="V53" s="103"/>
      <c r="W53" s="103"/>
      <c r="X53" s="103"/>
      <c r="Y53" s="103"/>
      <c r="Z53" s="103"/>
      <c r="AA53" s="103"/>
      <c r="AB53" s="103"/>
      <c r="AC53" s="103"/>
      <c r="AD53" s="103"/>
    </row>
    <row r="54" spans="1:30" ht="12.6" thickTop="1" x14ac:dyDescent="0.2">
      <c r="B54" s="20"/>
      <c r="C54" s="336" t="s">
        <v>397</v>
      </c>
      <c r="D54" s="337"/>
      <c r="E54" s="338"/>
      <c r="F54" s="338"/>
      <c r="G54" s="338"/>
      <c r="H54" s="338"/>
      <c r="I54" s="338"/>
      <c r="J54" s="340"/>
      <c r="K54" s="338"/>
      <c r="L54" s="342"/>
      <c r="M54" s="338"/>
      <c r="N54" s="343"/>
      <c r="O54" s="343"/>
      <c r="P54" s="343"/>
      <c r="Q54" s="343"/>
      <c r="R54" s="343"/>
      <c r="S54" s="343"/>
      <c r="T54" s="343"/>
      <c r="U54" s="343"/>
      <c r="V54" s="343"/>
      <c r="W54" s="343"/>
      <c r="X54" s="343"/>
      <c r="Y54" s="343"/>
      <c r="Z54" s="343"/>
      <c r="AA54" s="343"/>
      <c r="AB54" s="343"/>
      <c r="AC54" s="343"/>
      <c r="AD54" s="343"/>
    </row>
    <row r="55" spans="1:30" x14ac:dyDescent="0.2">
      <c r="B55" s="20"/>
      <c r="C55" s="47"/>
      <c r="D55" s="20"/>
      <c r="E55" s="97"/>
      <c r="F55" s="97"/>
      <c r="G55" s="97"/>
      <c r="H55" s="97"/>
      <c r="I55" s="97"/>
      <c r="J55" s="98"/>
      <c r="K55" s="97"/>
      <c r="L55" s="99"/>
      <c r="M55" s="97"/>
      <c r="N55" s="21"/>
      <c r="O55" s="21"/>
      <c r="P55" s="21"/>
      <c r="Q55" s="21"/>
      <c r="R55" s="21"/>
      <c r="S55" s="21"/>
      <c r="T55" s="21"/>
      <c r="U55" s="21"/>
      <c r="V55" s="21"/>
      <c r="W55" s="21"/>
      <c r="X55" s="21"/>
      <c r="Y55" s="21"/>
      <c r="Z55" s="21"/>
      <c r="AA55" s="21"/>
      <c r="AB55" s="21"/>
      <c r="AC55" s="21"/>
      <c r="AD55" s="21"/>
    </row>
    <row r="56" spans="1:30" x14ac:dyDescent="0.2">
      <c r="B56" s="20"/>
      <c r="C56" s="47"/>
      <c r="D56" s="20"/>
      <c r="E56" s="97"/>
      <c r="F56" s="97"/>
      <c r="G56" s="97"/>
      <c r="H56" s="97"/>
      <c r="I56" s="97"/>
      <c r="J56" s="98"/>
      <c r="K56" s="97"/>
      <c r="L56" s="99"/>
      <c r="M56" s="97"/>
      <c r="N56" s="21"/>
      <c r="O56" s="21"/>
      <c r="P56" s="21"/>
      <c r="Q56" s="21"/>
      <c r="R56" s="21"/>
      <c r="S56" s="21"/>
      <c r="T56" s="21"/>
      <c r="U56" s="21"/>
      <c r="V56" s="21"/>
      <c r="W56" s="21"/>
      <c r="X56" s="21"/>
      <c r="Y56" s="21"/>
      <c r="Z56" s="21"/>
      <c r="AA56" s="21"/>
      <c r="AB56" s="21"/>
      <c r="AC56" s="21"/>
      <c r="AD56" s="21"/>
    </row>
    <row r="57" spans="1:30" x14ac:dyDescent="0.2">
      <c r="B57" s="20"/>
      <c r="C57" s="47"/>
      <c r="D57" s="20"/>
      <c r="E57" s="97"/>
      <c r="F57" s="97"/>
      <c r="G57" s="97"/>
      <c r="H57" s="97"/>
      <c r="I57" s="97"/>
      <c r="J57" s="98"/>
      <c r="K57" s="97"/>
      <c r="L57" s="99"/>
      <c r="M57" s="97"/>
      <c r="N57" s="21"/>
      <c r="O57" s="21"/>
      <c r="P57" s="21"/>
      <c r="Q57" s="21"/>
      <c r="R57" s="21"/>
      <c r="S57" s="21"/>
      <c r="T57" s="21"/>
      <c r="U57" s="21"/>
      <c r="V57" s="21"/>
      <c r="W57" s="21"/>
      <c r="X57" s="21"/>
      <c r="Y57" s="21"/>
      <c r="Z57" s="21"/>
      <c r="AA57" s="21"/>
      <c r="AB57" s="21"/>
      <c r="AC57" s="21"/>
      <c r="AD57" s="21"/>
    </row>
    <row r="58" spans="1:30" ht="12.6" x14ac:dyDescent="0.25">
      <c r="B58" s="20"/>
      <c r="C58" s="32"/>
      <c r="D58" s="32"/>
      <c r="E58" s="97"/>
      <c r="F58" s="97"/>
      <c r="G58" s="97"/>
      <c r="H58" s="97"/>
      <c r="I58" s="97"/>
      <c r="J58" s="98"/>
      <c r="K58" s="97"/>
      <c r="L58" s="99"/>
      <c r="M58" s="16"/>
      <c r="O58" s="101"/>
      <c r="P58" s="103"/>
      <c r="Q58" s="307"/>
      <c r="R58" s="307"/>
      <c r="S58" s="307"/>
      <c r="T58" s="307"/>
      <c r="U58" s="307"/>
      <c r="V58" s="307"/>
      <c r="W58" s="307"/>
      <c r="X58" s="307"/>
      <c r="Y58" s="21"/>
      <c r="Z58" s="21"/>
      <c r="AA58" s="21"/>
      <c r="AB58" s="21"/>
      <c r="AC58" s="21"/>
      <c r="AD58" s="21"/>
    </row>
    <row r="59" spans="1:30" s="97" customFormat="1" ht="12.6" x14ac:dyDescent="0.25">
      <c r="A59" s="1"/>
      <c r="B59" s="20"/>
      <c r="C59" s="47"/>
      <c r="D59" s="20"/>
      <c r="J59" s="98"/>
      <c r="L59" s="99"/>
      <c r="N59" s="21"/>
      <c r="O59" s="101"/>
      <c r="P59" s="103"/>
      <c r="Q59" s="308"/>
      <c r="R59" s="308"/>
      <c r="S59" s="308"/>
      <c r="T59" s="308"/>
      <c r="U59" s="308"/>
      <c r="V59" s="308"/>
      <c r="W59" s="308"/>
      <c r="X59" s="308"/>
      <c r="Y59" s="21"/>
      <c r="Z59" s="21"/>
      <c r="AA59" s="21"/>
      <c r="AB59" s="21"/>
      <c r="AC59" s="21"/>
      <c r="AD59" s="21"/>
    </row>
    <row r="60" spans="1:30" s="97" customFormat="1" ht="12.6" x14ac:dyDescent="0.25">
      <c r="A60" s="1"/>
      <c r="B60" s="20"/>
      <c r="C60" s="47"/>
      <c r="D60" s="20"/>
      <c r="J60" s="98"/>
      <c r="L60" s="99"/>
      <c r="N60" s="21"/>
      <c r="O60" s="101"/>
      <c r="P60" s="103"/>
      <c r="Q60" s="308"/>
      <c r="R60" s="308"/>
      <c r="S60" s="308"/>
      <c r="T60" s="308"/>
      <c r="U60" s="308"/>
      <c r="V60" s="308"/>
      <c r="W60" s="308"/>
      <c r="X60" s="308"/>
      <c r="Y60" s="21"/>
      <c r="Z60" s="21"/>
      <c r="AA60" s="21"/>
      <c r="AB60" s="21"/>
      <c r="AC60" s="21"/>
      <c r="AD60" s="21"/>
    </row>
    <row r="61" spans="1:30" s="97" customFormat="1" ht="12.6" x14ac:dyDescent="0.25">
      <c r="A61" s="1"/>
      <c r="B61" s="20"/>
      <c r="C61" s="47"/>
      <c r="D61" s="20"/>
      <c r="J61" s="98"/>
      <c r="L61" s="99"/>
      <c r="N61" s="21"/>
      <c r="O61" s="101"/>
      <c r="P61" s="103"/>
      <c r="Q61" s="308"/>
      <c r="R61" s="308"/>
      <c r="S61" s="308"/>
      <c r="T61" s="308"/>
      <c r="U61" s="308"/>
      <c r="V61" s="308"/>
      <c r="W61" s="308"/>
      <c r="X61" s="308"/>
      <c r="Y61" s="21"/>
      <c r="Z61" s="21"/>
      <c r="AA61" s="21"/>
      <c r="AB61" s="21"/>
      <c r="AC61" s="21"/>
      <c r="AD61" s="21"/>
    </row>
    <row r="62" spans="1:30" s="97" customFormat="1" ht="12.6" x14ac:dyDescent="0.25">
      <c r="A62" s="1"/>
      <c r="B62" s="20"/>
      <c r="C62" s="47"/>
      <c r="D62" s="20"/>
      <c r="J62" s="98"/>
      <c r="L62" s="99"/>
      <c r="N62" s="21"/>
      <c r="O62" s="101"/>
      <c r="P62" s="103"/>
      <c r="Q62" s="308"/>
      <c r="R62" s="308"/>
      <c r="S62" s="308"/>
      <c r="T62" s="308"/>
      <c r="U62" s="308"/>
      <c r="V62" s="308"/>
      <c r="W62" s="308"/>
      <c r="X62" s="308"/>
      <c r="Y62" s="21"/>
      <c r="Z62" s="21"/>
      <c r="AA62" s="21"/>
      <c r="AB62" s="21"/>
      <c r="AC62" s="21"/>
      <c r="AD62" s="21"/>
    </row>
    <row r="63" spans="1:30" s="97" customFormat="1" ht="12.6" x14ac:dyDescent="0.25">
      <c r="A63" s="1"/>
      <c r="B63" s="20"/>
      <c r="C63" s="47"/>
      <c r="D63" s="20"/>
      <c r="J63" s="98"/>
      <c r="L63" s="99"/>
      <c r="N63" s="21"/>
      <c r="O63" s="101"/>
      <c r="P63" s="103"/>
      <c r="Q63" s="308"/>
      <c r="R63" s="308"/>
      <c r="S63" s="308"/>
      <c r="T63" s="308"/>
      <c r="U63" s="308"/>
      <c r="V63" s="308"/>
      <c r="W63" s="308"/>
      <c r="X63" s="308"/>
      <c r="Y63" s="21"/>
      <c r="Z63" s="21"/>
      <c r="AA63" s="21"/>
      <c r="AB63" s="21"/>
      <c r="AC63" s="21"/>
      <c r="AD63" s="21"/>
    </row>
    <row r="64" spans="1:30" s="97" customFormat="1" ht="12.6" x14ac:dyDescent="0.25">
      <c r="A64" s="1"/>
      <c r="B64" s="20"/>
      <c r="C64" s="47"/>
      <c r="D64" s="20"/>
      <c r="J64" s="98"/>
      <c r="L64" s="99"/>
      <c r="N64" s="21"/>
      <c r="O64" s="103"/>
      <c r="P64" s="103"/>
      <c r="Q64" s="85"/>
      <c r="R64" s="85"/>
      <c r="S64" s="85"/>
      <c r="T64" s="85"/>
      <c r="U64" s="85"/>
      <c r="V64" s="85"/>
      <c r="W64" s="85"/>
      <c r="X64" s="21"/>
      <c r="Y64" s="21"/>
      <c r="Z64" s="21"/>
      <c r="AA64" s="21"/>
      <c r="AB64" s="21"/>
      <c r="AC64" s="21"/>
      <c r="AD64" s="21"/>
    </row>
    <row r="65" spans="1:30" ht="12.6" x14ac:dyDescent="0.25">
      <c r="B65" s="20"/>
      <c r="C65" s="47"/>
      <c r="D65" s="20"/>
      <c r="E65" s="97"/>
      <c r="F65" s="97"/>
      <c r="G65" s="97"/>
      <c r="H65" s="97"/>
      <c r="I65" s="97"/>
      <c r="J65" s="98"/>
      <c r="K65" s="97"/>
      <c r="L65" s="99"/>
      <c r="M65" s="97"/>
      <c r="N65" s="21"/>
      <c r="O65" s="103"/>
      <c r="P65" s="103"/>
      <c r="Q65" s="85"/>
      <c r="R65" s="85"/>
      <c r="S65" s="85"/>
      <c r="T65" s="85"/>
      <c r="U65" s="85"/>
      <c r="V65" s="85"/>
      <c r="W65" s="85"/>
      <c r="X65" s="21"/>
      <c r="Y65" s="21"/>
      <c r="Z65" s="21"/>
      <c r="AA65" s="21"/>
      <c r="AB65" s="21"/>
      <c r="AC65" s="21"/>
      <c r="AD65" s="21"/>
    </row>
    <row r="67" spans="1:30" s="32" customFormat="1" ht="12.6" x14ac:dyDescent="0.25">
      <c r="A67" s="35"/>
      <c r="B67" s="35"/>
      <c r="E67" s="97"/>
      <c r="G67" s="97"/>
      <c r="H67" s="101"/>
      <c r="I67" s="97"/>
      <c r="J67" s="98"/>
      <c r="L67" s="38"/>
      <c r="M67" s="103"/>
      <c r="N67" s="103"/>
      <c r="O67" s="103"/>
      <c r="P67" s="103"/>
      <c r="Q67" s="85"/>
      <c r="R67" s="85"/>
      <c r="S67" s="85"/>
      <c r="T67" s="85"/>
      <c r="U67" s="85"/>
      <c r="V67" s="85"/>
      <c r="W67" s="85"/>
      <c r="X67" s="101"/>
      <c r="Y67" s="101"/>
      <c r="Z67" s="103"/>
      <c r="AA67" s="103"/>
      <c r="AB67" s="103"/>
      <c r="AC67" s="103"/>
      <c r="AD67" s="103"/>
    </row>
    <row r="68" spans="1:30" s="32" customFormat="1" ht="12.6" x14ac:dyDescent="0.25">
      <c r="A68" s="35"/>
      <c r="B68" s="35"/>
      <c r="E68" s="97"/>
      <c r="G68" s="97"/>
      <c r="H68" s="101"/>
      <c r="I68" s="97"/>
      <c r="J68" s="98"/>
      <c r="L68" s="38"/>
      <c r="M68" s="103"/>
      <c r="N68" s="103"/>
      <c r="O68" s="101"/>
      <c r="P68" s="264"/>
      <c r="Q68" s="307"/>
      <c r="R68" s="307"/>
      <c r="S68" s="307"/>
      <c r="T68" s="307"/>
      <c r="U68" s="307"/>
      <c r="V68" s="307"/>
      <c r="W68" s="307"/>
      <c r="X68" s="101"/>
      <c r="Y68" s="101"/>
      <c r="Z68" s="103"/>
      <c r="AA68" s="103"/>
      <c r="AB68" s="103"/>
      <c r="AC68" s="103"/>
      <c r="AD68" s="103"/>
    </row>
    <row r="69" spans="1:30" s="32" customFormat="1" ht="12.6" x14ac:dyDescent="0.25">
      <c r="A69" s="35"/>
      <c r="B69" s="35"/>
      <c r="E69" s="97"/>
      <c r="G69" s="97"/>
      <c r="H69" s="101"/>
      <c r="I69" s="97"/>
      <c r="J69" s="98"/>
      <c r="L69" s="38"/>
      <c r="M69" s="103"/>
      <c r="N69" s="103"/>
      <c r="O69" s="101"/>
      <c r="P69" s="238"/>
      <c r="Q69" s="238"/>
      <c r="R69" s="238"/>
      <c r="S69" s="238"/>
      <c r="T69" s="238"/>
      <c r="U69" s="238"/>
      <c r="V69" s="238"/>
      <c r="W69" s="238"/>
      <c r="X69" s="103"/>
      <c r="Y69" s="103"/>
      <c r="Z69" s="103"/>
      <c r="AA69" s="103"/>
      <c r="AB69" s="103"/>
      <c r="AC69" s="103"/>
      <c r="AD69" s="103"/>
    </row>
    <row r="70" spans="1:30" s="32" customFormat="1" ht="12.6" x14ac:dyDescent="0.25">
      <c r="A70" s="35"/>
      <c r="B70" s="35"/>
      <c r="E70" s="97"/>
      <c r="G70" s="97"/>
      <c r="H70" s="101"/>
      <c r="I70" s="97"/>
      <c r="J70" s="98"/>
      <c r="L70" s="38"/>
      <c r="M70" s="103"/>
      <c r="N70" s="103"/>
      <c r="O70" s="103"/>
      <c r="P70" s="103"/>
      <c r="Q70" s="103"/>
      <c r="R70" s="97"/>
      <c r="S70" s="103"/>
      <c r="T70" s="103"/>
      <c r="U70" s="103"/>
      <c r="V70" s="103"/>
      <c r="W70" s="103"/>
      <c r="X70" s="103"/>
      <c r="Y70" s="103"/>
      <c r="Z70" s="103"/>
      <c r="AA70" s="103"/>
      <c r="AB70" s="103"/>
      <c r="AC70" s="103"/>
      <c r="AD70" s="103"/>
    </row>
    <row r="71" spans="1:30" s="32" customFormat="1" ht="12.6" x14ac:dyDescent="0.25">
      <c r="A71" s="35"/>
      <c r="B71" s="35"/>
      <c r="E71" s="97"/>
      <c r="G71" s="97"/>
      <c r="H71" s="101"/>
      <c r="I71" s="97"/>
      <c r="J71" s="98"/>
      <c r="L71" s="38"/>
      <c r="M71" s="103"/>
      <c r="N71" s="103"/>
      <c r="O71" s="103"/>
      <c r="P71" s="103"/>
      <c r="Q71" s="103"/>
      <c r="R71" s="103"/>
      <c r="S71" s="103"/>
      <c r="T71" s="103"/>
      <c r="U71" s="103"/>
      <c r="V71" s="103"/>
      <c r="W71" s="103"/>
      <c r="X71" s="103"/>
      <c r="Y71" s="103"/>
      <c r="Z71" s="103"/>
      <c r="AA71" s="103"/>
      <c r="AB71" s="103"/>
      <c r="AC71" s="103"/>
      <c r="AD71" s="103"/>
    </row>
    <row r="72" spans="1:30" s="32" customFormat="1" ht="12.6" x14ac:dyDescent="0.25">
      <c r="A72" s="35"/>
      <c r="C72" s="35"/>
      <c r="E72" s="97"/>
      <c r="G72" s="97"/>
      <c r="H72" s="101"/>
      <c r="I72" s="97"/>
      <c r="J72" s="98"/>
      <c r="L72" s="38"/>
      <c r="M72" s="103"/>
      <c r="N72" s="103"/>
      <c r="O72" s="101"/>
      <c r="P72" s="264"/>
      <c r="Q72" s="307"/>
      <c r="R72" s="307"/>
      <c r="S72" s="307"/>
      <c r="T72" s="307"/>
      <c r="U72" s="307"/>
      <c r="V72" s="307"/>
      <c r="W72" s="307"/>
      <c r="X72" s="103"/>
      <c r="Y72" s="103"/>
      <c r="Z72" s="103"/>
      <c r="AA72" s="103"/>
      <c r="AB72" s="103"/>
      <c r="AC72" s="103"/>
      <c r="AD72" s="103"/>
    </row>
    <row r="73" spans="1:30" s="32" customFormat="1" ht="12.6" x14ac:dyDescent="0.25">
      <c r="A73" s="35"/>
      <c r="C73" s="35"/>
      <c r="E73" s="97"/>
      <c r="G73" s="97"/>
      <c r="H73" s="101"/>
      <c r="I73" s="97"/>
      <c r="J73" s="98"/>
      <c r="L73" s="38"/>
      <c r="M73" s="103"/>
      <c r="N73" s="103"/>
      <c r="O73" s="101"/>
      <c r="P73" s="101"/>
      <c r="Q73" s="101"/>
      <c r="R73" s="101"/>
      <c r="S73" s="101"/>
      <c r="T73" s="101"/>
      <c r="U73" s="101"/>
      <c r="V73" s="101"/>
      <c r="W73" s="101"/>
      <c r="X73" s="103"/>
      <c r="Y73" s="103"/>
      <c r="Z73" s="103"/>
      <c r="AA73" s="103"/>
      <c r="AB73" s="103"/>
      <c r="AC73" s="103"/>
      <c r="AD73" s="103"/>
    </row>
    <row r="74" spans="1:30" s="32" customFormat="1" ht="12.6" x14ac:dyDescent="0.25">
      <c r="A74" s="35"/>
      <c r="C74" s="35"/>
      <c r="E74" s="97"/>
      <c r="G74" s="97"/>
      <c r="H74" s="101"/>
      <c r="I74" s="97"/>
      <c r="J74" s="98"/>
      <c r="L74" s="38"/>
      <c r="M74" s="103"/>
      <c r="N74" s="103"/>
      <c r="O74" s="101"/>
      <c r="P74" s="101"/>
      <c r="Q74" s="101"/>
      <c r="R74" s="101"/>
      <c r="S74" s="101"/>
      <c r="T74" s="101"/>
      <c r="U74" s="101"/>
      <c r="V74" s="101"/>
      <c r="W74" s="101"/>
      <c r="X74" s="103"/>
      <c r="Y74" s="103"/>
      <c r="Z74" s="103"/>
      <c r="AA74" s="103"/>
      <c r="AB74" s="103"/>
      <c r="AC74" s="103"/>
      <c r="AD74" s="103"/>
    </row>
    <row r="75" spans="1:30" s="32" customFormat="1" ht="12.6" x14ac:dyDescent="0.25">
      <c r="A75" s="35"/>
      <c r="C75" s="35"/>
      <c r="E75" s="97"/>
      <c r="G75" s="97"/>
      <c r="H75" s="101"/>
      <c r="I75" s="97"/>
      <c r="J75" s="98"/>
      <c r="L75" s="38"/>
      <c r="M75" s="103"/>
      <c r="N75" s="103"/>
      <c r="O75" s="103"/>
      <c r="P75" s="103"/>
      <c r="Q75" s="103"/>
      <c r="R75" s="103"/>
      <c r="S75" s="103"/>
      <c r="T75" s="103"/>
      <c r="U75" s="103"/>
      <c r="V75" s="103"/>
      <c r="W75" s="103"/>
      <c r="X75" s="103"/>
      <c r="Y75" s="103"/>
      <c r="Z75" s="103"/>
      <c r="AA75" s="103"/>
      <c r="AB75" s="103"/>
      <c r="AC75" s="103"/>
      <c r="AD75" s="103"/>
    </row>
    <row r="76" spans="1:30" s="32" customFormat="1" ht="12.6" x14ac:dyDescent="0.25">
      <c r="A76" s="35"/>
      <c r="C76" s="35"/>
      <c r="E76" s="97"/>
      <c r="G76" s="97"/>
      <c r="H76" s="101"/>
      <c r="I76" s="97"/>
      <c r="J76" s="98"/>
      <c r="L76" s="38"/>
      <c r="M76" s="103"/>
      <c r="N76" s="103"/>
      <c r="O76" s="103"/>
      <c r="P76" s="103"/>
      <c r="Q76" s="103"/>
      <c r="R76" s="103"/>
      <c r="S76" s="103"/>
      <c r="T76" s="103"/>
      <c r="U76" s="103"/>
      <c r="V76" s="103"/>
      <c r="W76" s="103"/>
      <c r="X76" s="103"/>
      <c r="Y76" s="103"/>
      <c r="Z76" s="103"/>
      <c r="AA76" s="103"/>
      <c r="AB76" s="103"/>
      <c r="AC76" s="103"/>
      <c r="AD76" s="103"/>
    </row>
    <row r="77" spans="1:30" s="32" customFormat="1" ht="12.6" x14ac:dyDescent="0.25">
      <c r="A77" s="35"/>
      <c r="C77" s="35"/>
      <c r="E77" s="97"/>
      <c r="G77" s="97"/>
      <c r="H77" s="101"/>
      <c r="I77" s="97"/>
      <c r="J77" s="98"/>
      <c r="L77" s="38"/>
      <c r="M77" s="103"/>
      <c r="N77" s="103"/>
      <c r="O77" s="103"/>
      <c r="P77" s="103"/>
      <c r="Q77" s="103"/>
      <c r="R77" s="103"/>
      <c r="S77" s="103"/>
      <c r="T77" s="103"/>
      <c r="U77" s="103"/>
      <c r="V77" s="103"/>
      <c r="W77" s="103"/>
      <c r="X77" s="103"/>
      <c r="Y77" s="103"/>
      <c r="Z77" s="103"/>
      <c r="AA77" s="103"/>
      <c r="AB77" s="103"/>
      <c r="AC77" s="103"/>
      <c r="AD77" s="103"/>
    </row>
    <row r="78" spans="1:30" s="32" customFormat="1" ht="12.6" x14ac:dyDescent="0.25">
      <c r="A78" s="35"/>
      <c r="C78" s="35"/>
      <c r="E78" s="97"/>
      <c r="G78" s="97"/>
      <c r="H78" s="101"/>
      <c r="I78" s="97"/>
      <c r="J78" s="98"/>
      <c r="L78" s="38"/>
      <c r="M78" s="103"/>
      <c r="N78" s="103"/>
      <c r="X78" s="103"/>
      <c r="Y78" s="103"/>
      <c r="Z78" s="103"/>
      <c r="AA78" s="103"/>
      <c r="AB78" s="103"/>
      <c r="AC78" s="103"/>
      <c r="AD78" s="103"/>
    </row>
    <row r="79" spans="1:30" s="32" customFormat="1" ht="12.6" x14ac:dyDescent="0.25">
      <c r="A79" s="35"/>
      <c r="C79" s="35"/>
      <c r="E79" s="97"/>
      <c r="G79" s="97"/>
      <c r="H79" s="101"/>
      <c r="I79" s="97"/>
      <c r="J79" s="98"/>
      <c r="L79" s="38"/>
      <c r="M79" s="103"/>
      <c r="N79" s="103"/>
      <c r="X79" s="103"/>
      <c r="Y79" s="103"/>
      <c r="Z79" s="103"/>
      <c r="AA79" s="103"/>
      <c r="AB79" s="103"/>
      <c r="AC79" s="103"/>
      <c r="AD79" s="103"/>
    </row>
    <row r="80" spans="1:30" s="32" customFormat="1" ht="12.6" x14ac:dyDescent="0.25">
      <c r="A80" s="35"/>
      <c r="C80" s="35"/>
      <c r="E80" s="97"/>
      <c r="G80" s="97"/>
      <c r="H80" s="101"/>
      <c r="I80" s="97"/>
      <c r="J80" s="98"/>
      <c r="L80" s="38"/>
      <c r="M80" s="103"/>
      <c r="N80" s="103"/>
      <c r="X80" s="103"/>
      <c r="Y80" s="103"/>
      <c r="Z80" s="103"/>
      <c r="AA80" s="103"/>
      <c r="AB80" s="103"/>
      <c r="AC80" s="103"/>
      <c r="AD80" s="103"/>
    </row>
    <row r="81" spans="1:31" s="32" customFormat="1" ht="12.6" x14ac:dyDescent="0.25">
      <c r="A81" s="35"/>
      <c r="C81" s="35"/>
      <c r="E81" s="97"/>
      <c r="G81" s="97"/>
      <c r="H81" s="101"/>
      <c r="I81" s="97"/>
      <c r="J81" s="98"/>
      <c r="L81" s="38"/>
      <c r="M81" s="103"/>
      <c r="N81" s="103"/>
      <c r="X81" s="103"/>
      <c r="Y81" s="103"/>
      <c r="Z81" s="103"/>
      <c r="AA81" s="103"/>
      <c r="AB81" s="103"/>
      <c r="AC81" s="103"/>
      <c r="AD81" s="103"/>
    </row>
    <row r="82" spans="1:31" s="32" customFormat="1" ht="12.6" x14ac:dyDescent="0.25">
      <c r="A82" s="35"/>
      <c r="C82" s="35"/>
      <c r="E82" s="97"/>
      <c r="G82" s="97"/>
      <c r="H82" s="101"/>
      <c r="I82" s="97"/>
      <c r="J82" s="98"/>
      <c r="L82" s="38"/>
      <c r="M82" s="103"/>
      <c r="N82" s="103"/>
      <c r="O82" s="103"/>
      <c r="P82" s="103"/>
      <c r="Q82" s="103"/>
      <c r="R82" s="103"/>
      <c r="S82" s="103"/>
      <c r="T82" s="103"/>
      <c r="U82" s="103"/>
      <c r="V82" s="103"/>
      <c r="W82" s="103"/>
      <c r="X82" s="103"/>
      <c r="Y82" s="103"/>
      <c r="Z82" s="103"/>
      <c r="AA82" s="103"/>
      <c r="AB82" s="103"/>
      <c r="AC82" s="103"/>
      <c r="AD82" s="103"/>
    </row>
    <row r="83" spans="1:31" s="32" customFormat="1" ht="12.6" x14ac:dyDescent="0.25">
      <c r="A83" s="35"/>
      <c r="C83" s="35"/>
      <c r="E83" s="97"/>
      <c r="G83" s="97"/>
      <c r="H83" s="101"/>
      <c r="I83" s="97"/>
      <c r="J83" s="98"/>
      <c r="L83" s="38"/>
      <c r="M83" s="103"/>
      <c r="N83" s="103"/>
      <c r="O83" s="103"/>
      <c r="P83" s="103"/>
      <c r="Q83" s="103"/>
      <c r="R83" s="103"/>
      <c r="S83" s="103"/>
      <c r="T83" s="103"/>
      <c r="U83" s="103"/>
      <c r="V83" s="103"/>
      <c r="W83" s="103"/>
      <c r="X83" s="103"/>
      <c r="Y83" s="103"/>
      <c r="Z83" s="103"/>
      <c r="AA83" s="103"/>
      <c r="AB83" s="103"/>
      <c r="AC83" s="103"/>
      <c r="AD83" s="103"/>
    </row>
    <row r="84" spans="1:31" s="32" customFormat="1" ht="12.6" x14ac:dyDescent="0.25">
      <c r="A84" s="35"/>
      <c r="C84" s="35"/>
      <c r="E84" s="97"/>
      <c r="G84" s="97"/>
      <c r="H84" s="101"/>
      <c r="I84" s="97"/>
      <c r="J84" s="98"/>
      <c r="L84" s="38"/>
      <c r="M84" s="103"/>
      <c r="N84" s="103"/>
      <c r="X84" s="103"/>
      <c r="Y84" s="103"/>
      <c r="Z84" s="103"/>
      <c r="AA84" s="103"/>
      <c r="AB84" s="103"/>
      <c r="AC84" s="103"/>
      <c r="AD84" s="103"/>
    </row>
    <row r="85" spans="1:31" s="32" customFormat="1" ht="12.6" x14ac:dyDescent="0.25">
      <c r="A85" s="35"/>
      <c r="C85" s="35"/>
      <c r="E85" s="97"/>
      <c r="G85" s="97"/>
      <c r="H85" s="101"/>
      <c r="I85" s="97"/>
      <c r="J85" s="98"/>
      <c r="L85" s="38"/>
      <c r="M85" s="103"/>
      <c r="N85" s="103"/>
      <c r="X85" s="103"/>
    </row>
    <row r="86" spans="1:31" s="32" customFormat="1" ht="12.6" x14ac:dyDescent="0.25">
      <c r="A86" s="35"/>
      <c r="C86" s="35"/>
      <c r="E86" s="97"/>
      <c r="G86" s="97"/>
      <c r="H86" s="101"/>
      <c r="I86" s="97"/>
      <c r="J86" s="98"/>
      <c r="L86" s="38"/>
      <c r="M86" s="103"/>
      <c r="N86" s="103"/>
      <c r="X86" s="103"/>
    </row>
    <row r="87" spans="1:31" s="32" customFormat="1" ht="12.6" x14ac:dyDescent="0.25">
      <c r="A87" s="35"/>
      <c r="C87" s="35"/>
      <c r="E87" s="97"/>
      <c r="G87" s="97"/>
      <c r="H87" s="101"/>
      <c r="I87" s="97"/>
      <c r="J87" s="98"/>
      <c r="L87" s="38"/>
      <c r="M87" s="103"/>
      <c r="N87" s="103"/>
      <c r="X87" s="103"/>
    </row>
    <row r="88" spans="1:31" s="32" customFormat="1" ht="12.6" x14ac:dyDescent="0.25">
      <c r="A88" s="35"/>
      <c r="C88" s="35"/>
      <c r="E88" s="97"/>
      <c r="G88" s="97"/>
      <c r="H88" s="101"/>
      <c r="I88" s="97"/>
      <c r="J88" s="98"/>
      <c r="L88" s="38"/>
      <c r="M88" s="103"/>
      <c r="N88" s="103"/>
      <c r="X88" s="103"/>
    </row>
    <row r="89" spans="1:31" s="32" customFormat="1" ht="12.6" x14ac:dyDescent="0.25">
      <c r="A89" s="35"/>
      <c r="C89" s="35"/>
      <c r="E89" s="97"/>
      <c r="G89" s="97"/>
      <c r="H89" s="101"/>
      <c r="I89" s="97"/>
      <c r="J89" s="98"/>
      <c r="L89" s="38"/>
      <c r="M89" s="103"/>
      <c r="O89" s="101"/>
      <c r="P89" s="101"/>
      <c r="Q89" s="101"/>
      <c r="R89" s="101"/>
      <c r="S89" s="101"/>
      <c r="T89" s="101"/>
      <c r="U89" s="101"/>
      <c r="V89" s="101"/>
      <c r="W89" s="209"/>
      <c r="X89" s="209"/>
      <c r="Y89" s="209"/>
      <c r="Z89" s="209"/>
      <c r="AA89" s="209"/>
      <c r="AB89" s="209"/>
      <c r="AC89" s="209"/>
      <c r="AD89" s="209"/>
    </row>
    <row r="90" spans="1:31" s="32" customFormat="1" ht="12.6" x14ac:dyDescent="0.25">
      <c r="A90" s="35"/>
      <c r="C90" s="35"/>
      <c r="E90" s="97"/>
      <c r="G90" s="97"/>
      <c r="H90" s="101"/>
      <c r="I90" s="97"/>
      <c r="J90" s="98"/>
      <c r="L90" s="38"/>
      <c r="M90" s="103"/>
      <c r="N90" s="103"/>
      <c r="O90" s="101"/>
      <c r="P90" s="103"/>
      <c r="Q90" s="103"/>
      <c r="R90" s="103"/>
      <c r="S90" s="103"/>
      <c r="T90" s="103"/>
      <c r="U90" s="103"/>
      <c r="V90" s="103"/>
      <c r="W90" s="103"/>
      <c r="X90" s="103"/>
      <c r="Y90" s="103"/>
      <c r="Z90" s="103"/>
      <c r="AA90" s="103"/>
      <c r="AB90" s="103"/>
      <c r="AC90" s="103"/>
      <c r="AD90" s="103"/>
    </row>
    <row r="94" spans="1:31" s="32" customFormat="1" ht="12.6" x14ac:dyDescent="0.25">
      <c r="A94" s="35"/>
      <c r="C94" s="35"/>
      <c r="E94" s="97"/>
      <c r="G94" s="97"/>
      <c r="H94" s="101"/>
      <c r="I94" s="97"/>
      <c r="J94" s="98"/>
      <c r="L94" s="38"/>
      <c r="M94" s="103"/>
      <c r="N94" s="103"/>
      <c r="O94" s="103"/>
      <c r="P94" s="103"/>
      <c r="Q94" s="103"/>
      <c r="R94" s="103"/>
      <c r="S94" s="103"/>
      <c r="T94" s="103"/>
      <c r="U94" s="103"/>
      <c r="V94" s="103"/>
      <c r="W94" s="103"/>
      <c r="X94" s="103"/>
      <c r="Y94" s="103"/>
      <c r="Z94" s="103"/>
      <c r="AA94" s="103"/>
      <c r="AB94" s="103"/>
      <c r="AC94" s="103"/>
      <c r="AD94" s="103"/>
    </row>
    <row r="95" spans="1:31" s="32" customFormat="1" ht="12.6" x14ac:dyDescent="0.25">
      <c r="A95" s="35"/>
      <c r="C95" s="35"/>
      <c r="E95" s="97"/>
      <c r="G95" s="97"/>
      <c r="H95" s="101"/>
      <c r="I95" s="97"/>
      <c r="J95" s="98"/>
      <c r="L95" s="38"/>
      <c r="M95" s="103"/>
      <c r="N95" s="103"/>
      <c r="O95" s="103"/>
      <c r="P95" s="264"/>
      <c r="Q95" s="307"/>
      <c r="R95" s="307"/>
      <c r="S95" s="307"/>
      <c r="T95" s="307"/>
      <c r="U95" s="307"/>
      <c r="V95" s="307"/>
      <c r="W95" s="307"/>
      <c r="X95" s="307"/>
      <c r="Y95" s="307"/>
      <c r="Z95" s="307"/>
      <c r="AA95" s="307"/>
      <c r="AB95" s="307"/>
      <c r="AC95" s="307"/>
      <c r="AD95" s="307"/>
      <c r="AE95" s="307"/>
    </row>
    <row r="96" spans="1:31" s="32" customFormat="1" ht="12.6" x14ac:dyDescent="0.25">
      <c r="A96" s="35"/>
      <c r="C96" s="35"/>
      <c r="E96" s="97"/>
      <c r="G96" s="97"/>
      <c r="H96" s="101"/>
      <c r="I96" s="97"/>
      <c r="J96" s="98"/>
      <c r="L96" s="38"/>
      <c r="M96" s="103"/>
      <c r="N96" s="752"/>
      <c r="O96" s="101"/>
      <c r="P96" s="242"/>
      <c r="Q96" s="242"/>
      <c r="R96" s="242"/>
      <c r="S96" s="242"/>
      <c r="T96" s="242"/>
      <c r="U96" s="242"/>
      <c r="V96" s="242"/>
      <c r="W96" s="242"/>
      <c r="X96" s="242"/>
      <c r="Y96" s="242"/>
      <c r="Z96" s="242"/>
      <c r="AA96" s="242"/>
      <c r="AB96" s="242"/>
      <c r="AC96" s="242"/>
      <c r="AD96" s="242"/>
      <c r="AE96" s="264"/>
    </row>
    <row r="97" spans="1:31" s="32" customFormat="1" ht="15" customHeight="1" x14ac:dyDescent="0.25">
      <c r="A97" s="35"/>
      <c r="C97" s="35"/>
      <c r="E97" s="97"/>
      <c r="G97" s="97"/>
      <c r="H97" s="101"/>
      <c r="I97" s="97"/>
      <c r="J97" s="98"/>
      <c r="L97" s="38"/>
      <c r="M97" s="103"/>
      <c r="N97" s="752"/>
      <c r="O97" s="101"/>
      <c r="P97" s="242"/>
      <c r="Q97" s="242"/>
      <c r="R97" s="242"/>
      <c r="S97" s="242"/>
      <c r="T97" s="242"/>
      <c r="U97" s="242"/>
      <c r="V97" s="242"/>
      <c r="W97" s="242"/>
      <c r="X97" s="242"/>
      <c r="Y97" s="242"/>
      <c r="Z97" s="242"/>
      <c r="AA97" s="242"/>
      <c r="AB97" s="242"/>
      <c r="AC97" s="242"/>
      <c r="AD97" s="242"/>
      <c r="AE97" s="265"/>
    </row>
    <row r="98" spans="1:31" s="32" customFormat="1" ht="15.75" customHeight="1" x14ac:dyDescent="0.25">
      <c r="A98" s="35"/>
      <c r="C98" s="35"/>
      <c r="E98" s="97"/>
      <c r="G98" s="97"/>
      <c r="H98" s="101"/>
      <c r="I98" s="97"/>
      <c r="J98" s="98"/>
      <c r="L98" s="38"/>
      <c r="M98" s="103"/>
      <c r="N98" s="752"/>
      <c r="O98" s="101"/>
      <c r="P98" s="242"/>
      <c r="Q98" s="242"/>
      <c r="R98" s="242"/>
      <c r="S98" s="242"/>
      <c r="T98" s="242"/>
      <c r="U98" s="242"/>
      <c r="V98" s="242"/>
      <c r="W98" s="242"/>
      <c r="X98" s="242"/>
      <c r="Y98" s="242"/>
      <c r="Z98" s="242"/>
      <c r="AA98" s="242"/>
      <c r="AB98" s="242"/>
      <c r="AC98" s="242"/>
      <c r="AD98" s="242"/>
      <c r="AE98" s="264"/>
    </row>
    <row r="99" spans="1:31" s="32" customFormat="1" ht="12.6" x14ac:dyDescent="0.25">
      <c r="A99" s="35"/>
      <c r="C99" s="35"/>
      <c r="E99" s="97"/>
      <c r="G99" s="97"/>
      <c r="H99" s="101"/>
      <c r="I99" s="97"/>
      <c r="J99" s="98"/>
      <c r="L99" s="38"/>
      <c r="M99" s="103"/>
      <c r="N99" s="241"/>
      <c r="O99" s="103"/>
      <c r="P99" s="242"/>
      <c r="Q99" s="242"/>
      <c r="R99" s="242"/>
      <c r="S99" s="242"/>
      <c r="T99" s="242"/>
      <c r="U99" s="242"/>
      <c r="V99" s="242"/>
      <c r="W99" s="242"/>
      <c r="X99" s="103"/>
      <c r="Y99" s="103"/>
      <c r="Z99" s="103"/>
      <c r="AA99" s="103"/>
      <c r="AB99" s="103"/>
      <c r="AC99" s="103"/>
      <c r="AD99" s="103"/>
      <c r="AE99" s="103"/>
    </row>
    <row r="100" spans="1:31" s="32" customFormat="1" ht="12.6" x14ac:dyDescent="0.25">
      <c r="A100" s="35"/>
      <c r="C100" s="35"/>
      <c r="E100" s="97"/>
      <c r="G100" s="97"/>
      <c r="H100" s="101"/>
      <c r="I100" s="97"/>
      <c r="J100" s="98"/>
      <c r="L100" s="38"/>
      <c r="M100" s="103"/>
      <c r="N100" s="752"/>
      <c r="O100" s="101"/>
      <c r="P100" s="242"/>
      <c r="Q100" s="242"/>
      <c r="R100" s="242"/>
      <c r="S100" s="242"/>
      <c r="T100" s="242"/>
      <c r="U100" s="242"/>
      <c r="V100" s="242"/>
      <c r="W100" s="242"/>
      <c r="X100" s="242"/>
      <c r="Y100" s="242"/>
      <c r="Z100" s="242"/>
      <c r="AA100" s="242"/>
      <c r="AB100" s="242"/>
      <c r="AC100" s="242"/>
      <c r="AD100" s="242"/>
      <c r="AE100" s="264"/>
    </row>
    <row r="101" spans="1:31" s="32" customFormat="1" ht="15" customHeight="1" x14ac:dyDescent="0.25">
      <c r="A101" s="35"/>
      <c r="C101" s="35"/>
      <c r="E101" s="97"/>
      <c r="G101" s="97"/>
      <c r="H101" s="101"/>
      <c r="I101" s="97"/>
      <c r="J101" s="98"/>
      <c r="L101" s="38"/>
      <c r="M101" s="103"/>
      <c r="N101" s="752"/>
      <c r="O101" s="101"/>
      <c r="P101" s="258"/>
      <c r="Q101" s="258"/>
      <c r="R101" s="258"/>
      <c r="S101" s="258"/>
      <c r="T101" s="258"/>
      <c r="U101" s="258"/>
      <c r="V101" s="258"/>
      <c r="W101" s="258"/>
      <c r="X101" s="258"/>
      <c r="Y101" s="258"/>
      <c r="Z101" s="258"/>
      <c r="AA101" s="258"/>
      <c r="AB101" s="258"/>
      <c r="AC101" s="258"/>
      <c r="AD101" s="258"/>
      <c r="AE101" s="265"/>
    </row>
    <row r="102" spans="1:31" s="32" customFormat="1" ht="15.75" customHeight="1" x14ac:dyDescent="0.25">
      <c r="A102" s="35"/>
      <c r="C102" s="35"/>
      <c r="E102" s="97"/>
      <c r="G102" s="97"/>
      <c r="H102" s="101"/>
      <c r="I102" s="97"/>
      <c r="J102" s="98"/>
      <c r="L102" s="38"/>
      <c r="M102" s="103"/>
      <c r="N102" s="752"/>
      <c r="O102" s="101"/>
      <c r="P102" s="242"/>
      <c r="Q102" s="242"/>
      <c r="R102" s="242"/>
      <c r="S102" s="242"/>
      <c r="T102" s="242"/>
      <c r="U102" s="242"/>
      <c r="V102" s="242"/>
      <c r="W102" s="242"/>
      <c r="X102" s="242"/>
      <c r="Y102" s="242"/>
      <c r="Z102" s="242"/>
      <c r="AA102" s="242"/>
      <c r="AB102" s="242"/>
      <c r="AC102" s="242"/>
      <c r="AD102" s="242"/>
      <c r="AE102" s="264"/>
    </row>
    <row r="103" spans="1:31" s="32" customFormat="1" ht="12.6" x14ac:dyDescent="0.25">
      <c r="A103" s="35"/>
      <c r="C103" s="35"/>
      <c r="E103" s="97"/>
      <c r="G103" s="97"/>
      <c r="H103" s="101"/>
      <c r="I103" s="97"/>
      <c r="J103" s="98"/>
      <c r="L103" s="38"/>
      <c r="M103" s="103"/>
      <c r="N103" s="241"/>
      <c r="O103" s="103"/>
      <c r="P103" s="242"/>
      <c r="Q103" s="242"/>
      <c r="R103" s="242"/>
      <c r="S103" s="242"/>
      <c r="T103" s="242"/>
      <c r="U103" s="242"/>
      <c r="V103" s="242"/>
      <c r="W103" s="242"/>
      <c r="X103" s="242"/>
      <c r="Y103" s="242"/>
      <c r="Z103" s="242"/>
      <c r="AA103" s="242"/>
      <c r="AB103" s="242"/>
      <c r="AC103" s="242"/>
      <c r="AD103" s="242"/>
      <c r="AE103" s="264"/>
    </row>
    <row r="104" spans="1:31" s="32" customFormat="1" ht="12.6" x14ac:dyDescent="0.25">
      <c r="A104" s="35"/>
      <c r="C104" s="35"/>
      <c r="E104" s="97"/>
      <c r="G104" s="97"/>
      <c r="H104" s="101"/>
      <c r="I104" s="97"/>
      <c r="J104" s="98"/>
      <c r="L104" s="38"/>
      <c r="M104" s="103"/>
      <c r="N104" s="752"/>
      <c r="O104" s="101"/>
      <c r="P104" s="242"/>
      <c r="Q104" s="242"/>
      <c r="R104" s="242"/>
      <c r="S104" s="242"/>
      <c r="T104" s="242"/>
      <c r="U104" s="242"/>
      <c r="V104" s="242"/>
      <c r="W104" s="242"/>
      <c r="X104" s="242"/>
      <c r="Y104" s="242"/>
      <c r="Z104" s="242"/>
      <c r="AA104" s="242"/>
      <c r="AB104" s="242"/>
      <c r="AC104" s="242"/>
      <c r="AD104" s="242"/>
      <c r="AE104" s="264"/>
    </row>
    <row r="105" spans="1:31" s="32" customFormat="1" ht="15" customHeight="1" x14ac:dyDescent="0.25">
      <c r="A105" s="35"/>
      <c r="C105" s="35"/>
      <c r="E105" s="97"/>
      <c r="G105" s="97"/>
      <c r="H105" s="101"/>
      <c r="I105" s="97"/>
      <c r="J105" s="98"/>
      <c r="L105" s="38"/>
      <c r="M105" s="103"/>
      <c r="N105" s="752"/>
      <c r="O105" s="101"/>
      <c r="P105" s="242"/>
      <c r="Q105" s="242"/>
      <c r="R105" s="242"/>
      <c r="S105" s="242"/>
      <c r="T105" s="242"/>
      <c r="U105" s="242"/>
      <c r="V105" s="242"/>
      <c r="W105" s="242"/>
      <c r="X105" s="242"/>
      <c r="Y105" s="242"/>
      <c r="Z105" s="242"/>
      <c r="AA105" s="242"/>
      <c r="AB105" s="242"/>
      <c r="AC105" s="242"/>
      <c r="AD105" s="242"/>
      <c r="AE105" s="265"/>
    </row>
    <row r="106" spans="1:31" s="32" customFormat="1" ht="15.75" customHeight="1" x14ac:dyDescent="0.25">
      <c r="A106" s="35"/>
      <c r="C106" s="35"/>
      <c r="E106" s="97"/>
      <c r="G106" s="97"/>
      <c r="H106" s="101"/>
      <c r="I106" s="97"/>
      <c r="J106" s="98"/>
      <c r="L106" s="38"/>
      <c r="M106" s="103"/>
      <c r="N106" s="752"/>
      <c r="O106" s="101"/>
      <c r="P106" s="242"/>
      <c r="Q106" s="242"/>
      <c r="R106" s="242"/>
      <c r="S106" s="242"/>
      <c r="T106" s="242"/>
      <c r="U106" s="242"/>
      <c r="V106" s="242"/>
      <c r="W106" s="242"/>
      <c r="X106" s="242"/>
      <c r="Y106" s="242"/>
      <c r="Z106" s="242"/>
      <c r="AA106" s="242"/>
      <c r="AB106" s="242"/>
      <c r="AC106" s="242"/>
      <c r="AD106" s="242"/>
      <c r="AE106" s="264"/>
    </row>
    <row r="107" spans="1:31" s="32" customFormat="1" ht="12.6" x14ac:dyDescent="0.25">
      <c r="A107" s="35"/>
      <c r="C107" s="35"/>
      <c r="E107" s="97"/>
      <c r="G107" s="97"/>
      <c r="H107" s="101"/>
      <c r="I107" s="97"/>
      <c r="J107" s="98"/>
      <c r="L107" s="38"/>
      <c r="M107" s="103"/>
      <c r="N107" s="103"/>
      <c r="O107" s="103"/>
      <c r="P107" s="103"/>
      <c r="Q107" s="103"/>
      <c r="R107" s="103"/>
      <c r="S107" s="103"/>
      <c r="T107" s="103"/>
      <c r="U107" s="103"/>
      <c r="V107" s="103"/>
      <c r="W107" s="103"/>
      <c r="X107" s="103"/>
      <c r="Y107" s="103"/>
      <c r="Z107" s="103"/>
      <c r="AA107" s="103"/>
      <c r="AB107" s="103"/>
      <c r="AC107" s="103"/>
      <c r="AD107" s="103"/>
    </row>
    <row r="108" spans="1:31" s="32" customFormat="1" ht="12.6" x14ac:dyDescent="0.25">
      <c r="A108" s="35"/>
      <c r="C108" s="35"/>
      <c r="E108" s="97"/>
      <c r="G108" s="97"/>
      <c r="H108" s="101"/>
      <c r="I108" s="97"/>
      <c r="J108" s="98"/>
      <c r="L108" s="38"/>
      <c r="M108" s="103"/>
      <c r="N108" s="103"/>
      <c r="O108" s="103"/>
      <c r="P108" s="103"/>
      <c r="Q108" s="103"/>
      <c r="R108" s="103"/>
      <c r="S108" s="103"/>
      <c r="T108" s="103"/>
      <c r="U108" s="103"/>
      <c r="V108" s="103"/>
      <c r="W108" s="103"/>
      <c r="X108" s="103"/>
      <c r="Y108" s="103"/>
      <c r="Z108" s="103"/>
      <c r="AA108" s="103"/>
      <c r="AB108" s="103"/>
      <c r="AC108" s="103"/>
      <c r="AD108" s="103"/>
    </row>
    <row r="109" spans="1:31" s="32" customFormat="1" ht="12.6" x14ac:dyDescent="0.25">
      <c r="A109" s="35"/>
      <c r="C109" s="35"/>
      <c r="H109" s="101"/>
      <c r="I109" s="307"/>
      <c r="J109" s="307"/>
      <c r="K109" s="307"/>
      <c r="L109" s="307"/>
      <c r="M109" s="307"/>
      <c r="N109" s="307"/>
      <c r="O109" s="307"/>
      <c r="P109" s="307"/>
      <c r="Q109" s="307"/>
      <c r="R109" s="307"/>
      <c r="S109" s="307"/>
      <c r="T109" s="307"/>
      <c r="U109" s="307"/>
      <c r="V109" s="307"/>
      <c r="W109" s="307"/>
    </row>
    <row r="110" spans="1:31" s="32" customFormat="1" ht="12.6" x14ac:dyDescent="0.25">
      <c r="A110" s="35"/>
      <c r="C110" s="35"/>
      <c r="H110" s="309"/>
      <c r="I110" s="101"/>
      <c r="J110" s="101"/>
      <c r="K110" s="101"/>
      <c r="L110" s="101"/>
      <c r="M110" s="101"/>
      <c r="N110" s="101"/>
      <c r="O110" s="101"/>
      <c r="P110" s="101"/>
      <c r="Q110" s="101"/>
      <c r="R110" s="101"/>
      <c r="S110" s="101"/>
      <c r="T110" s="101"/>
      <c r="U110" s="101"/>
      <c r="V110" s="101"/>
      <c r="W110" s="101"/>
    </row>
    <row r="111" spans="1:31" s="32" customFormat="1" ht="12.6" x14ac:dyDescent="0.25">
      <c r="A111" s="35"/>
      <c r="C111" s="35"/>
      <c r="H111" s="101"/>
      <c r="I111" s="101"/>
      <c r="J111" s="101"/>
      <c r="K111" s="101"/>
      <c r="L111" s="101"/>
      <c r="M111" s="101"/>
      <c r="N111" s="101"/>
      <c r="O111" s="45"/>
      <c r="P111" s="209"/>
      <c r="Q111" s="209"/>
      <c r="R111" s="209"/>
      <c r="S111" s="209"/>
      <c r="T111" s="209"/>
      <c r="U111" s="209"/>
      <c r="V111" s="209"/>
      <c r="W111" s="209"/>
    </row>
    <row r="112" spans="1:31" s="32" customFormat="1" ht="12.6" x14ac:dyDescent="0.25">
      <c r="A112" s="35"/>
      <c r="C112" s="35"/>
      <c r="H112" s="101"/>
      <c r="I112" s="101"/>
      <c r="J112" s="101"/>
      <c r="K112" s="101"/>
      <c r="L112" s="101"/>
      <c r="M112" s="101"/>
      <c r="N112" s="101"/>
      <c r="O112" s="45"/>
      <c r="P112" s="209"/>
      <c r="Q112" s="209"/>
      <c r="R112" s="209"/>
      <c r="S112" s="209"/>
      <c r="T112" s="209"/>
      <c r="U112" s="209"/>
      <c r="V112" s="209"/>
      <c r="W112" s="209"/>
    </row>
    <row r="113" spans="1:23" s="32" customFormat="1" ht="12.6" x14ac:dyDescent="0.25">
      <c r="A113" s="35"/>
      <c r="C113" s="35"/>
      <c r="H113" s="101"/>
      <c r="I113" s="101"/>
      <c r="J113" s="101"/>
      <c r="K113" s="101"/>
      <c r="L113" s="101"/>
      <c r="M113" s="101"/>
      <c r="N113" s="101"/>
      <c r="O113" s="101"/>
      <c r="P113" s="101"/>
      <c r="Q113" s="101"/>
      <c r="R113" s="101"/>
      <c r="S113" s="101"/>
      <c r="T113" s="101"/>
      <c r="U113" s="101"/>
      <c r="V113" s="101"/>
      <c r="W113" s="101"/>
    </row>
    <row r="114" spans="1:23" s="32" customFormat="1" ht="12.6" x14ac:dyDescent="0.25">
      <c r="A114" s="35"/>
      <c r="C114" s="35"/>
      <c r="H114" s="101"/>
      <c r="I114" s="101"/>
      <c r="J114" s="101"/>
      <c r="K114" s="101"/>
      <c r="L114" s="101"/>
      <c r="M114" s="101"/>
      <c r="N114" s="101"/>
      <c r="O114" s="45"/>
      <c r="P114" s="209"/>
      <c r="Q114" s="209"/>
      <c r="R114" s="209"/>
      <c r="S114" s="209"/>
      <c r="T114" s="209"/>
      <c r="U114" s="209"/>
      <c r="V114" s="209"/>
      <c r="W114" s="209"/>
    </row>
    <row r="115" spans="1:23" s="32" customFormat="1" ht="12.6" x14ac:dyDescent="0.25">
      <c r="A115" s="35"/>
      <c r="C115" s="35"/>
      <c r="H115" s="101"/>
      <c r="I115" s="101"/>
      <c r="J115" s="101"/>
      <c r="K115" s="101"/>
      <c r="L115" s="101"/>
      <c r="M115" s="101"/>
      <c r="N115" s="101"/>
      <c r="O115" s="101"/>
      <c r="P115" s="101"/>
      <c r="Q115" s="101"/>
      <c r="R115" s="101"/>
      <c r="S115" s="101"/>
      <c r="T115" s="101"/>
      <c r="U115" s="101"/>
      <c r="V115" s="101"/>
      <c r="W115" s="101"/>
    </row>
    <row r="116" spans="1:23" s="32" customFormat="1" ht="12.6" x14ac:dyDescent="0.25">
      <c r="A116" s="35"/>
      <c r="C116" s="35"/>
      <c r="H116" s="101"/>
      <c r="I116" s="101"/>
      <c r="J116" s="101"/>
      <c r="K116" s="101"/>
      <c r="L116" s="101"/>
      <c r="M116" s="101"/>
      <c r="N116" s="101"/>
      <c r="O116" s="310"/>
      <c r="P116" s="209"/>
      <c r="Q116" s="209"/>
      <c r="R116" s="209"/>
      <c r="S116" s="209"/>
      <c r="T116" s="209"/>
      <c r="U116" s="209"/>
      <c r="V116" s="209"/>
      <c r="W116" s="209"/>
    </row>
    <row r="117" spans="1:23" s="32" customFormat="1" ht="12.6" x14ac:dyDescent="0.25">
      <c r="A117" s="35"/>
      <c r="C117" s="35"/>
      <c r="H117" s="101"/>
      <c r="I117" s="101"/>
      <c r="J117" s="101"/>
      <c r="K117" s="101"/>
      <c r="L117" s="101"/>
      <c r="M117" s="101"/>
      <c r="N117" s="101"/>
      <c r="O117" s="45"/>
      <c r="P117" s="101"/>
      <c r="Q117" s="101"/>
      <c r="R117" s="101"/>
      <c r="S117" s="101"/>
      <c r="T117" s="101"/>
      <c r="U117" s="101"/>
      <c r="V117" s="101"/>
      <c r="W117" s="101"/>
    </row>
    <row r="118" spans="1:23" s="32" customFormat="1" ht="12.6" x14ac:dyDescent="0.25">
      <c r="A118" s="35"/>
      <c r="C118" s="35"/>
      <c r="H118" s="101"/>
      <c r="I118" s="209"/>
      <c r="J118" s="209"/>
      <c r="K118" s="209"/>
      <c r="L118" s="209"/>
      <c r="M118" s="209"/>
      <c r="N118" s="209"/>
      <c r="O118" s="310"/>
      <c r="P118" s="209"/>
      <c r="Q118" s="209"/>
      <c r="R118" s="209"/>
      <c r="S118" s="209"/>
      <c r="T118" s="209"/>
      <c r="U118" s="209"/>
      <c r="V118" s="209"/>
      <c r="W118" s="209"/>
    </row>
    <row r="119" spans="1:23" s="32" customFormat="1" ht="12.6" x14ac:dyDescent="0.25">
      <c r="A119" s="35"/>
      <c r="C119" s="35"/>
      <c r="H119" s="101"/>
      <c r="I119" s="101"/>
      <c r="J119" s="101"/>
      <c r="K119" s="101"/>
      <c r="L119" s="101"/>
      <c r="M119" s="101"/>
      <c r="N119" s="101"/>
      <c r="O119" s="45"/>
      <c r="P119" s="209"/>
      <c r="Q119" s="209"/>
      <c r="R119" s="209"/>
      <c r="S119" s="209"/>
      <c r="T119" s="209"/>
      <c r="U119" s="209"/>
      <c r="V119" s="209"/>
      <c r="W119" s="209"/>
    </row>
    <row r="120" spans="1:23" s="32" customFormat="1" ht="12.6" x14ac:dyDescent="0.25">
      <c r="A120" s="35"/>
      <c r="C120" s="35"/>
      <c r="H120" s="101"/>
      <c r="I120" s="101"/>
      <c r="J120" s="101"/>
      <c r="K120" s="101"/>
      <c r="L120" s="101"/>
      <c r="M120" s="101"/>
      <c r="N120" s="101"/>
      <c r="O120" s="263"/>
      <c r="P120" s="209"/>
      <c r="Q120" s="209"/>
      <c r="R120" s="209"/>
      <c r="S120" s="209"/>
      <c r="T120" s="209"/>
      <c r="U120" s="209"/>
      <c r="V120" s="209"/>
      <c r="W120" s="209"/>
    </row>
    <row r="121" spans="1:23" s="32" customFormat="1" ht="12.6" x14ac:dyDescent="0.25">
      <c r="A121" s="35"/>
      <c r="C121" s="35"/>
      <c r="Q121" s="103"/>
      <c r="R121" s="103"/>
      <c r="S121" s="103"/>
      <c r="T121" s="103"/>
      <c r="U121" s="103"/>
      <c r="V121" s="103"/>
      <c r="W121" s="103"/>
    </row>
    <row r="122" spans="1:23" s="32" customFormat="1" ht="12.6" x14ac:dyDescent="0.25">
      <c r="A122" s="35"/>
      <c r="C122" s="35"/>
      <c r="H122" s="103"/>
      <c r="I122" s="307"/>
      <c r="J122" s="307"/>
      <c r="K122" s="307"/>
      <c r="L122" s="307"/>
      <c r="M122" s="307"/>
      <c r="N122" s="307"/>
      <c r="O122" s="307"/>
      <c r="P122" s="307"/>
      <c r="Q122" s="307"/>
      <c r="R122" s="307"/>
      <c r="S122" s="307"/>
      <c r="T122" s="307"/>
      <c r="U122" s="307"/>
      <c r="V122" s="307"/>
      <c r="W122" s="307"/>
    </row>
    <row r="123" spans="1:23" s="32" customFormat="1" ht="12.6" x14ac:dyDescent="0.25">
      <c r="H123" s="101"/>
      <c r="I123" s="311"/>
      <c r="J123" s="311"/>
      <c r="K123" s="311"/>
      <c r="L123" s="311"/>
      <c r="M123" s="311"/>
      <c r="N123" s="311"/>
      <c r="O123" s="311"/>
      <c r="P123" s="311"/>
      <c r="Q123" s="311"/>
      <c r="R123" s="311"/>
      <c r="S123" s="311"/>
      <c r="T123" s="311"/>
      <c r="U123" s="311"/>
      <c r="V123" s="311"/>
      <c r="W123" s="311"/>
    </row>
    <row r="124" spans="1:23" s="32" customFormat="1" ht="12.6" x14ac:dyDescent="0.25">
      <c r="A124" s="35"/>
      <c r="C124" s="35"/>
      <c r="H124" s="90"/>
      <c r="I124" s="260"/>
      <c r="J124" s="260"/>
      <c r="K124" s="260"/>
      <c r="L124" s="260"/>
      <c r="M124" s="260"/>
      <c r="N124" s="260"/>
      <c r="O124" s="260"/>
      <c r="P124" s="260"/>
      <c r="Q124" s="260"/>
      <c r="R124" s="260"/>
      <c r="S124" s="260"/>
      <c r="T124" s="260"/>
      <c r="U124" s="260"/>
      <c r="V124" s="260"/>
      <c r="W124" s="260"/>
    </row>
    <row r="125" spans="1:23" s="32" customFormat="1" ht="12.6" x14ac:dyDescent="0.25">
      <c r="H125" s="259"/>
      <c r="I125" s="260"/>
      <c r="J125" s="260"/>
      <c r="K125" s="260"/>
      <c r="L125" s="312"/>
      <c r="M125" s="312"/>
      <c r="N125" s="312"/>
      <c r="O125" s="312"/>
      <c r="P125" s="312"/>
      <c r="Q125" s="312"/>
      <c r="R125" s="312"/>
      <c r="S125" s="312"/>
      <c r="T125" s="312"/>
      <c r="U125" s="312"/>
      <c r="V125" s="312"/>
      <c r="W125" s="312"/>
    </row>
    <row r="126" spans="1:23" s="32" customFormat="1" ht="12.6" x14ac:dyDescent="0.25">
      <c r="H126" s="259"/>
      <c r="I126" s="260"/>
      <c r="J126" s="260"/>
      <c r="K126" s="260"/>
      <c r="L126" s="312"/>
      <c r="M126" s="312"/>
      <c r="N126" s="312"/>
      <c r="O126" s="312"/>
      <c r="P126" s="312"/>
      <c r="Q126" s="312"/>
      <c r="R126" s="312"/>
      <c r="S126" s="312"/>
      <c r="T126" s="312"/>
      <c r="U126" s="312"/>
      <c r="V126" s="312"/>
      <c r="W126" s="312"/>
    </row>
    <row r="127" spans="1:23" s="32" customFormat="1" ht="12.6" x14ac:dyDescent="0.25">
      <c r="A127" s="35"/>
      <c r="C127" s="35"/>
      <c r="H127" s="259"/>
      <c r="I127" s="260"/>
      <c r="J127" s="260"/>
      <c r="K127" s="260"/>
      <c r="L127" s="260"/>
      <c r="M127" s="260"/>
      <c r="N127" s="260"/>
      <c r="O127" s="260"/>
      <c r="P127" s="260"/>
      <c r="Q127" s="260"/>
      <c r="R127" s="260"/>
      <c r="S127" s="312"/>
      <c r="T127" s="312"/>
      <c r="U127" s="312"/>
      <c r="V127" s="312"/>
      <c r="W127" s="312"/>
    </row>
    <row r="128" spans="1:23" s="32" customFormat="1" ht="12.6" x14ac:dyDescent="0.25">
      <c r="A128" s="35"/>
      <c r="C128" s="35"/>
      <c r="H128" s="259"/>
      <c r="I128" s="260"/>
      <c r="J128" s="260"/>
      <c r="K128" s="260"/>
      <c r="L128" s="260"/>
      <c r="M128" s="260"/>
      <c r="N128" s="260"/>
      <c r="O128" s="260"/>
      <c r="P128" s="260"/>
      <c r="Q128" s="260"/>
      <c r="R128" s="260"/>
      <c r="S128" s="312"/>
      <c r="T128" s="312"/>
      <c r="U128" s="312"/>
      <c r="V128" s="312"/>
      <c r="W128" s="312"/>
    </row>
    <row r="129" spans="1:30" s="32" customFormat="1" ht="12.6" x14ac:dyDescent="0.25">
      <c r="A129" s="35"/>
      <c r="C129" s="35"/>
      <c r="H129" s="259"/>
      <c r="I129" s="260"/>
      <c r="J129" s="260"/>
      <c r="K129" s="260"/>
      <c r="L129" s="260"/>
      <c r="M129" s="260"/>
      <c r="N129" s="260"/>
      <c r="O129" s="260"/>
      <c r="P129" s="260"/>
      <c r="Q129" s="260"/>
      <c r="R129" s="260"/>
      <c r="S129" s="312"/>
      <c r="T129" s="312"/>
      <c r="U129" s="312"/>
      <c r="V129" s="312"/>
      <c r="W129" s="312"/>
    </row>
    <row r="130" spans="1:30" s="32" customFormat="1" ht="12.6" x14ac:dyDescent="0.25">
      <c r="A130" s="35"/>
      <c r="C130" s="35"/>
      <c r="H130" s="259"/>
      <c r="I130" s="260"/>
      <c r="J130" s="260"/>
      <c r="K130" s="260"/>
      <c r="L130" s="311"/>
      <c r="M130" s="311"/>
      <c r="N130" s="311"/>
      <c r="O130" s="311"/>
      <c r="P130" s="311"/>
      <c r="Q130" s="311"/>
      <c r="R130" s="311"/>
      <c r="S130" s="311"/>
      <c r="T130" s="311"/>
      <c r="U130" s="311"/>
      <c r="V130" s="311"/>
      <c r="W130" s="311"/>
    </row>
    <row r="131" spans="1:30" s="32" customFormat="1" ht="12.6" x14ac:dyDescent="0.25">
      <c r="A131" s="35"/>
      <c r="C131" s="35"/>
      <c r="H131" s="259"/>
      <c r="I131" s="310"/>
      <c r="J131" s="310"/>
      <c r="K131" s="310"/>
      <c r="L131" s="311"/>
      <c r="M131" s="311"/>
      <c r="N131" s="311"/>
      <c r="O131" s="311"/>
      <c r="P131" s="311"/>
      <c r="Q131" s="311"/>
      <c r="R131" s="311"/>
      <c r="S131" s="311"/>
      <c r="T131" s="311"/>
      <c r="U131" s="311"/>
      <c r="V131" s="311"/>
      <c r="W131" s="311"/>
    </row>
    <row r="132" spans="1:30" s="32" customFormat="1" ht="12.6" x14ac:dyDescent="0.25">
      <c r="A132" s="35"/>
      <c r="C132" s="35"/>
      <c r="E132" s="97"/>
      <c r="G132" s="97"/>
      <c r="H132" s="101"/>
      <c r="I132" s="97"/>
      <c r="J132" s="98"/>
      <c r="L132" s="38"/>
      <c r="M132" s="103"/>
      <c r="N132" s="103"/>
      <c r="O132" s="103"/>
      <c r="P132" s="103"/>
      <c r="Q132" s="103"/>
      <c r="R132" s="103"/>
      <c r="S132" s="103"/>
      <c r="T132" s="103"/>
      <c r="U132" s="103"/>
      <c r="V132" s="103"/>
      <c r="W132" s="103"/>
      <c r="X132" s="103"/>
      <c r="Y132" s="103"/>
      <c r="Z132" s="103"/>
      <c r="AA132" s="103"/>
      <c r="AB132" s="103"/>
      <c r="AC132" s="103"/>
      <c r="AD132" s="103"/>
    </row>
    <row r="133" spans="1:30" s="32" customFormat="1" ht="12.6" x14ac:dyDescent="0.25">
      <c r="A133" s="35"/>
      <c r="C133" s="35"/>
      <c r="E133" s="97"/>
      <c r="G133" s="97"/>
      <c r="H133" s="101"/>
      <c r="I133" s="97"/>
      <c r="J133" s="98"/>
      <c r="L133" s="38"/>
      <c r="M133" s="103"/>
      <c r="N133" s="103"/>
      <c r="O133" s="103"/>
      <c r="P133" s="103"/>
      <c r="Q133" s="103"/>
      <c r="R133" s="103"/>
      <c r="S133" s="103"/>
      <c r="T133" s="103"/>
      <c r="U133" s="103"/>
      <c r="V133" s="103"/>
      <c r="W133" s="103"/>
      <c r="X133" s="103"/>
      <c r="Y133" s="103"/>
      <c r="Z133" s="103"/>
      <c r="AA133" s="103"/>
      <c r="AB133" s="103"/>
      <c r="AC133" s="103"/>
      <c r="AD133" s="103"/>
    </row>
    <row r="134" spans="1:30" s="32" customFormat="1" ht="12.6" x14ac:dyDescent="0.25">
      <c r="A134" s="35"/>
      <c r="C134" s="35"/>
      <c r="E134" s="97"/>
      <c r="G134" s="97"/>
      <c r="H134" s="101"/>
      <c r="I134" s="97"/>
      <c r="J134" s="98"/>
      <c r="L134" s="38"/>
      <c r="M134" s="103"/>
      <c r="O134" s="101"/>
      <c r="P134" s="103"/>
      <c r="Q134" s="307"/>
      <c r="R134" s="307"/>
      <c r="S134" s="307"/>
      <c r="T134" s="307"/>
      <c r="U134" s="307"/>
      <c r="V134" s="307"/>
      <c r="W134" s="307"/>
      <c r="X134" s="307"/>
      <c r="Y134" s="103"/>
      <c r="Z134" s="103"/>
      <c r="AA134" s="103"/>
      <c r="AB134" s="103"/>
      <c r="AC134" s="103"/>
      <c r="AD134" s="103"/>
    </row>
    <row r="135" spans="1:30" s="32" customFormat="1" ht="12.6" x14ac:dyDescent="0.25">
      <c r="A135" s="35"/>
      <c r="B135" s="35"/>
      <c r="E135" s="97"/>
      <c r="G135" s="97"/>
      <c r="H135" s="101"/>
      <c r="I135" s="97"/>
      <c r="J135" s="98"/>
      <c r="L135" s="38"/>
      <c r="M135" s="103"/>
      <c r="N135" s="103"/>
      <c r="O135" s="101"/>
      <c r="P135" s="103"/>
      <c r="Q135" s="308"/>
      <c r="R135" s="308"/>
      <c r="S135" s="308"/>
      <c r="T135" s="308"/>
      <c r="U135" s="308"/>
      <c r="V135" s="308"/>
      <c r="W135" s="308"/>
      <c r="X135" s="308"/>
      <c r="Y135" s="103"/>
      <c r="Z135" s="103"/>
      <c r="AA135" s="103"/>
      <c r="AB135" s="103"/>
      <c r="AC135" s="103"/>
      <c r="AD135" s="103"/>
    </row>
    <row r="136" spans="1:30" s="32" customFormat="1" ht="12.6" x14ac:dyDescent="0.25">
      <c r="A136" s="35"/>
      <c r="B136" s="35"/>
      <c r="E136" s="97"/>
      <c r="G136" s="97"/>
      <c r="H136" s="101"/>
      <c r="I136" s="97"/>
      <c r="J136" s="98"/>
      <c r="L136" s="38"/>
      <c r="M136" s="103"/>
      <c r="N136" s="103"/>
      <c r="O136" s="101"/>
      <c r="P136" s="103"/>
      <c r="Q136" s="308"/>
      <c r="R136" s="308"/>
      <c r="S136" s="308"/>
      <c r="T136" s="308"/>
      <c r="U136" s="308"/>
      <c r="V136" s="308"/>
      <c r="W136" s="308"/>
      <c r="X136" s="308"/>
      <c r="Y136" s="240"/>
      <c r="Z136" s="103"/>
      <c r="AA136" s="103"/>
      <c r="AB136" s="103"/>
      <c r="AC136" s="103"/>
      <c r="AD136" s="103"/>
    </row>
    <row r="137" spans="1:30" s="32" customFormat="1" ht="12.6" x14ac:dyDescent="0.25">
      <c r="A137" s="35"/>
      <c r="B137" s="35"/>
      <c r="E137" s="97"/>
      <c r="G137" s="97"/>
      <c r="H137" s="101"/>
      <c r="I137" s="97"/>
      <c r="J137" s="98"/>
      <c r="L137" s="38"/>
      <c r="M137" s="103"/>
      <c r="N137" s="103"/>
      <c r="O137" s="101"/>
      <c r="P137" s="103"/>
      <c r="Q137" s="308"/>
      <c r="R137" s="308"/>
      <c r="S137" s="308"/>
      <c r="T137" s="308"/>
      <c r="U137" s="308"/>
      <c r="V137" s="308"/>
      <c r="W137" s="308"/>
      <c r="X137" s="308"/>
      <c r="Y137" s="101"/>
      <c r="Z137" s="103"/>
      <c r="AA137" s="101"/>
      <c r="AB137" s="103"/>
      <c r="AC137" s="103"/>
      <c r="AD137" s="103"/>
    </row>
    <row r="138" spans="1:30" s="32" customFormat="1" ht="12.6" x14ac:dyDescent="0.25">
      <c r="A138" s="35"/>
      <c r="B138" s="35"/>
      <c r="E138" s="97"/>
      <c r="G138" s="97"/>
      <c r="H138" s="101"/>
      <c r="I138" s="97"/>
      <c r="J138" s="98"/>
      <c r="L138" s="38"/>
      <c r="M138" s="103"/>
      <c r="N138" s="103"/>
      <c r="O138" s="101"/>
      <c r="P138" s="103"/>
      <c r="Q138" s="308"/>
      <c r="R138" s="308"/>
      <c r="S138" s="308"/>
      <c r="T138" s="308"/>
      <c r="U138" s="308"/>
      <c r="V138" s="308"/>
      <c r="W138" s="308"/>
      <c r="X138" s="308"/>
      <c r="Y138" s="101"/>
      <c r="Z138" s="103"/>
      <c r="AA138" s="103"/>
      <c r="AB138" s="103"/>
      <c r="AC138" s="103"/>
      <c r="AD138" s="103"/>
    </row>
    <row r="139" spans="1:30" s="32" customFormat="1" ht="12.6" x14ac:dyDescent="0.25">
      <c r="A139" s="35"/>
      <c r="B139" s="35"/>
      <c r="E139" s="97"/>
      <c r="G139" s="97"/>
      <c r="H139" s="101"/>
      <c r="I139" s="97"/>
      <c r="J139" s="98"/>
      <c r="L139" s="38"/>
      <c r="M139" s="103"/>
      <c r="N139" s="103"/>
      <c r="O139" s="101"/>
      <c r="P139" s="103"/>
      <c r="Q139" s="308"/>
      <c r="R139" s="308"/>
      <c r="S139" s="308"/>
      <c r="T139" s="308"/>
      <c r="U139" s="308"/>
      <c r="V139" s="308"/>
      <c r="W139" s="308"/>
      <c r="X139" s="308"/>
      <c r="Y139" s="101"/>
      <c r="Z139" s="103"/>
      <c r="AA139" s="103"/>
      <c r="AB139" s="103"/>
      <c r="AC139" s="103"/>
      <c r="AD139" s="103"/>
    </row>
    <row r="140" spans="1:30" s="32" customFormat="1" ht="12.6" x14ac:dyDescent="0.25">
      <c r="A140" s="35"/>
      <c r="B140" s="35"/>
      <c r="E140" s="97"/>
      <c r="G140" s="97"/>
      <c r="H140" s="101"/>
      <c r="I140" s="97"/>
      <c r="J140" s="98"/>
      <c r="L140" s="38"/>
      <c r="M140" s="103"/>
      <c r="N140" s="103"/>
      <c r="O140" s="103"/>
      <c r="P140" s="103"/>
      <c r="Q140" s="85"/>
      <c r="R140" s="85"/>
      <c r="S140" s="85"/>
      <c r="T140" s="85"/>
      <c r="U140" s="85"/>
      <c r="V140" s="85"/>
      <c r="W140" s="85"/>
      <c r="X140" s="101"/>
      <c r="Y140" s="101"/>
      <c r="Z140" s="103"/>
      <c r="AA140" s="103"/>
      <c r="AB140" s="103"/>
      <c r="AC140" s="103"/>
      <c r="AD140" s="103"/>
    </row>
    <row r="141" spans="1:30" s="32" customFormat="1" ht="12.6" x14ac:dyDescent="0.25">
      <c r="A141" s="35"/>
      <c r="B141" s="35"/>
      <c r="E141" s="97"/>
      <c r="G141" s="97"/>
      <c r="H141" s="101"/>
      <c r="I141" s="97"/>
      <c r="J141" s="98"/>
      <c r="L141" s="38"/>
      <c r="M141" s="103"/>
      <c r="N141" s="103"/>
      <c r="O141" s="103"/>
      <c r="P141" s="103"/>
      <c r="Q141" s="85"/>
      <c r="R141" s="85"/>
      <c r="S141" s="85"/>
      <c r="T141" s="85"/>
      <c r="U141" s="85"/>
      <c r="V141" s="85"/>
      <c r="W141" s="85"/>
      <c r="X141" s="101"/>
      <c r="Y141" s="101"/>
      <c r="Z141" s="103"/>
      <c r="AA141" s="103"/>
      <c r="AB141" s="103"/>
      <c r="AC141" s="103"/>
      <c r="AD141" s="103"/>
    </row>
    <row r="142" spans="1:30" s="32" customFormat="1" ht="12.6" x14ac:dyDescent="0.25">
      <c r="A142" s="35"/>
      <c r="B142" s="35"/>
      <c r="E142" s="97"/>
      <c r="G142" s="97"/>
      <c r="H142" s="101"/>
      <c r="I142" s="97"/>
      <c r="J142" s="98"/>
      <c r="L142" s="38"/>
      <c r="M142" s="103"/>
      <c r="N142" s="103"/>
      <c r="O142" s="103"/>
      <c r="P142" s="103"/>
      <c r="Q142" s="103"/>
      <c r="R142" s="103"/>
      <c r="S142" s="103"/>
      <c r="T142" s="103"/>
      <c r="U142" s="103"/>
      <c r="V142" s="103"/>
      <c r="W142" s="103"/>
      <c r="X142" s="103"/>
      <c r="Y142" s="103"/>
      <c r="Z142" s="103"/>
      <c r="AA142" s="103"/>
      <c r="AB142" s="103"/>
      <c r="AC142" s="103"/>
      <c r="AD142" s="103"/>
    </row>
    <row r="143" spans="1:30" s="32" customFormat="1" ht="12.6" x14ac:dyDescent="0.25">
      <c r="A143" s="35"/>
      <c r="B143" s="35"/>
      <c r="E143" s="97"/>
      <c r="G143" s="97"/>
      <c r="H143" s="101"/>
      <c r="I143" s="97"/>
      <c r="J143" s="98"/>
      <c r="L143" s="38"/>
      <c r="M143" s="103"/>
      <c r="N143" s="103"/>
      <c r="O143" s="103"/>
      <c r="P143" s="103"/>
      <c r="Q143" s="103"/>
      <c r="R143" s="103"/>
      <c r="S143" s="103"/>
      <c r="T143" s="103"/>
      <c r="U143" s="103"/>
      <c r="V143" s="103"/>
      <c r="W143" s="103"/>
      <c r="X143" s="103"/>
      <c r="Y143" s="103"/>
      <c r="Z143" s="103"/>
      <c r="AA143" s="103"/>
      <c r="AB143" s="103"/>
      <c r="AC143" s="103"/>
      <c r="AD143" s="103"/>
    </row>
    <row r="144" spans="1:30" s="32" customFormat="1" ht="12.6" x14ac:dyDescent="0.25">
      <c r="A144" s="35"/>
      <c r="B144" s="35"/>
      <c r="E144" s="97"/>
      <c r="G144" s="97"/>
      <c r="H144" s="101"/>
      <c r="I144" s="97"/>
      <c r="J144" s="98"/>
      <c r="L144" s="38"/>
      <c r="M144" s="103"/>
      <c r="N144" s="103"/>
      <c r="O144" s="103"/>
      <c r="P144" s="103"/>
      <c r="Q144" s="103"/>
      <c r="R144" s="103"/>
      <c r="S144" s="103"/>
      <c r="T144" s="103"/>
      <c r="U144" s="103"/>
      <c r="V144" s="103"/>
      <c r="W144" s="103"/>
      <c r="X144" s="103"/>
      <c r="Y144" s="103"/>
      <c r="Z144" s="103"/>
      <c r="AA144" s="103"/>
      <c r="AB144" s="103"/>
      <c r="AC144" s="103"/>
      <c r="AD144" s="103"/>
    </row>
    <row r="145" spans="1:30" s="32" customFormat="1" ht="12.6" x14ac:dyDescent="0.25">
      <c r="A145" s="35"/>
      <c r="B145" s="35"/>
      <c r="E145" s="97"/>
      <c r="G145" s="97"/>
      <c r="H145" s="101"/>
      <c r="I145" s="97"/>
      <c r="J145" s="98"/>
      <c r="L145" s="38"/>
      <c r="M145" s="103"/>
      <c r="N145" s="103"/>
      <c r="O145" s="103"/>
      <c r="P145" s="103"/>
      <c r="Q145" s="103"/>
      <c r="R145" s="103"/>
      <c r="S145" s="103"/>
      <c r="T145" s="103"/>
      <c r="U145" s="103"/>
      <c r="V145" s="103"/>
      <c r="W145" s="103"/>
      <c r="X145" s="103"/>
      <c r="Y145" s="103"/>
      <c r="Z145" s="103"/>
      <c r="AA145" s="103"/>
      <c r="AB145" s="103"/>
      <c r="AC145" s="103"/>
      <c r="AD145" s="103"/>
    </row>
    <row r="146" spans="1:30" s="32" customFormat="1" ht="12.6" x14ac:dyDescent="0.25">
      <c r="A146" s="35"/>
      <c r="B146" s="35"/>
      <c r="E146" s="97"/>
      <c r="G146" s="97"/>
      <c r="H146" s="101"/>
      <c r="I146" s="97"/>
      <c r="J146" s="98"/>
      <c r="L146" s="38"/>
      <c r="M146" s="103"/>
      <c r="N146" s="103"/>
      <c r="O146" s="103"/>
      <c r="P146" s="103"/>
      <c r="Q146" s="103"/>
      <c r="R146" s="103"/>
      <c r="S146" s="103"/>
      <c r="T146" s="103"/>
      <c r="U146" s="103"/>
      <c r="V146" s="103"/>
      <c r="W146" s="103"/>
      <c r="X146" s="103"/>
      <c r="Y146" s="103"/>
      <c r="Z146" s="103"/>
      <c r="AA146" s="103"/>
      <c r="AB146" s="103"/>
      <c r="AC146" s="103"/>
      <c r="AD146" s="103"/>
    </row>
    <row r="147" spans="1:30" s="32" customFormat="1" ht="12.6" x14ac:dyDescent="0.25">
      <c r="A147" s="35"/>
      <c r="B147" s="35"/>
      <c r="E147" s="97"/>
      <c r="G147" s="97"/>
      <c r="H147" s="101"/>
      <c r="I147" s="97"/>
      <c r="J147" s="98"/>
      <c r="L147" s="38"/>
      <c r="M147" s="103"/>
      <c r="N147" s="103"/>
      <c r="O147" s="103"/>
      <c r="P147" s="103"/>
      <c r="Q147" s="103"/>
      <c r="R147" s="103"/>
      <c r="S147" s="103"/>
      <c r="T147" s="103"/>
      <c r="U147" s="103"/>
      <c r="V147" s="103"/>
      <c r="W147" s="103"/>
      <c r="X147" s="103"/>
      <c r="Y147" s="103"/>
      <c r="Z147" s="103"/>
      <c r="AA147" s="103"/>
      <c r="AB147" s="103"/>
      <c r="AC147" s="103"/>
      <c r="AD147" s="103"/>
    </row>
    <row r="148" spans="1:30" s="32" customFormat="1" ht="12.6" x14ac:dyDescent="0.25">
      <c r="A148" s="35"/>
      <c r="B148" s="35"/>
      <c r="E148" s="97"/>
      <c r="G148" s="97"/>
      <c r="H148" s="101"/>
      <c r="I148" s="97"/>
      <c r="J148" s="98"/>
      <c r="L148" s="38"/>
      <c r="M148" s="103"/>
      <c r="N148" s="103"/>
      <c r="O148" s="103"/>
      <c r="P148" s="103"/>
      <c r="Q148" s="103"/>
      <c r="R148" s="103"/>
      <c r="S148" s="103"/>
      <c r="T148" s="103"/>
      <c r="U148" s="103"/>
      <c r="V148" s="103"/>
      <c r="W148" s="103"/>
      <c r="X148" s="103"/>
      <c r="Y148" s="103"/>
      <c r="Z148" s="103"/>
      <c r="AA148" s="103"/>
      <c r="AB148" s="103"/>
      <c r="AC148" s="103"/>
      <c r="AD148" s="103"/>
    </row>
    <row r="149" spans="1:30" s="32" customFormat="1" ht="12.6" x14ac:dyDescent="0.25">
      <c r="A149" s="35"/>
      <c r="B149" s="35"/>
      <c r="E149" s="97"/>
      <c r="G149" s="97"/>
      <c r="H149" s="101"/>
      <c r="I149" s="97"/>
      <c r="J149" s="98"/>
      <c r="L149" s="38"/>
      <c r="M149" s="103"/>
      <c r="N149" s="103"/>
      <c r="O149" s="103"/>
      <c r="P149" s="103"/>
      <c r="Q149" s="103"/>
      <c r="R149" s="103"/>
      <c r="S149" s="103"/>
      <c r="T149" s="103"/>
      <c r="U149" s="103"/>
      <c r="V149" s="103"/>
      <c r="W149" s="103"/>
      <c r="X149" s="103"/>
      <c r="Y149" s="103"/>
      <c r="Z149" s="103"/>
      <c r="AA149" s="103"/>
      <c r="AB149" s="103"/>
      <c r="AC149" s="103"/>
      <c r="AD149" s="103"/>
    </row>
    <row r="150" spans="1:30" s="32" customFormat="1" ht="12.6" x14ac:dyDescent="0.25">
      <c r="A150" s="35"/>
      <c r="B150" s="35"/>
      <c r="E150" s="97"/>
      <c r="G150" s="97"/>
      <c r="H150" s="101"/>
      <c r="I150" s="97"/>
      <c r="J150" s="98"/>
      <c r="L150" s="38"/>
      <c r="M150" s="103"/>
      <c r="N150" s="103"/>
      <c r="O150" s="103"/>
      <c r="P150" s="103"/>
      <c r="Q150" s="103"/>
      <c r="R150" s="103"/>
      <c r="S150" s="103"/>
      <c r="T150" s="103"/>
      <c r="U150" s="103"/>
      <c r="V150" s="103"/>
      <c r="W150" s="103"/>
      <c r="X150" s="103"/>
      <c r="Y150" s="103"/>
      <c r="Z150" s="103"/>
      <c r="AA150" s="103"/>
      <c r="AB150" s="103"/>
      <c r="AC150" s="103"/>
      <c r="AD150" s="103"/>
    </row>
    <row r="151" spans="1:30" s="32" customFormat="1" ht="12.6" x14ac:dyDescent="0.25">
      <c r="A151" s="35"/>
      <c r="B151" s="35"/>
      <c r="E151" s="97"/>
      <c r="G151" s="97"/>
      <c r="H151" s="101"/>
      <c r="I151" s="97"/>
      <c r="J151" s="98"/>
      <c r="L151" s="38"/>
      <c r="M151" s="103"/>
      <c r="N151" s="103"/>
      <c r="O151" s="103"/>
      <c r="P151" s="103"/>
      <c r="Q151" s="103"/>
      <c r="R151" s="103"/>
      <c r="S151" s="103"/>
      <c r="T151" s="103"/>
      <c r="U151" s="103"/>
      <c r="V151" s="103"/>
      <c r="W151" s="103"/>
      <c r="X151" s="103"/>
      <c r="Y151" s="103"/>
      <c r="Z151" s="103"/>
      <c r="AA151" s="103"/>
      <c r="AB151" s="103"/>
      <c r="AC151" s="103"/>
      <c r="AD151" s="103"/>
    </row>
    <row r="152" spans="1:30" s="32" customFormat="1" ht="12.6" x14ac:dyDescent="0.25">
      <c r="A152" s="35"/>
      <c r="B152" s="35"/>
      <c r="E152" s="97"/>
      <c r="G152" s="97"/>
      <c r="H152" s="101"/>
      <c r="I152" s="97"/>
      <c r="J152" s="98"/>
      <c r="L152" s="38"/>
      <c r="M152" s="103"/>
      <c r="N152" s="103"/>
      <c r="O152" s="103"/>
      <c r="P152" s="103"/>
      <c r="Q152" s="103"/>
      <c r="R152" s="103"/>
      <c r="S152" s="103"/>
      <c r="T152" s="103"/>
      <c r="U152" s="103"/>
      <c r="V152" s="103"/>
      <c r="W152" s="103"/>
      <c r="X152" s="103"/>
      <c r="Y152" s="103"/>
      <c r="Z152" s="103"/>
      <c r="AA152" s="103"/>
      <c r="AB152" s="103"/>
      <c r="AC152" s="103"/>
      <c r="AD152" s="103"/>
    </row>
    <row r="153" spans="1:30" s="32" customFormat="1" ht="12.6" x14ac:dyDescent="0.25">
      <c r="A153" s="35"/>
      <c r="B153" s="35"/>
      <c r="E153" s="97"/>
      <c r="G153" s="97"/>
      <c r="H153" s="101"/>
      <c r="I153" s="97"/>
      <c r="J153" s="98"/>
      <c r="L153" s="38"/>
      <c r="M153" s="103"/>
      <c r="N153" s="103"/>
      <c r="O153" s="103"/>
      <c r="P153" s="103"/>
      <c r="Q153" s="103"/>
      <c r="R153" s="103"/>
      <c r="S153" s="103"/>
      <c r="T153" s="103"/>
      <c r="U153" s="103"/>
      <c r="V153" s="103"/>
      <c r="W153" s="103"/>
      <c r="X153" s="103"/>
      <c r="Y153" s="103"/>
      <c r="Z153" s="103"/>
      <c r="AA153" s="103"/>
      <c r="AB153" s="103"/>
      <c r="AC153" s="103"/>
      <c r="AD153" s="103"/>
    </row>
    <row r="154" spans="1:30" s="32" customFormat="1" ht="12.6" x14ac:dyDescent="0.25">
      <c r="A154" s="35"/>
      <c r="B154" s="35"/>
      <c r="E154" s="97"/>
      <c r="G154" s="97"/>
      <c r="H154" s="101"/>
      <c r="I154" s="97"/>
      <c r="J154" s="98"/>
      <c r="L154" s="38"/>
      <c r="M154" s="103"/>
      <c r="N154" s="103"/>
      <c r="O154" s="103"/>
      <c r="P154" s="103"/>
      <c r="Q154" s="103"/>
      <c r="R154" s="103"/>
      <c r="S154" s="103"/>
      <c r="T154" s="103"/>
      <c r="U154" s="103"/>
      <c r="V154" s="103"/>
      <c r="W154" s="103"/>
      <c r="X154" s="103"/>
      <c r="Y154" s="103"/>
      <c r="Z154" s="103"/>
      <c r="AA154" s="103"/>
      <c r="AB154" s="103"/>
      <c r="AC154" s="103"/>
      <c r="AD154" s="103"/>
    </row>
    <row r="155" spans="1:30" s="32" customFormat="1" ht="12.6" x14ac:dyDescent="0.25">
      <c r="A155" s="35"/>
      <c r="B155" s="35"/>
      <c r="E155" s="97"/>
      <c r="G155" s="97"/>
      <c r="H155" s="101"/>
      <c r="I155" s="97"/>
      <c r="J155" s="98"/>
      <c r="L155" s="38"/>
      <c r="M155" s="103"/>
      <c r="N155" s="103"/>
      <c r="O155" s="103"/>
      <c r="P155" s="103"/>
      <c r="Q155" s="103"/>
      <c r="R155" s="103"/>
      <c r="S155" s="103"/>
      <c r="T155" s="103"/>
      <c r="U155" s="103"/>
      <c r="V155" s="103"/>
      <c r="W155" s="103"/>
      <c r="X155" s="103"/>
      <c r="Y155" s="103"/>
      <c r="Z155" s="103"/>
      <c r="AA155" s="103"/>
      <c r="AB155" s="103"/>
      <c r="AC155" s="103"/>
      <c r="AD155" s="103"/>
    </row>
    <row r="156" spans="1:30" s="32" customFormat="1" ht="12.6" x14ac:dyDescent="0.25">
      <c r="A156" s="35"/>
      <c r="B156" s="35"/>
      <c r="E156" s="97"/>
      <c r="G156" s="97"/>
      <c r="H156" s="101"/>
      <c r="I156" s="97"/>
      <c r="J156" s="98"/>
      <c r="L156" s="38"/>
      <c r="M156" s="103"/>
      <c r="N156" s="103"/>
      <c r="O156" s="103"/>
      <c r="P156" s="103"/>
      <c r="Q156" s="103"/>
      <c r="R156" s="103"/>
      <c r="S156" s="103"/>
      <c r="T156" s="103"/>
      <c r="U156" s="103"/>
      <c r="V156" s="103"/>
      <c r="W156" s="103"/>
      <c r="X156" s="103"/>
      <c r="Y156" s="103"/>
      <c r="Z156" s="103"/>
      <c r="AA156" s="103"/>
      <c r="AB156" s="103"/>
      <c r="AC156" s="103"/>
      <c r="AD156" s="103"/>
    </row>
    <row r="157" spans="1:30" s="32" customFormat="1" ht="12.6" x14ac:dyDescent="0.25">
      <c r="A157" s="35"/>
      <c r="B157" s="35"/>
      <c r="E157" s="97"/>
      <c r="G157" s="97"/>
      <c r="H157" s="101"/>
      <c r="I157" s="97"/>
      <c r="J157" s="98"/>
      <c r="L157" s="38"/>
      <c r="M157" s="103"/>
      <c r="N157" s="103"/>
      <c r="O157" s="103"/>
      <c r="P157" s="103"/>
      <c r="Q157" s="103"/>
      <c r="R157" s="103"/>
      <c r="S157" s="103"/>
      <c r="T157" s="103"/>
      <c r="U157" s="103"/>
      <c r="V157" s="103"/>
      <c r="W157" s="103"/>
      <c r="X157" s="103"/>
      <c r="Y157" s="103"/>
      <c r="Z157" s="103"/>
      <c r="AA157" s="103"/>
      <c r="AB157" s="103"/>
      <c r="AC157" s="103"/>
      <c r="AD157" s="103"/>
    </row>
    <row r="158" spans="1:30" s="32" customFormat="1" ht="12.6" x14ac:dyDescent="0.25">
      <c r="A158" s="35"/>
      <c r="B158" s="35"/>
      <c r="E158" s="97"/>
      <c r="G158" s="97"/>
      <c r="H158" s="101"/>
      <c r="I158" s="97"/>
      <c r="J158" s="98"/>
      <c r="L158" s="38"/>
      <c r="M158" s="103"/>
      <c r="N158" s="103"/>
      <c r="O158" s="103"/>
      <c r="P158" s="103"/>
      <c r="Q158" s="103"/>
      <c r="R158" s="103"/>
      <c r="S158" s="103"/>
      <c r="T158" s="103"/>
      <c r="U158" s="103"/>
      <c r="V158" s="103"/>
      <c r="W158" s="103"/>
      <c r="X158" s="103"/>
      <c r="Y158" s="103"/>
      <c r="Z158" s="103"/>
      <c r="AA158" s="103"/>
      <c r="AB158" s="103"/>
      <c r="AC158" s="103"/>
      <c r="AD158" s="103"/>
    </row>
    <row r="159" spans="1:30" s="32" customFormat="1" ht="12.6" x14ac:dyDescent="0.25">
      <c r="A159" s="35"/>
      <c r="B159" s="35"/>
      <c r="E159" s="97"/>
      <c r="G159" s="97"/>
      <c r="H159" s="101"/>
      <c r="I159" s="97"/>
      <c r="J159" s="98"/>
      <c r="L159" s="38"/>
      <c r="M159" s="103"/>
      <c r="N159" s="103"/>
      <c r="O159" s="103"/>
      <c r="P159" s="103"/>
      <c r="Q159" s="103"/>
      <c r="R159" s="103"/>
      <c r="S159" s="103"/>
      <c r="T159" s="103"/>
      <c r="U159" s="103"/>
      <c r="V159" s="103"/>
      <c r="W159" s="103"/>
      <c r="X159" s="103"/>
      <c r="Y159" s="103"/>
      <c r="Z159" s="103"/>
      <c r="AA159" s="103"/>
      <c r="AB159" s="103"/>
      <c r="AC159" s="103"/>
      <c r="AD159" s="103"/>
    </row>
    <row r="160" spans="1:30" s="32" customFormat="1" ht="12.6" x14ac:dyDescent="0.25">
      <c r="A160" s="35"/>
      <c r="B160" s="35"/>
      <c r="E160" s="97"/>
      <c r="G160" s="97"/>
      <c r="H160" s="101"/>
      <c r="I160" s="97"/>
      <c r="J160" s="98"/>
      <c r="L160" s="38"/>
      <c r="M160" s="103"/>
      <c r="N160" s="103"/>
      <c r="O160" s="103"/>
      <c r="P160" s="103"/>
      <c r="Q160" s="103"/>
      <c r="R160" s="103"/>
      <c r="S160" s="103"/>
      <c r="T160" s="103"/>
      <c r="U160" s="103"/>
      <c r="V160" s="103"/>
      <c r="W160" s="103"/>
      <c r="X160" s="103"/>
      <c r="Y160" s="103"/>
      <c r="Z160" s="103"/>
      <c r="AA160" s="103"/>
      <c r="AB160" s="103"/>
      <c r="AC160" s="103"/>
      <c r="AD160" s="103"/>
    </row>
    <row r="161" spans="1:35" s="32" customFormat="1" ht="12.6" x14ac:dyDescent="0.25">
      <c r="A161" s="35"/>
      <c r="B161" s="35"/>
      <c r="E161" s="97"/>
      <c r="G161" s="97"/>
      <c r="H161" s="101"/>
      <c r="I161" s="97"/>
      <c r="J161" s="98"/>
      <c r="L161" s="38"/>
      <c r="M161" s="103"/>
      <c r="N161" s="103"/>
      <c r="O161" s="103"/>
      <c r="P161" s="103"/>
      <c r="Q161" s="103"/>
      <c r="R161" s="103"/>
      <c r="S161" s="103"/>
      <c r="T161" s="103"/>
      <c r="U161" s="103"/>
      <c r="V161" s="103"/>
      <c r="W161" s="103"/>
      <c r="X161" s="103"/>
      <c r="Y161" s="103"/>
      <c r="Z161" s="103"/>
      <c r="AA161" s="103"/>
      <c r="AB161" s="103"/>
      <c r="AC161" s="103"/>
      <c r="AD161" s="103"/>
    </row>
    <row r="162" spans="1:35" s="32" customFormat="1" ht="12.6" x14ac:dyDescent="0.25">
      <c r="A162" s="35"/>
      <c r="B162" s="35"/>
      <c r="E162" s="97"/>
      <c r="G162" s="97"/>
      <c r="H162" s="101"/>
      <c r="I162" s="97"/>
      <c r="J162" s="98"/>
      <c r="L162" s="38"/>
      <c r="M162" s="103"/>
      <c r="N162" s="103"/>
      <c r="O162" s="103"/>
      <c r="P162" s="103"/>
      <c r="Q162" s="103"/>
      <c r="R162" s="103"/>
      <c r="S162" s="103"/>
      <c r="T162" s="103"/>
      <c r="U162" s="103"/>
      <c r="V162" s="103"/>
      <c r="W162" s="103"/>
      <c r="X162" s="103"/>
      <c r="Y162" s="103"/>
      <c r="Z162" s="103"/>
      <c r="AA162" s="103"/>
      <c r="AB162" s="103"/>
      <c r="AC162" s="103"/>
      <c r="AD162" s="103"/>
    </row>
    <row r="163" spans="1:35" s="32" customFormat="1" ht="12.6" x14ac:dyDescent="0.25">
      <c r="A163" s="35"/>
      <c r="B163" s="35"/>
      <c r="E163" s="97"/>
      <c r="G163" s="97"/>
      <c r="H163" s="101"/>
      <c r="I163" s="97"/>
      <c r="J163" s="98"/>
      <c r="L163" s="38"/>
      <c r="M163" s="103"/>
      <c r="N163" s="103"/>
      <c r="O163" s="103"/>
      <c r="P163" s="103"/>
      <c r="Q163" s="103"/>
      <c r="R163" s="103"/>
      <c r="S163" s="103"/>
      <c r="T163" s="103"/>
      <c r="U163" s="103"/>
      <c r="V163" s="103"/>
      <c r="W163" s="103"/>
      <c r="X163" s="103"/>
      <c r="Y163" s="103"/>
      <c r="Z163" s="103"/>
      <c r="AA163" s="103"/>
      <c r="AB163" s="103"/>
      <c r="AC163" s="103"/>
      <c r="AD163" s="103"/>
    </row>
    <row r="164" spans="1:35" s="32" customFormat="1" ht="13.2" thickBot="1" x14ac:dyDescent="0.3">
      <c r="A164" s="35"/>
      <c r="B164" s="35"/>
      <c r="H164" s="103"/>
      <c r="J164" s="37"/>
      <c r="L164" s="38"/>
      <c r="M164" s="103"/>
      <c r="N164" s="103"/>
      <c r="O164" s="103"/>
      <c r="P164" s="103"/>
      <c r="Q164" s="103"/>
      <c r="R164" s="103"/>
      <c r="S164" s="103"/>
      <c r="T164" s="103"/>
      <c r="U164" s="103"/>
      <c r="V164" s="103"/>
      <c r="W164" s="103"/>
      <c r="X164" s="103"/>
      <c r="Y164" s="103"/>
      <c r="Z164" s="103"/>
      <c r="AA164" s="103"/>
      <c r="AB164" s="103"/>
      <c r="AC164" s="103"/>
      <c r="AD164" s="103"/>
    </row>
    <row r="165" spans="1:35" s="97" customFormat="1" ht="13.2" thickTop="1" x14ac:dyDescent="0.25">
      <c r="A165" s="1"/>
      <c r="B165" s="39" t="s">
        <v>15</v>
      </c>
      <c r="C165" s="40"/>
      <c r="D165" s="40"/>
      <c r="E165" s="40"/>
      <c r="F165" s="41"/>
      <c r="G165" s="40"/>
      <c r="H165" s="40"/>
      <c r="I165" s="42"/>
      <c r="J165" s="42"/>
      <c r="K165" s="40"/>
      <c r="L165" s="43"/>
      <c r="M165" s="40"/>
      <c r="N165" s="42"/>
      <c r="O165" s="42"/>
      <c r="P165" s="42"/>
      <c r="Q165" s="42"/>
      <c r="R165" s="42"/>
      <c r="S165" s="42"/>
      <c r="T165" s="42"/>
      <c r="U165" s="42"/>
      <c r="V165" s="42"/>
      <c r="W165" s="42"/>
      <c r="X165" s="42"/>
      <c r="Y165" s="42"/>
      <c r="Z165" s="42"/>
      <c r="AA165" s="42"/>
      <c r="AB165" s="42"/>
      <c r="AC165" s="42"/>
      <c r="AD165" s="42"/>
      <c r="AE165" s="1"/>
    </row>
    <row r="166" spans="1:35" x14ac:dyDescent="0.2">
      <c r="A166" s="97"/>
      <c r="B166" s="97"/>
      <c r="C166" s="97"/>
      <c r="D166" s="97"/>
      <c r="E166" s="97"/>
      <c r="F166" s="97"/>
      <c r="N166" s="18"/>
    </row>
    <row r="167" spans="1:35" x14ac:dyDescent="0.2">
      <c r="A167" s="97"/>
      <c r="B167" s="97"/>
      <c r="C167" s="97"/>
      <c r="D167" s="97"/>
      <c r="E167" s="97"/>
      <c r="F167" s="97"/>
      <c r="N167" s="18"/>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R170" s="19"/>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ht="12.6" x14ac:dyDescent="0.2">
      <c r="A183" s="97"/>
      <c r="B183" s="97"/>
      <c r="C183" s="97"/>
      <c r="D183" s="97"/>
      <c r="E183" s="97"/>
      <c r="F183" s="97"/>
      <c r="G183" s="1"/>
      <c r="H183" s="1"/>
      <c r="I183" s="1"/>
      <c r="J183" s="2"/>
      <c r="K183" s="1"/>
      <c r="L183" s="3"/>
      <c r="M183" s="1"/>
      <c r="P183" s="235"/>
      <c r="Q183" s="236"/>
      <c r="R183" s="236"/>
      <c r="S183" s="236"/>
      <c r="T183" s="236"/>
      <c r="U183" s="236"/>
      <c r="V183" s="236"/>
      <c r="W183" s="236"/>
      <c r="X183" s="236"/>
      <c r="Y183" s="236"/>
      <c r="Z183" s="236"/>
      <c r="AA183" s="237"/>
      <c r="AE183" s="1"/>
      <c r="AF183" s="1"/>
      <c r="AG183" s="1"/>
      <c r="AH183" s="1"/>
      <c r="AI183" s="1"/>
    </row>
    <row r="184" spans="1:35" s="18" customFormat="1" ht="12.6" x14ac:dyDescent="0.25">
      <c r="A184" s="97"/>
      <c r="B184" s="97"/>
      <c r="C184" s="97"/>
      <c r="D184" s="97"/>
      <c r="E184" s="97"/>
      <c r="F184" s="97"/>
      <c r="G184" s="1"/>
      <c r="H184" s="1"/>
      <c r="I184" s="1"/>
      <c r="J184" s="2"/>
      <c r="K184" s="1"/>
      <c r="L184" s="3"/>
      <c r="M184" s="1"/>
      <c r="P184" s="103"/>
      <c r="Q184" s="238"/>
      <c r="R184" s="238"/>
      <c r="S184" s="238"/>
      <c r="T184" s="238"/>
      <c r="U184" s="238"/>
      <c r="V184" s="238"/>
      <c r="W184" s="238"/>
      <c r="X184" s="238"/>
      <c r="Y184" s="238"/>
      <c r="Z184" s="238"/>
      <c r="AA184" s="234"/>
      <c r="AE184" s="1"/>
      <c r="AF184" s="1"/>
      <c r="AG184" s="1"/>
      <c r="AH184" s="1"/>
      <c r="AI184" s="1"/>
    </row>
    <row r="185" spans="1:35" s="18" customFormat="1" ht="12.6" x14ac:dyDescent="0.25">
      <c r="A185" s="97"/>
      <c r="B185" s="97"/>
      <c r="C185" s="97"/>
      <c r="D185" s="97"/>
      <c r="E185" s="97"/>
      <c r="F185" s="97"/>
      <c r="G185" s="1"/>
      <c r="H185" s="1"/>
      <c r="I185" s="1"/>
      <c r="J185" s="2"/>
      <c r="K185" s="1"/>
      <c r="L185" s="3"/>
      <c r="M185" s="1"/>
      <c r="P185" s="103"/>
      <c r="Q185" s="233"/>
      <c r="R185" s="233"/>
      <c r="S185" s="233"/>
      <c r="T185" s="233"/>
      <c r="U185" s="233"/>
      <c r="V185" s="233"/>
      <c r="W185" s="233"/>
      <c r="X185" s="233"/>
      <c r="Y185" s="233"/>
      <c r="Z185" s="239"/>
      <c r="AA185" s="234"/>
      <c r="AE185" s="1"/>
      <c r="AF185" s="1"/>
      <c r="AG185" s="1"/>
      <c r="AH185" s="1"/>
      <c r="AI185" s="1"/>
    </row>
    <row r="186" spans="1:35" s="18" customFormat="1" ht="12.6" x14ac:dyDescent="0.25">
      <c r="A186" s="97"/>
      <c r="B186" s="97"/>
      <c r="C186" s="97"/>
      <c r="D186" s="97"/>
      <c r="E186" s="97"/>
      <c r="F186" s="97"/>
      <c r="G186" s="1"/>
      <c r="H186" s="1"/>
      <c r="I186" s="1"/>
      <c r="J186" s="2"/>
      <c r="K186" s="1"/>
      <c r="L186" s="3"/>
      <c r="M186" s="1"/>
      <c r="P186" s="103"/>
      <c r="Q186" s="233"/>
      <c r="R186" s="233"/>
      <c r="S186" s="233"/>
      <c r="T186" s="233"/>
      <c r="U186" s="233"/>
      <c r="V186" s="233"/>
      <c r="W186" s="233"/>
      <c r="X186" s="233"/>
      <c r="Y186" s="233"/>
      <c r="Z186" s="233"/>
      <c r="AA186" s="234"/>
      <c r="AE186" s="1"/>
      <c r="AF186" s="1"/>
      <c r="AG186" s="1"/>
      <c r="AH186" s="1"/>
      <c r="AI186" s="1"/>
    </row>
    <row r="187" spans="1:35" s="18" customFormat="1" x14ac:dyDescent="0.2">
      <c r="A187" s="97"/>
      <c r="B187" s="97"/>
      <c r="C187" s="97"/>
      <c r="D187" s="97"/>
      <c r="E187" s="97"/>
      <c r="F187" s="97"/>
      <c r="G187" s="1"/>
      <c r="H187" s="1"/>
      <c r="I187" s="1"/>
      <c r="J187" s="2"/>
      <c r="K187" s="1"/>
      <c r="L187" s="3"/>
      <c r="M187" s="1"/>
      <c r="P187" s="101"/>
      <c r="Q187" s="233"/>
      <c r="R187" s="233"/>
      <c r="S187" s="233"/>
      <c r="T187" s="233"/>
      <c r="U187" s="233"/>
      <c r="V187" s="233"/>
      <c r="W187" s="233"/>
      <c r="X187" s="233"/>
      <c r="Y187" s="233"/>
      <c r="Z187" s="233"/>
      <c r="AA187" s="234"/>
      <c r="AE187" s="1"/>
      <c r="AF187" s="1"/>
      <c r="AG187" s="1"/>
      <c r="AH187" s="1"/>
      <c r="AI187" s="1"/>
    </row>
    <row r="188" spans="1:35" s="18" customFormat="1" ht="12.6" x14ac:dyDescent="0.25">
      <c r="A188" s="97"/>
      <c r="B188" s="97"/>
      <c r="C188" s="97"/>
      <c r="D188" s="97"/>
      <c r="E188" s="97"/>
      <c r="F188" s="97"/>
      <c r="G188" s="1"/>
      <c r="H188" s="1"/>
      <c r="I188" s="1"/>
      <c r="J188" s="2"/>
      <c r="K188" s="1"/>
      <c r="L188" s="3"/>
      <c r="M188" s="1"/>
      <c r="P188" s="103"/>
      <c r="Q188" s="233"/>
      <c r="R188" s="233"/>
      <c r="S188" s="233"/>
      <c r="T188" s="233"/>
      <c r="U188" s="233"/>
      <c r="V188" s="233"/>
      <c r="W188" s="233"/>
      <c r="X188" s="233"/>
      <c r="Y188" s="233"/>
      <c r="Z188" s="233"/>
      <c r="AA188" s="234"/>
      <c r="AE188" s="1"/>
      <c r="AF188" s="1"/>
      <c r="AG188" s="1"/>
      <c r="AH188" s="1"/>
      <c r="AI188" s="1"/>
    </row>
    <row r="189" spans="1:35" s="18" customFormat="1" ht="12.6" x14ac:dyDescent="0.25">
      <c r="A189" s="97"/>
      <c r="B189" s="97"/>
      <c r="C189" s="97"/>
      <c r="D189" s="97"/>
      <c r="E189" s="97"/>
      <c r="F189" s="97"/>
      <c r="G189" s="1"/>
      <c r="H189" s="1"/>
      <c r="I189" s="1"/>
      <c r="J189" s="2"/>
      <c r="K189" s="1"/>
      <c r="L189" s="3"/>
      <c r="M189" s="1"/>
      <c r="P189" s="103"/>
      <c r="Q189" s="233"/>
      <c r="R189" s="233"/>
      <c r="S189" s="233"/>
      <c r="T189" s="233"/>
      <c r="U189" s="233"/>
      <c r="V189" s="233"/>
      <c r="W189" s="233"/>
      <c r="X189" s="233"/>
      <c r="Y189" s="233"/>
      <c r="Z189" s="233"/>
      <c r="AA189" s="234"/>
      <c r="AE189" s="1"/>
      <c r="AF189" s="1"/>
      <c r="AG189" s="1"/>
      <c r="AH189" s="1"/>
      <c r="AI189" s="1"/>
    </row>
    <row r="190" spans="1:35" s="18" customFormat="1" ht="12.6" x14ac:dyDescent="0.25">
      <c r="A190" s="97"/>
      <c r="B190" s="97"/>
      <c r="C190" s="97"/>
      <c r="D190" s="97"/>
      <c r="E190" s="97"/>
      <c r="F190" s="97"/>
      <c r="G190" s="1"/>
      <c r="H190" s="1"/>
      <c r="I190" s="1"/>
      <c r="J190" s="2"/>
      <c r="K190" s="1"/>
      <c r="L190" s="3"/>
      <c r="M190" s="1"/>
      <c r="P190" s="103"/>
      <c r="Q190" s="233"/>
      <c r="R190" s="233"/>
      <c r="S190" s="233"/>
      <c r="T190" s="233"/>
      <c r="U190" s="233"/>
      <c r="V190" s="233"/>
      <c r="W190" s="233"/>
      <c r="X190" s="233"/>
      <c r="Y190" s="233"/>
      <c r="Z190" s="239"/>
      <c r="AA190" s="234"/>
      <c r="AE190" s="1"/>
      <c r="AF190" s="1"/>
      <c r="AG190" s="1"/>
      <c r="AH190" s="1"/>
      <c r="AI190" s="1"/>
    </row>
    <row r="191" spans="1:35" s="18" customFormat="1" ht="12.6" x14ac:dyDescent="0.25">
      <c r="A191" s="97"/>
      <c r="B191" s="97"/>
      <c r="C191" s="97"/>
      <c r="D191" s="97"/>
      <c r="E191" s="97"/>
      <c r="F191" s="97"/>
      <c r="G191" s="1"/>
      <c r="H191" s="1"/>
      <c r="I191" s="1"/>
      <c r="J191" s="2"/>
      <c r="K191" s="1"/>
      <c r="L191" s="3"/>
      <c r="M191" s="1"/>
      <c r="P191" s="103"/>
      <c r="Q191" s="234"/>
      <c r="R191" s="234"/>
      <c r="S191" s="234"/>
      <c r="T191" s="234"/>
      <c r="U191" s="234"/>
      <c r="V191" s="234"/>
      <c r="W191" s="234"/>
      <c r="X191" s="238"/>
      <c r="Y191" s="238"/>
      <c r="Z191" s="238"/>
      <c r="AA191" s="238"/>
      <c r="AE191" s="1"/>
      <c r="AF191" s="1"/>
      <c r="AG191" s="1"/>
      <c r="AH191" s="1"/>
      <c r="AI191" s="1"/>
    </row>
    <row r="192" spans="1:35" s="18" customFormat="1" x14ac:dyDescent="0.2">
      <c r="A192" s="97"/>
      <c r="B192" s="97"/>
      <c r="C192" s="97"/>
      <c r="D192" s="97"/>
      <c r="E192" s="97"/>
      <c r="F192" s="97"/>
      <c r="G192" s="1"/>
      <c r="H192" s="1"/>
      <c r="I192" s="1"/>
      <c r="J192" s="2"/>
      <c r="K192" s="1"/>
      <c r="L192" s="3"/>
      <c r="M192" s="1"/>
      <c r="X192" s="232"/>
      <c r="Y192" s="232"/>
      <c r="Z192" s="232"/>
      <c r="AA192" s="232"/>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AE241" s="1"/>
      <c r="AF241" s="1"/>
      <c r="AG241" s="1"/>
      <c r="AH241" s="1"/>
      <c r="AI241" s="1"/>
    </row>
    <row r="242" spans="1:35" s="18" customFormat="1" x14ac:dyDescent="0.2">
      <c r="A242" s="97"/>
      <c r="B242" s="97"/>
      <c r="C242" s="97"/>
      <c r="D242" s="97"/>
      <c r="E242" s="97"/>
      <c r="F242" s="97"/>
      <c r="G242" s="1"/>
      <c r="H242" s="1"/>
      <c r="I242" s="1"/>
      <c r="J242" s="2"/>
      <c r="K242" s="1"/>
      <c r="L242" s="3"/>
      <c r="M242" s="1"/>
      <c r="AE242" s="1"/>
      <c r="AF242" s="1"/>
      <c r="AG242" s="1"/>
      <c r="AH242" s="1"/>
      <c r="AI242" s="1"/>
    </row>
    <row r="243" spans="1:35" s="18" customFormat="1" x14ac:dyDescent="0.2">
      <c r="A243" s="97"/>
      <c r="B243" s="97"/>
      <c r="C243" s="97"/>
      <c r="D243" s="97"/>
      <c r="E243" s="97"/>
      <c r="F243" s="97"/>
      <c r="G243" s="1"/>
      <c r="H243" s="1"/>
      <c r="I243" s="1"/>
      <c r="J243" s="2"/>
      <c r="K243" s="1"/>
      <c r="L243" s="3"/>
      <c r="M243" s="1"/>
      <c r="AE243" s="1"/>
      <c r="AF243" s="1"/>
      <c r="AG243" s="1"/>
      <c r="AH243" s="1"/>
      <c r="AI243" s="1"/>
    </row>
    <row r="244" spans="1:35" s="18" customFormat="1" x14ac:dyDescent="0.2">
      <c r="A244" s="97"/>
      <c r="B244" s="97"/>
      <c r="C244" s="97"/>
      <c r="D244" s="97"/>
      <c r="E244" s="97"/>
      <c r="F244" s="97"/>
      <c r="G244" s="1"/>
      <c r="H244" s="1"/>
      <c r="I244" s="1"/>
      <c r="J244" s="2"/>
      <c r="K244" s="1"/>
      <c r="L244" s="3"/>
      <c r="M244" s="1"/>
      <c r="AE244" s="1"/>
      <c r="AF244" s="1"/>
      <c r="AG244" s="1"/>
      <c r="AH244" s="1"/>
      <c r="AI244" s="1"/>
    </row>
    <row r="245" spans="1:35" s="18" customFormat="1" x14ac:dyDescent="0.2">
      <c r="A245" s="97"/>
      <c r="B245" s="97"/>
      <c r="C245" s="97"/>
      <c r="D245" s="97"/>
      <c r="E245" s="97"/>
      <c r="F245" s="97"/>
      <c r="G245" s="1"/>
      <c r="H245" s="1"/>
      <c r="I245" s="1"/>
      <c r="J245" s="2"/>
      <c r="K245" s="1"/>
      <c r="L245" s="3"/>
      <c r="M245" s="1"/>
      <c r="AE245" s="1"/>
      <c r="AF245" s="1"/>
      <c r="AG245" s="1"/>
      <c r="AH245" s="1"/>
      <c r="AI245" s="1"/>
    </row>
    <row r="246" spans="1:35" s="18" customFormat="1" x14ac:dyDescent="0.2">
      <c r="A246" s="97"/>
      <c r="B246" s="97"/>
      <c r="C246" s="97"/>
      <c r="D246" s="97"/>
      <c r="E246" s="97"/>
      <c r="F246" s="97"/>
      <c r="G246" s="1"/>
      <c r="H246" s="1"/>
      <c r="I246" s="1"/>
      <c r="J246" s="2"/>
      <c r="K246" s="1"/>
      <c r="L246" s="3"/>
      <c r="M246" s="1"/>
      <c r="AE246" s="1"/>
      <c r="AF246" s="1"/>
      <c r="AG246" s="1"/>
      <c r="AH246" s="1"/>
      <c r="AI246" s="1"/>
    </row>
    <row r="247" spans="1:35" s="18" customFormat="1" x14ac:dyDescent="0.2">
      <c r="A247" s="97"/>
      <c r="B247" s="97"/>
      <c r="C247" s="97"/>
      <c r="D247" s="97"/>
      <c r="E247" s="97"/>
      <c r="F247" s="97"/>
      <c r="G247" s="1"/>
      <c r="H247" s="1"/>
      <c r="I247" s="1"/>
      <c r="J247" s="2"/>
      <c r="K247" s="1"/>
      <c r="L247" s="3"/>
      <c r="M247" s="1"/>
      <c r="AE247" s="1"/>
      <c r="AF247" s="1"/>
      <c r="AG247" s="1"/>
      <c r="AH247" s="1"/>
      <c r="AI247" s="1"/>
    </row>
    <row r="248" spans="1:35" s="18" customFormat="1" x14ac:dyDescent="0.2">
      <c r="A248" s="97"/>
      <c r="B248" s="97"/>
      <c r="C248" s="97"/>
      <c r="D248" s="97"/>
      <c r="E248" s="97"/>
      <c r="F248" s="97"/>
      <c r="G248" s="1"/>
      <c r="H248" s="1"/>
      <c r="I248" s="1"/>
      <c r="J248" s="2"/>
      <c r="K248" s="1"/>
      <c r="L248" s="3"/>
      <c r="M248" s="1"/>
      <c r="AE248" s="1"/>
      <c r="AF248" s="1"/>
      <c r="AG248" s="1"/>
      <c r="AH248" s="1"/>
      <c r="AI248" s="1"/>
    </row>
    <row r="249" spans="1:35" s="18" customFormat="1" x14ac:dyDescent="0.2">
      <c r="A249" s="97"/>
      <c r="B249" s="97"/>
      <c r="C249" s="97"/>
      <c r="D249" s="97"/>
      <c r="E249" s="97"/>
      <c r="F249" s="97"/>
      <c r="G249" s="1"/>
      <c r="H249" s="1"/>
      <c r="I249" s="1"/>
      <c r="J249" s="2"/>
      <c r="K249" s="1"/>
      <c r="L249" s="3"/>
      <c r="M249" s="1"/>
      <c r="AE249" s="1"/>
      <c r="AF249" s="1"/>
      <c r="AG249" s="1"/>
      <c r="AH249" s="1"/>
      <c r="AI249" s="1"/>
    </row>
    <row r="250" spans="1:35" s="18" customFormat="1" x14ac:dyDescent="0.2">
      <c r="A250" s="97"/>
      <c r="B250" s="97"/>
      <c r="C250" s="97"/>
      <c r="D250" s="97"/>
      <c r="E250" s="97"/>
      <c r="F250" s="97"/>
      <c r="G250" s="1"/>
      <c r="H250" s="1"/>
      <c r="I250" s="1"/>
      <c r="J250" s="2"/>
      <c r="K250" s="1"/>
      <c r="L250" s="3"/>
      <c r="M250" s="1"/>
      <c r="AE250" s="1"/>
      <c r="AF250" s="1"/>
      <c r="AG250" s="1"/>
      <c r="AH250" s="1"/>
      <c r="AI250" s="1"/>
    </row>
    <row r="251" spans="1:35" s="18" customFormat="1" x14ac:dyDescent="0.2">
      <c r="A251" s="97"/>
      <c r="B251" s="97"/>
      <c r="C251" s="97"/>
      <c r="D251" s="97"/>
      <c r="E251" s="97"/>
      <c r="F251" s="97"/>
      <c r="G251" s="1"/>
      <c r="H251" s="1"/>
      <c r="I251" s="1"/>
      <c r="J251" s="2"/>
      <c r="K251" s="1"/>
      <c r="L251" s="3"/>
      <c r="M251" s="1"/>
      <c r="AE251" s="1"/>
      <c r="AF251" s="1"/>
      <c r="AG251" s="1"/>
      <c r="AH251" s="1"/>
      <c r="AI251" s="1"/>
    </row>
    <row r="252" spans="1:35" s="18" customFormat="1" x14ac:dyDescent="0.2">
      <c r="A252" s="97"/>
      <c r="B252" s="97"/>
      <c r="C252" s="97"/>
      <c r="D252" s="97"/>
      <c r="E252" s="97"/>
      <c r="F252" s="97"/>
      <c r="G252" s="1"/>
      <c r="H252" s="1"/>
      <c r="I252" s="1"/>
      <c r="J252" s="2"/>
      <c r="K252" s="1"/>
      <c r="L252" s="3"/>
      <c r="M252" s="1"/>
      <c r="AE252" s="1"/>
      <c r="AF252" s="1"/>
      <c r="AG252" s="1"/>
      <c r="AH252" s="1"/>
      <c r="AI252" s="1"/>
    </row>
    <row r="253" spans="1:35" s="18" customFormat="1" x14ac:dyDescent="0.2">
      <c r="A253" s="97"/>
      <c r="B253" s="97"/>
      <c r="C253" s="97"/>
      <c r="D253" s="97"/>
      <c r="E253" s="97"/>
      <c r="F253" s="97"/>
      <c r="G253" s="1"/>
      <c r="H253" s="1"/>
      <c r="I253" s="1"/>
      <c r="J253" s="2"/>
      <c r="K253" s="1"/>
      <c r="L253" s="3"/>
      <c r="M253" s="1"/>
      <c r="AE253" s="1"/>
      <c r="AF253" s="1"/>
      <c r="AG253" s="1"/>
      <c r="AH253" s="1"/>
      <c r="AI253" s="1"/>
    </row>
    <row r="254" spans="1:35" s="18" customFormat="1" x14ac:dyDescent="0.2">
      <c r="A254" s="97"/>
      <c r="B254" s="97"/>
      <c r="C254" s="97"/>
      <c r="D254" s="97"/>
      <c r="E254" s="97"/>
      <c r="F254" s="97"/>
      <c r="G254" s="1"/>
      <c r="H254" s="1"/>
      <c r="I254" s="1"/>
      <c r="J254" s="2"/>
      <c r="K254" s="1"/>
      <c r="L254" s="3"/>
      <c r="M254" s="1"/>
      <c r="AE254" s="1"/>
      <c r="AF254" s="1"/>
      <c r="AG254" s="1"/>
      <c r="AH254" s="1"/>
      <c r="AI254" s="1"/>
    </row>
    <row r="255" spans="1:35" s="18" customFormat="1" x14ac:dyDescent="0.2">
      <c r="A255" s="97"/>
      <c r="B255" s="97"/>
      <c r="C255" s="97"/>
      <c r="D255" s="97"/>
      <c r="E255" s="97"/>
      <c r="F255" s="97"/>
      <c r="G255" s="1"/>
      <c r="H255" s="1"/>
      <c r="I255" s="1"/>
      <c r="J255" s="2"/>
      <c r="K255" s="1"/>
      <c r="L255" s="3"/>
      <c r="M255" s="1"/>
      <c r="AE255" s="1"/>
      <c r="AF255" s="1"/>
      <c r="AG255" s="1"/>
      <c r="AH255" s="1"/>
      <c r="AI255" s="1"/>
    </row>
    <row r="256" spans="1:35" s="18" customFormat="1" x14ac:dyDescent="0.2">
      <c r="A256" s="97"/>
      <c r="B256" s="97"/>
      <c r="C256" s="97"/>
      <c r="D256" s="97"/>
      <c r="E256" s="97"/>
      <c r="F256" s="97"/>
      <c r="G256" s="1"/>
      <c r="H256" s="1"/>
      <c r="I256" s="1"/>
      <c r="J256" s="2"/>
      <c r="K256" s="1"/>
      <c r="L256" s="3"/>
      <c r="M256" s="1"/>
      <c r="AE256" s="1"/>
      <c r="AF256" s="1"/>
      <c r="AG256" s="1"/>
      <c r="AH256" s="1"/>
      <c r="AI256" s="1"/>
    </row>
    <row r="257" spans="1:35" s="18" customFormat="1" x14ac:dyDescent="0.2">
      <c r="A257" s="97"/>
      <c r="B257" s="97"/>
      <c r="C257" s="97"/>
      <c r="D257" s="97"/>
      <c r="E257" s="97"/>
      <c r="F257" s="97"/>
      <c r="G257" s="1"/>
      <c r="H257" s="1"/>
      <c r="I257" s="1"/>
      <c r="J257" s="2"/>
      <c r="K257" s="1"/>
      <c r="L257" s="3"/>
      <c r="M257" s="1"/>
      <c r="AE257" s="1"/>
      <c r="AF257" s="1"/>
      <c r="AG257" s="1"/>
      <c r="AH257" s="1"/>
      <c r="AI257" s="1"/>
    </row>
    <row r="258" spans="1:35" s="18" customFormat="1" x14ac:dyDescent="0.2">
      <c r="A258" s="97"/>
      <c r="B258" s="97"/>
      <c r="C258" s="97"/>
      <c r="D258" s="97"/>
      <c r="E258" s="97"/>
      <c r="F258" s="97"/>
      <c r="G258" s="1"/>
      <c r="H258" s="1"/>
      <c r="I258" s="1"/>
      <c r="J258" s="2"/>
      <c r="K258" s="1"/>
      <c r="L258" s="3"/>
      <c r="M258" s="1"/>
      <c r="AE258" s="1"/>
      <c r="AF258" s="1"/>
      <c r="AG258" s="1"/>
      <c r="AH258" s="1"/>
      <c r="AI258" s="1"/>
    </row>
    <row r="259" spans="1:35" s="18" customFormat="1" x14ac:dyDescent="0.2">
      <c r="A259" s="97"/>
      <c r="B259" s="97"/>
      <c r="C259" s="97"/>
      <c r="D259" s="97"/>
      <c r="E259" s="97"/>
      <c r="F259" s="97"/>
      <c r="G259" s="1"/>
      <c r="H259" s="1"/>
      <c r="I259" s="1"/>
      <c r="J259" s="2"/>
      <c r="K259" s="1"/>
      <c r="L259" s="3"/>
      <c r="M259" s="1"/>
      <c r="AE259" s="1"/>
      <c r="AF259" s="1"/>
      <c r="AG259" s="1"/>
      <c r="AH259" s="1"/>
      <c r="AI259" s="1"/>
    </row>
    <row r="260" spans="1:35" s="18" customFormat="1" x14ac:dyDescent="0.2">
      <c r="A260" s="97"/>
      <c r="B260" s="97"/>
      <c r="C260" s="97"/>
      <c r="D260" s="97"/>
      <c r="E260" s="97"/>
      <c r="F260" s="97"/>
      <c r="G260" s="1"/>
      <c r="H260" s="1"/>
      <c r="I260" s="1"/>
      <c r="J260" s="2"/>
      <c r="K260" s="1"/>
      <c r="L260" s="3"/>
      <c r="M260" s="1"/>
      <c r="AE260" s="1"/>
      <c r="AF260" s="1"/>
      <c r="AG260" s="1"/>
      <c r="AH260" s="1"/>
      <c r="AI260" s="1"/>
    </row>
    <row r="261" spans="1:35" s="18" customFormat="1" x14ac:dyDescent="0.2">
      <c r="A261" s="97"/>
      <c r="B261" s="97"/>
      <c r="C261" s="97"/>
      <c r="D261" s="97"/>
      <c r="E261" s="97"/>
      <c r="F261" s="97"/>
      <c r="G261" s="1"/>
      <c r="H261" s="1"/>
      <c r="I261" s="1"/>
      <c r="J261" s="2"/>
      <c r="K261" s="1"/>
      <c r="L261" s="3"/>
      <c r="M261" s="1"/>
      <c r="AE261" s="1"/>
      <c r="AF261" s="1"/>
      <c r="AG261" s="1"/>
      <c r="AH261" s="1"/>
      <c r="AI261" s="1"/>
    </row>
    <row r="262" spans="1:35" s="18" customFormat="1" x14ac:dyDescent="0.2">
      <c r="A262" s="97"/>
      <c r="B262" s="97"/>
      <c r="C262" s="97"/>
      <c r="D262" s="97"/>
      <c r="E262" s="97"/>
      <c r="F262" s="97"/>
      <c r="G262" s="1"/>
      <c r="H262" s="1"/>
      <c r="I262" s="1"/>
      <c r="J262" s="2"/>
      <c r="K262" s="1"/>
      <c r="L262" s="3"/>
      <c r="M262" s="1"/>
      <c r="AE262" s="1"/>
      <c r="AF262" s="1"/>
      <c r="AG262" s="1"/>
      <c r="AH262" s="1"/>
      <c r="AI262" s="1"/>
    </row>
    <row r="263" spans="1:35" s="18" customFormat="1" x14ac:dyDescent="0.2">
      <c r="A263" s="97"/>
      <c r="B263" s="97"/>
      <c r="C263" s="97"/>
      <c r="D263" s="97"/>
      <c r="E263" s="97"/>
      <c r="F263" s="97"/>
      <c r="G263" s="1"/>
      <c r="H263" s="1"/>
      <c r="I263" s="1"/>
      <c r="J263" s="2"/>
      <c r="K263" s="1"/>
      <c r="L263" s="3"/>
      <c r="M263" s="1"/>
      <c r="AE263" s="1"/>
      <c r="AF263" s="1"/>
      <c r="AG263" s="1"/>
      <c r="AH263" s="1"/>
      <c r="AI263" s="1"/>
    </row>
    <row r="264" spans="1:35" s="18" customFormat="1" x14ac:dyDescent="0.2">
      <c r="A264" s="97"/>
      <c r="B264" s="97"/>
      <c r="C264" s="97"/>
      <c r="D264" s="97"/>
      <c r="E264" s="97"/>
      <c r="F264" s="97"/>
      <c r="G264" s="1"/>
      <c r="H264" s="1"/>
      <c r="I264" s="1"/>
      <c r="J264" s="2"/>
      <c r="K264" s="1"/>
      <c r="L264" s="3"/>
      <c r="M264" s="1"/>
      <c r="AE264" s="1"/>
      <c r="AF264" s="1"/>
      <c r="AG264" s="1"/>
      <c r="AH264" s="1"/>
      <c r="AI264" s="1"/>
    </row>
    <row r="265" spans="1:35" s="18" customFormat="1" x14ac:dyDescent="0.2">
      <c r="A265" s="97"/>
      <c r="B265" s="97"/>
      <c r="C265" s="97"/>
      <c r="D265" s="97"/>
      <c r="E265" s="97"/>
      <c r="F265" s="97"/>
      <c r="G265" s="1"/>
      <c r="H265" s="1"/>
      <c r="I265" s="1"/>
      <c r="J265" s="2"/>
      <c r="K265" s="1"/>
      <c r="L265" s="3"/>
      <c r="M265" s="1"/>
      <c r="AE265" s="1"/>
      <c r="AF265" s="1"/>
      <c r="AG265" s="1"/>
      <c r="AH265" s="1"/>
      <c r="AI265" s="1"/>
    </row>
    <row r="266" spans="1:35" s="18" customFormat="1" x14ac:dyDescent="0.2">
      <c r="A266" s="97"/>
      <c r="B266" s="97"/>
      <c r="C266" s="97"/>
      <c r="D266" s="97"/>
      <c r="E266" s="97"/>
      <c r="F266" s="97"/>
      <c r="G266" s="1"/>
      <c r="H266" s="1"/>
      <c r="I266" s="1"/>
      <c r="J266" s="2"/>
      <c r="K266" s="1"/>
      <c r="L266" s="3"/>
      <c r="M266" s="1"/>
      <c r="AE266" s="1"/>
      <c r="AF266" s="1"/>
      <c r="AG266" s="1"/>
      <c r="AH266" s="1"/>
      <c r="AI266" s="1"/>
    </row>
    <row r="267" spans="1:35" s="18" customFormat="1" x14ac:dyDescent="0.2">
      <c r="A267" s="97"/>
      <c r="B267" s="97"/>
      <c r="C267" s="97"/>
      <c r="D267" s="97"/>
      <c r="E267" s="97"/>
      <c r="F267" s="97"/>
      <c r="G267" s="1"/>
      <c r="H267" s="1"/>
      <c r="I267" s="1"/>
      <c r="J267" s="2"/>
      <c r="K267" s="1"/>
      <c r="L267" s="3"/>
      <c r="M267" s="1"/>
      <c r="AE267" s="1"/>
      <c r="AF267" s="1"/>
      <c r="AG267" s="1"/>
      <c r="AH267" s="1"/>
      <c r="AI267" s="1"/>
    </row>
    <row r="268" spans="1:35" s="18" customFormat="1" x14ac:dyDescent="0.2">
      <c r="A268" s="97"/>
      <c r="B268" s="97"/>
      <c r="C268" s="97"/>
      <c r="D268" s="97"/>
      <c r="E268" s="97"/>
      <c r="F268" s="97"/>
      <c r="G268" s="1"/>
      <c r="H268" s="1"/>
      <c r="I268" s="1"/>
      <c r="J268" s="2"/>
      <c r="K268" s="1"/>
      <c r="L268" s="3"/>
      <c r="M268" s="1"/>
      <c r="AE268" s="1"/>
      <c r="AF268" s="1"/>
      <c r="AG268" s="1"/>
      <c r="AH268" s="1"/>
      <c r="AI268" s="1"/>
    </row>
    <row r="269" spans="1:35" s="18" customFormat="1" x14ac:dyDescent="0.2">
      <c r="A269" s="97"/>
      <c r="B269" s="97"/>
      <c r="C269" s="97"/>
      <c r="D269" s="97"/>
      <c r="E269" s="97"/>
      <c r="F269" s="97"/>
      <c r="G269" s="1"/>
      <c r="H269" s="1"/>
      <c r="I269" s="1"/>
      <c r="J269" s="2"/>
      <c r="K269" s="1"/>
      <c r="L269" s="3"/>
      <c r="M269" s="1"/>
      <c r="AE269" s="1"/>
      <c r="AF269" s="1"/>
      <c r="AG269" s="1"/>
      <c r="AH269" s="1"/>
      <c r="AI269" s="1"/>
    </row>
    <row r="270" spans="1:35" s="18" customFormat="1" x14ac:dyDescent="0.2">
      <c r="A270" s="97"/>
      <c r="B270" s="97"/>
      <c r="C270" s="97"/>
      <c r="D270" s="97"/>
      <c r="E270" s="97"/>
      <c r="F270" s="97"/>
      <c r="G270" s="1"/>
      <c r="H270" s="1"/>
      <c r="I270" s="1"/>
      <c r="J270" s="2"/>
      <c r="K270" s="1"/>
      <c r="L270" s="3"/>
      <c r="M270" s="1"/>
      <c r="AE270" s="1"/>
      <c r="AF270" s="1"/>
      <c r="AG270" s="1"/>
      <c r="AH270" s="1"/>
      <c r="AI270" s="1"/>
    </row>
    <row r="271" spans="1:35" s="18" customFormat="1" x14ac:dyDescent="0.2">
      <c r="A271" s="97"/>
      <c r="B271" s="97"/>
      <c r="C271" s="97"/>
      <c r="D271" s="97"/>
      <c r="E271" s="97"/>
      <c r="F271" s="97"/>
      <c r="G271" s="1"/>
      <c r="H271" s="1"/>
      <c r="I271" s="1"/>
      <c r="J271" s="2"/>
      <c r="K271" s="1"/>
      <c r="L271" s="3"/>
      <c r="M271" s="1"/>
      <c r="AE271" s="1"/>
      <c r="AF271" s="1"/>
      <c r="AG271" s="1"/>
      <c r="AH271" s="1"/>
      <c r="AI271" s="1"/>
    </row>
    <row r="272" spans="1:35" s="18" customFormat="1" x14ac:dyDescent="0.2">
      <c r="A272" s="97"/>
      <c r="B272" s="97"/>
      <c r="C272" s="97"/>
      <c r="D272" s="97"/>
      <c r="E272" s="97"/>
      <c r="F272" s="97"/>
      <c r="G272" s="1"/>
      <c r="H272" s="1"/>
      <c r="I272" s="1"/>
      <c r="J272" s="2"/>
      <c r="K272" s="1"/>
      <c r="L272" s="3"/>
      <c r="M272" s="1"/>
      <c r="AE272" s="1"/>
      <c r="AF272" s="1"/>
      <c r="AG272" s="1"/>
      <c r="AH272" s="1"/>
      <c r="AI272" s="1"/>
    </row>
    <row r="273" spans="1:35" s="18" customFormat="1" x14ac:dyDescent="0.2">
      <c r="A273" s="97"/>
      <c r="B273" s="97"/>
      <c r="C273" s="97"/>
      <c r="D273" s="97"/>
      <c r="E273" s="97"/>
      <c r="F273" s="97"/>
      <c r="G273" s="1"/>
      <c r="H273" s="1"/>
      <c r="I273" s="1"/>
      <c r="J273" s="2"/>
      <c r="K273" s="1"/>
      <c r="L273" s="3"/>
      <c r="M273" s="1"/>
      <c r="AE273" s="1"/>
      <c r="AF273" s="1"/>
      <c r="AG273" s="1"/>
      <c r="AH273" s="1"/>
      <c r="AI273" s="1"/>
    </row>
    <row r="274" spans="1:35" s="18" customFormat="1" x14ac:dyDescent="0.2">
      <c r="A274" s="97"/>
      <c r="B274" s="97"/>
      <c r="C274" s="97"/>
      <c r="D274" s="97"/>
      <c r="E274" s="97"/>
      <c r="F274" s="97"/>
      <c r="G274" s="1"/>
      <c r="H274" s="1"/>
      <c r="I274" s="1"/>
      <c r="J274" s="2"/>
      <c r="K274" s="1"/>
      <c r="L274" s="3"/>
      <c r="M274" s="1"/>
      <c r="AE274" s="1"/>
      <c r="AF274" s="1"/>
      <c r="AG274" s="1"/>
      <c r="AH274" s="1"/>
      <c r="AI274" s="1"/>
    </row>
    <row r="275" spans="1:35" s="18" customFormat="1" x14ac:dyDescent="0.2">
      <c r="A275" s="97"/>
      <c r="B275" s="97"/>
      <c r="C275" s="97"/>
      <c r="D275" s="97"/>
      <c r="E275" s="97"/>
      <c r="F275" s="97"/>
      <c r="G275" s="1"/>
      <c r="H275" s="1"/>
      <c r="I275" s="1"/>
      <c r="J275" s="2"/>
      <c r="K275" s="1"/>
      <c r="L275" s="3"/>
      <c r="M275" s="1"/>
      <c r="AE275" s="1"/>
      <c r="AF275" s="1"/>
      <c r="AG275" s="1"/>
      <c r="AH275" s="1"/>
      <c r="AI275" s="1"/>
    </row>
    <row r="276" spans="1:35" s="18" customFormat="1" x14ac:dyDescent="0.2">
      <c r="A276" s="97"/>
      <c r="B276" s="97"/>
      <c r="C276" s="97"/>
      <c r="D276" s="97"/>
      <c r="E276" s="97"/>
      <c r="F276" s="97"/>
      <c r="G276" s="1"/>
      <c r="H276" s="1"/>
      <c r="I276" s="1"/>
      <c r="J276" s="2"/>
      <c r="K276" s="1"/>
      <c r="L276" s="3"/>
      <c r="M276" s="1"/>
      <c r="AE276" s="1"/>
      <c r="AF276" s="1"/>
      <c r="AG276" s="1"/>
      <c r="AH276" s="1"/>
      <c r="AI276" s="1"/>
    </row>
    <row r="277" spans="1:35" s="18" customFormat="1" x14ac:dyDescent="0.2">
      <c r="A277" s="97"/>
      <c r="B277" s="97"/>
      <c r="C277" s="97"/>
      <c r="D277" s="97"/>
      <c r="E277" s="97"/>
      <c r="F277" s="97"/>
      <c r="G277" s="1"/>
      <c r="H277" s="1"/>
      <c r="I277" s="1"/>
      <c r="J277" s="2"/>
      <c r="K277" s="1"/>
      <c r="L277" s="3"/>
      <c r="M277" s="1"/>
      <c r="AE277" s="1"/>
      <c r="AF277" s="1"/>
      <c r="AG277" s="1"/>
      <c r="AH277" s="1"/>
      <c r="AI277" s="1"/>
    </row>
    <row r="278" spans="1:35" s="18" customFormat="1" x14ac:dyDescent="0.2">
      <c r="A278" s="97"/>
      <c r="B278" s="97"/>
      <c r="C278" s="97"/>
      <c r="D278" s="97"/>
      <c r="E278" s="97"/>
      <c r="F278" s="97"/>
      <c r="G278" s="1"/>
      <c r="H278" s="1"/>
      <c r="I278" s="1"/>
      <c r="J278" s="2"/>
      <c r="K278" s="1"/>
      <c r="L278" s="3"/>
      <c r="M278" s="1"/>
      <c r="AE278" s="1"/>
      <c r="AF278" s="1"/>
      <c r="AG278" s="1"/>
      <c r="AH278" s="1"/>
      <c r="AI278" s="1"/>
    </row>
    <row r="279" spans="1:35" s="18" customFormat="1" x14ac:dyDescent="0.2">
      <c r="A279" s="97"/>
      <c r="B279" s="97"/>
      <c r="C279" s="97"/>
      <c r="D279" s="97"/>
      <c r="E279" s="97"/>
      <c r="F279" s="97"/>
      <c r="G279" s="1"/>
      <c r="H279" s="1"/>
      <c r="I279" s="1"/>
      <c r="J279" s="2"/>
      <c r="K279" s="1"/>
      <c r="L279" s="3"/>
      <c r="M279" s="1"/>
      <c r="AE279" s="1"/>
      <c r="AF279" s="1"/>
      <c r="AG279" s="1"/>
      <c r="AH279" s="1"/>
      <c r="AI279" s="1"/>
    </row>
    <row r="280" spans="1:35" s="18" customFormat="1" x14ac:dyDescent="0.2">
      <c r="A280" s="97"/>
      <c r="B280" s="97"/>
      <c r="C280" s="97"/>
      <c r="D280" s="97"/>
      <c r="E280" s="97"/>
      <c r="F280" s="97"/>
      <c r="G280" s="1"/>
      <c r="H280" s="1"/>
      <c r="I280" s="1"/>
      <c r="J280" s="2"/>
      <c r="K280" s="1"/>
      <c r="L280" s="3"/>
      <c r="M280" s="1"/>
      <c r="AE280" s="1"/>
      <c r="AF280" s="1"/>
      <c r="AG280" s="1"/>
      <c r="AH280" s="1"/>
      <c r="AI280" s="1"/>
    </row>
    <row r="281" spans="1:35" s="18" customFormat="1" x14ac:dyDescent="0.2">
      <c r="A281" s="97"/>
      <c r="B281" s="97"/>
      <c r="C281" s="97"/>
      <c r="D281" s="97"/>
      <c r="E281" s="97"/>
      <c r="F281" s="97"/>
      <c r="G281" s="1"/>
      <c r="H281" s="1"/>
      <c r="I281" s="1"/>
      <c r="J281" s="2"/>
      <c r="K281" s="1"/>
      <c r="L281" s="3"/>
      <c r="M281" s="1"/>
      <c r="AE281" s="1"/>
      <c r="AF281" s="1"/>
      <c r="AG281" s="1"/>
      <c r="AH281" s="1"/>
      <c r="AI281" s="1"/>
    </row>
    <row r="282" spans="1:35" s="18" customFormat="1" x14ac:dyDescent="0.2">
      <c r="A282" s="97"/>
      <c r="B282" s="97"/>
      <c r="C282" s="97"/>
      <c r="D282" s="97"/>
      <c r="E282" s="97"/>
      <c r="F282" s="97"/>
      <c r="G282" s="1"/>
      <c r="H282" s="1"/>
      <c r="I282" s="1"/>
      <c r="J282" s="2"/>
      <c r="K282" s="1"/>
      <c r="L282" s="3"/>
      <c r="M282" s="1"/>
      <c r="AE282" s="1"/>
      <c r="AF282" s="1"/>
      <c r="AG282" s="1"/>
      <c r="AH282" s="1"/>
      <c r="AI282" s="1"/>
    </row>
    <row r="283" spans="1:35" s="18" customFormat="1" x14ac:dyDescent="0.2">
      <c r="A283" s="97"/>
      <c r="B283" s="97"/>
      <c r="C283" s="97"/>
      <c r="D283" s="97"/>
      <c r="E283" s="97"/>
      <c r="F283" s="97"/>
      <c r="G283" s="1"/>
      <c r="H283" s="1"/>
      <c r="I283" s="1"/>
      <c r="J283" s="2"/>
      <c r="K283" s="1"/>
      <c r="L283" s="3"/>
      <c r="M283" s="1"/>
      <c r="AE283" s="1"/>
      <c r="AF283" s="1"/>
      <c r="AG283" s="1"/>
      <c r="AH283" s="1"/>
      <c r="AI283" s="1"/>
    </row>
    <row r="284" spans="1:35" s="18" customFormat="1" x14ac:dyDescent="0.2">
      <c r="A284" s="97"/>
      <c r="B284" s="97"/>
      <c r="C284" s="97"/>
      <c r="D284" s="97"/>
      <c r="E284" s="97"/>
      <c r="F284" s="97"/>
      <c r="G284" s="1"/>
      <c r="H284" s="1"/>
      <c r="I284" s="1"/>
      <c r="J284" s="2"/>
      <c r="K284" s="1"/>
      <c r="L284" s="3"/>
      <c r="M284" s="1"/>
      <c r="AE284" s="1"/>
      <c r="AF284" s="1"/>
      <c r="AG284" s="1"/>
      <c r="AH284" s="1"/>
      <c r="AI284" s="1"/>
    </row>
    <row r="285" spans="1:35" s="18" customFormat="1" x14ac:dyDescent="0.2">
      <c r="A285" s="97"/>
      <c r="B285" s="97"/>
      <c r="C285" s="97"/>
      <c r="D285" s="97"/>
      <c r="E285" s="97"/>
      <c r="F285" s="97"/>
      <c r="G285" s="1"/>
      <c r="H285" s="1"/>
      <c r="I285" s="1"/>
      <c r="J285" s="2"/>
      <c r="K285" s="1"/>
      <c r="L285" s="3"/>
      <c r="M285" s="1"/>
      <c r="AE285" s="1"/>
      <c r="AF285" s="1"/>
      <c r="AG285" s="1"/>
      <c r="AH285" s="1"/>
      <c r="AI285" s="1"/>
    </row>
    <row r="286" spans="1:35" s="18" customFormat="1" x14ac:dyDescent="0.2">
      <c r="A286" s="97"/>
      <c r="B286" s="97"/>
      <c r="C286" s="97"/>
      <c r="D286" s="97"/>
      <c r="E286" s="97"/>
      <c r="F286" s="97"/>
      <c r="G286" s="1"/>
      <c r="H286" s="1"/>
      <c r="I286" s="1"/>
      <c r="J286" s="2"/>
      <c r="K286" s="1"/>
      <c r="L286" s="3"/>
      <c r="M286" s="1"/>
      <c r="AE286" s="1"/>
      <c r="AF286" s="1"/>
      <c r="AG286" s="1"/>
      <c r="AH286" s="1"/>
      <c r="AI286" s="1"/>
    </row>
    <row r="287" spans="1:35" s="18" customFormat="1" x14ac:dyDescent="0.2">
      <c r="A287" s="97"/>
      <c r="B287" s="97"/>
      <c r="C287" s="97"/>
      <c r="D287" s="97"/>
      <c r="E287" s="97"/>
      <c r="F287" s="97"/>
      <c r="G287" s="1"/>
      <c r="H287" s="1"/>
      <c r="I287" s="1"/>
      <c r="J287" s="2"/>
      <c r="K287" s="1"/>
      <c r="L287" s="3"/>
      <c r="M287" s="1"/>
      <c r="AE287" s="1"/>
      <c r="AF287" s="1"/>
      <c r="AG287" s="1"/>
      <c r="AH287" s="1"/>
      <c r="AI287" s="1"/>
    </row>
    <row r="288" spans="1:35" s="18" customFormat="1" x14ac:dyDescent="0.2">
      <c r="A288" s="97"/>
      <c r="B288" s="97"/>
      <c r="C288" s="97"/>
      <c r="D288" s="97"/>
      <c r="E288" s="97"/>
      <c r="F288" s="97"/>
      <c r="G288" s="1"/>
      <c r="H288" s="1"/>
      <c r="I288" s="1"/>
      <c r="J288" s="2"/>
      <c r="K288" s="1"/>
      <c r="L288" s="3"/>
      <c r="M288" s="1"/>
      <c r="AE288" s="1"/>
      <c r="AF288" s="1"/>
      <c r="AG288" s="1"/>
      <c r="AH288" s="1"/>
      <c r="AI288" s="1"/>
    </row>
    <row r="289" spans="1:35" s="18" customFormat="1" x14ac:dyDescent="0.2">
      <c r="A289" s="97"/>
      <c r="B289" s="97"/>
      <c r="C289" s="97"/>
      <c r="D289" s="97"/>
      <c r="E289" s="97"/>
      <c r="F289" s="97"/>
      <c r="G289" s="1"/>
      <c r="H289" s="1"/>
      <c r="I289" s="1"/>
      <c r="J289" s="2"/>
      <c r="K289" s="1"/>
      <c r="L289" s="3"/>
      <c r="M289" s="1"/>
      <c r="AE289" s="1"/>
      <c r="AF289" s="1"/>
      <c r="AG289" s="1"/>
      <c r="AH289" s="1"/>
      <c r="AI289" s="1"/>
    </row>
    <row r="290" spans="1:35" s="18" customFormat="1" x14ac:dyDescent="0.2">
      <c r="A290" s="97"/>
      <c r="B290" s="97"/>
      <c r="C290" s="97"/>
      <c r="D290" s="97"/>
      <c r="E290" s="97"/>
      <c r="F290" s="97"/>
      <c r="G290" s="1"/>
      <c r="H290" s="1"/>
      <c r="I290" s="1"/>
      <c r="J290" s="2"/>
      <c r="K290" s="1"/>
      <c r="L290" s="3"/>
      <c r="M290" s="1"/>
      <c r="AE290" s="1"/>
      <c r="AF290" s="1"/>
      <c r="AG290" s="1"/>
      <c r="AH290" s="1"/>
      <c r="AI290" s="1"/>
    </row>
    <row r="291" spans="1:35" s="18" customFormat="1" x14ac:dyDescent="0.2">
      <c r="A291" s="97"/>
      <c r="B291" s="97"/>
      <c r="C291" s="97"/>
      <c r="D291" s="97"/>
      <c r="E291" s="97"/>
      <c r="F291" s="97"/>
      <c r="G291" s="1"/>
      <c r="H291" s="1"/>
      <c r="I291" s="1"/>
      <c r="J291" s="2"/>
      <c r="K291" s="1"/>
      <c r="L291" s="3"/>
      <c r="M291" s="1"/>
      <c r="AE291" s="1"/>
      <c r="AF291" s="1"/>
      <c r="AG291" s="1"/>
      <c r="AH291" s="1"/>
      <c r="AI291" s="1"/>
    </row>
    <row r="292" spans="1:35" s="18" customFormat="1" x14ac:dyDescent="0.2">
      <c r="A292" s="97"/>
      <c r="B292" s="97"/>
      <c r="C292" s="97"/>
      <c r="D292" s="97"/>
      <c r="E292" s="97"/>
      <c r="F292" s="97"/>
      <c r="G292" s="1"/>
      <c r="H292" s="1"/>
      <c r="I292" s="1"/>
      <c r="J292" s="2"/>
      <c r="K292" s="1"/>
      <c r="L292" s="3"/>
      <c r="M292" s="1"/>
      <c r="AE292" s="1"/>
      <c r="AF292" s="1"/>
      <c r="AG292" s="1"/>
      <c r="AH292" s="1"/>
      <c r="AI292" s="1"/>
    </row>
    <row r="293" spans="1:35" s="18" customFormat="1" x14ac:dyDescent="0.2">
      <c r="A293" s="97"/>
      <c r="B293" s="97"/>
      <c r="C293" s="97"/>
      <c r="D293" s="97"/>
      <c r="E293" s="97"/>
      <c r="F293" s="97"/>
      <c r="G293" s="1"/>
      <c r="H293" s="1"/>
      <c r="I293" s="1"/>
      <c r="J293" s="2"/>
      <c r="K293" s="1"/>
      <c r="L293" s="3"/>
      <c r="M293" s="1"/>
      <c r="AE293" s="1"/>
      <c r="AF293" s="1"/>
      <c r="AG293" s="1"/>
      <c r="AH293" s="1"/>
      <c r="AI293" s="1"/>
    </row>
    <row r="294" spans="1:35" s="18" customFormat="1" x14ac:dyDescent="0.2">
      <c r="A294" s="97"/>
      <c r="B294" s="97"/>
      <c r="C294" s="97"/>
      <c r="D294" s="97"/>
      <c r="E294" s="97"/>
      <c r="F294" s="97"/>
      <c r="G294" s="1"/>
      <c r="H294" s="1"/>
      <c r="I294" s="1"/>
      <c r="J294" s="2"/>
      <c r="K294" s="1"/>
      <c r="L294" s="3"/>
      <c r="M294" s="1"/>
      <c r="AE294" s="1"/>
      <c r="AF294" s="1"/>
      <c r="AG294" s="1"/>
      <c r="AH294" s="1"/>
      <c r="AI294" s="1"/>
    </row>
    <row r="295" spans="1:35" s="18" customFormat="1" x14ac:dyDescent="0.2">
      <c r="A295" s="97"/>
      <c r="B295" s="97"/>
      <c r="C295" s="97"/>
      <c r="D295" s="97"/>
      <c r="E295" s="97"/>
      <c r="F295" s="97"/>
      <c r="G295" s="1"/>
      <c r="H295" s="1"/>
      <c r="I295" s="1"/>
      <c r="J295" s="2"/>
      <c r="K295" s="1"/>
      <c r="L295" s="3"/>
      <c r="M295" s="1"/>
      <c r="AE295" s="1"/>
      <c r="AF295" s="1"/>
      <c r="AG295" s="1"/>
      <c r="AH295" s="1"/>
      <c r="AI295" s="1"/>
    </row>
    <row r="296" spans="1:35" s="18" customFormat="1" x14ac:dyDescent="0.2">
      <c r="A296" s="97"/>
      <c r="B296" s="97"/>
      <c r="C296" s="97"/>
      <c r="D296" s="97"/>
      <c r="E296" s="97"/>
      <c r="F296" s="97"/>
      <c r="G296" s="1"/>
      <c r="H296" s="1"/>
      <c r="I296" s="1"/>
      <c r="J296" s="2"/>
      <c r="K296" s="1"/>
      <c r="L296" s="3"/>
      <c r="M296" s="1"/>
      <c r="AE296" s="1"/>
      <c r="AF296" s="1"/>
      <c r="AG296" s="1"/>
      <c r="AH296" s="1"/>
      <c r="AI296" s="1"/>
    </row>
    <row r="297" spans="1:35" s="18" customFormat="1" x14ac:dyDescent="0.2">
      <c r="A297" s="97"/>
      <c r="B297" s="97"/>
      <c r="C297" s="97"/>
      <c r="D297" s="97"/>
      <c r="E297" s="97"/>
      <c r="F297" s="97"/>
      <c r="G297" s="1"/>
      <c r="H297" s="1"/>
      <c r="I297" s="1"/>
      <c r="J297" s="2"/>
      <c r="K297" s="1"/>
      <c r="L297" s="3"/>
      <c r="M297" s="1"/>
      <c r="AE297" s="1"/>
      <c r="AF297" s="1"/>
      <c r="AG297" s="1"/>
      <c r="AH297" s="1"/>
      <c r="AI297" s="1"/>
    </row>
    <row r="298" spans="1:35" s="18" customFormat="1" x14ac:dyDescent="0.2">
      <c r="A298" s="97"/>
      <c r="B298" s="97"/>
      <c r="C298" s="97"/>
      <c r="D298" s="97"/>
      <c r="E298" s="97"/>
      <c r="F298" s="97"/>
      <c r="G298" s="1"/>
      <c r="H298" s="1"/>
      <c r="I298" s="1"/>
      <c r="J298" s="2"/>
      <c r="K298" s="1"/>
      <c r="L298" s="3"/>
      <c r="M298" s="1"/>
      <c r="AE298" s="1"/>
      <c r="AF298" s="1"/>
      <c r="AG298" s="1"/>
      <c r="AH298" s="1"/>
      <c r="AI298" s="1"/>
    </row>
    <row r="299" spans="1:35" s="18" customFormat="1" x14ac:dyDescent="0.2">
      <c r="A299" s="97"/>
      <c r="B299" s="97"/>
      <c r="C299" s="97"/>
      <c r="D299" s="97"/>
      <c r="E299" s="97"/>
      <c r="F299" s="97"/>
      <c r="G299" s="1"/>
      <c r="H299" s="1"/>
      <c r="I299" s="1"/>
      <c r="J299" s="2"/>
      <c r="K299" s="1"/>
      <c r="L299" s="3"/>
      <c r="M299" s="1"/>
      <c r="AE299" s="1"/>
      <c r="AF299" s="1"/>
      <c r="AG299" s="1"/>
      <c r="AH299" s="1"/>
      <c r="AI299" s="1"/>
    </row>
    <row r="300" spans="1:35" s="18" customFormat="1" x14ac:dyDescent="0.2">
      <c r="A300" s="97"/>
      <c r="B300" s="97"/>
      <c r="C300" s="97"/>
      <c r="D300" s="97"/>
      <c r="E300" s="97"/>
      <c r="F300" s="97"/>
      <c r="G300" s="1"/>
      <c r="H300" s="1"/>
      <c r="I300" s="1"/>
      <c r="J300" s="2"/>
      <c r="K300" s="1"/>
      <c r="L300" s="3"/>
      <c r="M300" s="1"/>
      <c r="AE300" s="1"/>
      <c r="AF300" s="1"/>
      <c r="AG300" s="1"/>
      <c r="AH300" s="1"/>
      <c r="AI300" s="1"/>
    </row>
    <row r="301" spans="1:35" s="18" customFormat="1" x14ac:dyDescent="0.2">
      <c r="A301" s="97"/>
      <c r="B301" s="97"/>
      <c r="C301" s="97"/>
      <c r="D301" s="97"/>
      <c r="E301" s="97"/>
      <c r="F301" s="97"/>
      <c r="G301" s="1"/>
      <c r="H301" s="1"/>
      <c r="I301" s="1"/>
      <c r="J301" s="2"/>
      <c r="K301" s="1"/>
      <c r="L301" s="3"/>
      <c r="M301" s="1"/>
      <c r="AE301" s="1"/>
      <c r="AF301" s="1"/>
      <c r="AG301" s="1"/>
      <c r="AH301" s="1"/>
      <c r="AI301" s="1"/>
    </row>
    <row r="302" spans="1:35" s="18" customFormat="1" x14ac:dyDescent="0.2">
      <c r="A302" s="97"/>
      <c r="B302" s="97"/>
      <c r="C302" s="97"/>
      <c r="D302" s="97"/>
      <c r="E302" s="97"/>
      <c r="F302" s="97"/>
      <c r="G302" s="1"/>
      <c r="H302" s="1"/>
      <c r="I302" s="1"/>
      <c r="J302" s="2"/>
      <c r="K302" s="1"/>
      <c r="L302" s="3"/>
      <c r="M302" s="1"/>
      <c r="AE302" s="1"/>
      <c r="AF302" s="1"/>
      <c r="AG302" s="1"/>
      <c r="AH302" s="1"/>
      <c r="AI302" s="1"/>
    </row>
    <row r="303" spans="1:35" s="18" customFormat="1" x14ac:dyDescent="0.2">
      <c r="A303" s="97"/>
      <c r="B303" s="97"/>
      <c r="C303" s="97"/>
      <c r="D303" s="97"/>
      <c r="E303" s="97"/>
      <c r="F303" s="97"/>
      <c r="G303" s="1"/>
      <c r="H303" s="1"/>
      <c r="I303" s="1"/>
      <c r="J303" s="2"/>
      <c r="K303" s="1"/>
      <c r="L303" s="3"/>
      <c r="M303" s="1"/>
      <c r="AE303" s="1"/>
      <c r="AF303" s="1"/>
      <c r="AG303" s="1"/>
      <c r="AH303" s="1"/>
      <c r="AI303" s="1"/>
    </row>
    <row r="304" spans="1:35" s="18" customFormat="1" x14ac:dyDescent="0.2">
      <c r="A304" s="97"/>
      <c r="B304" s="97"/>
      <c r="C304" s="97"/>
      <c r="D304" s="97"/>
      <c r="E304" s="97"/>
      <c r="F304" s="97"/>
      <c r="G304" s="1"/>
      <c r="H304" s="1"/>
      <c r="I304" s="1"/>
      <c r="J304" s="2"/>
      <c r="K304" s="1"/>
      <c r="L304" s="3"/>
      <c r="M304" s="1"/>
      <c r="AE304" s="1"/>
      <c r="AF304" s="1"/>
      <c r="AG304" s="1"/>
      <c r="AH304" s="1"/>
      <c r="AI304" s="1"/>
    </row>
    <row r="305" spans="1:35" s="18" customFormat="1" x14ac:dyDescent="0.2">
      <c r="A305" s="97"/>
      <c r="B305" s="97"/>
      <c r="C305" s="97"/>
      <c r="D305" s="97"/>
      <c r="E305" s="97"/>
      <c r="F305" s="97"/>
      <c r="G305" s="1"/>
      <c r="H305" s="1"/>
      <c r="I305" s="1"/>
      <c r="J305" s="2"/>
      <c r="K305" s="1"/>
      <c r="L305" s="3"/>
      <c r="M305" s="1"/>
      <c r="AE305" s="1"/>
      <c r="AF305" s="1"/>
      <c r="AG305" s="1"/>
      <c r="AH305" s="1"/>
      <c r="AI305" s="1"/>
    </row>
    <row r="306" spans="1:35" s="18" customFormat="1" x14ac:dyDescent="0.2">
      <c r="A306" s="97"/>
      <c r="B306" s="97"/>
      <c r="C306" s="97"/>
      <c r="D306" s="97"/>
      <c r="E306" s="97"/>
      <c r="F306" s="97"/>
      <c r="G306" s="1"/>
      <c r="H306" s="1"/>
      <c r="I306" s="1"/>
      <c r="J306" s="2"/>
      <c r="K306" s="1"/>
      <c r="L306" s="3"/>
      <c r="M306" s="1"/>
      <c r="AE306" s="1"/>
      <c r="AF306" s="1"/>
      <c r="AG306" s="1"/>
      <c r="AH306" s="1"/>
      <c r="AI306" s="1"/>
    </row>
    <row r="307" spans="1:35" s="18" customFormat="1" x14ac:dyDescent="0.2">
      <c r="A307" s="97"/>
      <c r="B307" s="97"/>
      <c r="C307" s="97"/>
      <c r="D307" s="97"/>
      <c r="E307" s="97"/>
      <c r="F307" s="97"/>
      <c r="G307" s="1"/>
      <c r="H307" s="1"/>
      <c r="I307" s="1"/>
      <c r="J307" s="2"/>
      <c r="K307" s="1"/>
      <c r="L307" s="3"/>
      <c r="M307" s="1"/>
      <c r="AE307" s="1"/>
      <c r="AF307" s="1"/>
      <c r="AG307" s="1"/>
      <c r="AH307" s="1"/>
      <c r="AI307" s="1"/>
    </row>
    <row r="308" spans="1:35" s="18" customFormat="1" x14ac:dyDescent="0.2">
      <c r="A308" s="97"/>
      <c r="B308" s="97"/>
      <c r="C308" s="97"/>
      <c r="D308" s="97"/>
      <c r="E308" s="97"/>
      <c r="F308" s="97"/>
      <c r="G308" s="1"/>
      <c r="H308" s="1"/>
      <c r="I308" s="1"/>
      <c r="J308" s="2"/>
      <c r="K308" s="1"/>
      <c r="L308" s="3"/>
      <c r="M308" s="1"/>
      <c r="AE308" s="1"/>
      <c r="AF308" s="1"/>
      <c r="AG308" s="1"/>
      <c r="AH308" s="1"/>
      <c r="AI308" s="1"/>
    </row>
    <row r="309" spans="1:35" s="18" customFormat="1" x14ac:dyDescent="0.2">
      <c r="A309" s="97"/>
      <c r="B309" s="97"/>
      <c r="C309" s="97"/>
      <c r="D309" s="97"/>
      <c r="E309" s="97"/>
      <c r="F309" s="97"/>
      <c r="G309" s="1"/>
      <c r="H309" s="1"/>
      <c r="I309" s="1"/>
      <c r="J309" s="2"/>
      <c r="K309" s="1"/>
      <c r="L309" s="3"/>
      <c r="M309" s="1"/>
      <c r="AE309" s="1"/>
      <c r="AF309" s="1"/>
      <c r="AG309" s="1"/>
      <c r="AH309" s="1"/>
      <c r="AI309" s="1"/>
    </row>
    <row r="310" spans="1:35" s="18" customFormat="1" x14ac:dyDescent="0.2">
      <c r="A310" s="97"/>
      <c r="B310" s="97"/>
      <c r="C310" s="97"/>
      <c r="D310" s="97"/>
      <c r="E310" s="97"/>
      <c r="F310" s="97"/>
      <c r="G310" s="1"/>
      <c r="H310" s="1"/>
      <c r="I310" s="1"/>
      <c r="J310" s="2"/>
      <c r="K310" s="1"/>
      <c r="L310" s="3"/>
      <c r="M310" s="1"/>
      <c r="AE310" s="1"/>
      <c r="AF310" s="1"/>
      <c r="AG310" s="1"/>
      <c r="AH310" s="1"/>
      <c r="AI310" s="1"/>
    </row>
    <row r="311" spans="1:35" s="18" customFormat="1" x14ac:dyDescent="0.2">
      <c r="A311" s="97"/>
      <c r="B311" s="97"/>
      <c r="C311" s="97"/>
      <c r="D311" s="97"/>
      <c r="E311" s="97"/>
      <c r="F311" s="97"/>
      <c r="G311" s="1"/>
      <c r="H311" s="1"/>
      <c r="I311" s="1"/>
      <c r="J311" s="2"/>
      <c r="K311" s="1"/>
      <c r="L311" s="3"/>
      <c r="M311" s="1"/>
      <c r="AE311" s="1"/>
      <c r="AF311" s="1"/>
      <c r="AG311" s="1"/>
      <c r="AH311" s="1"/>
      <c r="AI311" s="1"/>
    </row>
    <row r="312" spans="1:35" s="18" customFormat="1" x14ac:dyDescent="0.2">
      <c r="A312" s="97"/>
      <c r="B312" s="97"/>
      <c r="C312" s="97"/>
      <c r="D312" s="97"/>
      <c r="E312" s="97"/>
      <c r="F312" s="97"/>
      <c r="G312" s="1"/>
      <c r="H312" s="1"/>
      <c r="I312" s="1"/>
      <c r="J312" s="2"/>
      <c r="K312" s="1"/>
      <c r="L312" s="3"/>
      <c r="M312" s="1"/>
      <c r="AE312" s="1"/>
      <c r="AF312" s="1"/>
      <c r="AG312" s="1"/>
      <c r="AH312" s="1"/>
      <c r="AI312" s="1"/>
    </row>
    <row r="313" spans="1:35" s="18" customFormat="1" x14ac:dyDescent="0.2">
      <c r="A313" s="97"/>
      <c r="B313" s="97"/>
      <c r="C313" s="97"/>
      <c r="D313" s="97"/>
      <c r="E313" s="97"/>
      <c r="F313" s="97"/>
      <c r="G313" s="1"/>
      <c r="H313" s="1"/>
      <c r="I313" s="1"/>
      <c r="J313" s="2"/>
      <c r="K313" s="1"/>
      <c r="L313" s="3"/>
      <c r="M313" s="1"/>
      <c r="AE313" s="1"/>
      <c r="AF313" s="1"/>
      <c r="AG313" s="1"/>
      <c r="AH313" s="1"/>
      <c r="AI313" s="1"/>
    </row>
    <row r="314" spans="1:35" s="18" customFormat="1" x14ac:dyDescent="0.2">
      <c r="A314" s="97"/>
      <c r="B314" s="97"/>
      <c r="C314" s="97"/>
      <c r="D314" s="97"/>
      <c r="E314" s="97"/>
      <c r="F314" s="97"/>
      <c r="G314" s="1"/>
      <c r="H314" s="1"/>
      <c r="I314" s="1"/>
      <c r="J314" s="2"/>
      <c r="K314" s="1"/>
      <c r="L314" s="3"/>
      <c r="M314" s="1"/>
      <c r="AE314" s="1"/>
      <c r="AF314" s="1"/>
      <c r="AG314" s="1"/>
      <c r="AH314" s="1"/>
      <c r="AI314" s="1"/>
    </row>
    <row r="315" spans="1:35" s="18" customFormat="1" x14ac:dyDescent="0.2">
      <c r="A315" s="97"/>
      <c r="B315" s="97"/>
      <c r="C315" s="97"/>
      <c r="D315" s="97"/>
      <c r="E315" s="97"/>
      <c r="F315" s="97"/>
      <c r="G315" s="1"/>
      <c r="H315" s="1"/>
      <c r="I315" s="1"/>
      <c r="J315" s="2"/>
      <c r="K315" s="1"/>
      <c r="L315" s="3"/>
      <c r="M315" s="1"/>
      <c r="AE315" s="1"/>
      <c r="AF315" s="1"/>
      <c r="AG315" s="1"/>
      <c r="AH315" s="1"/>
      <c r="AI315" s="1"/>
    </row>
    <row r="316" spans="1:35" s="18" customFormat="1" x14ac:dyDescent="0.2">
      <c r="A316" s="97"/>
      <c r="B316" s="97"/>
      <c r="C316" s="97"/>
      <c r="D316" s="97"/>
      <c r="E316" s="97"/>
      <c r="F316" s="97"/>
      <c r="G316" s="1"/>
      <c r="H316" s="1"/>
      <c r="I316" s="1"/>
      <c r="J316" s="2"/>
      <c r="K316" s="1"/>
      <c r="L316" s="3"/>
      <c r="M316" s="1"/>
      <c r="AE316" s="1"/>
      <c r="AF316" s="1"/>
      <c r="AG316" s="1"/>
      <c r="AH316" s="1"/>
      <c r="AI316" s="1"/>
    </row>
    <row r="317" spans="1:35" s="18" customFormat="1" x14ac:dyDescent="0.2">
      <c r="A317" s="97"/>
      <c r="B317" s="97"/>
      <c r="C317" s="97"/>
      <c r="D317" s="97"/>
      <c r="E317" s="97"/>
      <c r="F317" s="97"/>
      <c r="G317" s="1"/>
      <c r="H317" s="1"/>
      <c r="I317" s="1"/>
      <c r="J317" s="2"/>
      <c r="K317" s="1"/>
      <c r="L317" s="3"/>
      <c r="M317" s="1"/>
      <c r="AE317" s="1"/>
      <c r="AF317" s="1"/>
      <c r="AG317" s="1"/>
      <c r="AH317" s="1"/>
      <c r="AI317" s="1"/>
    </row>
    <row r="318" spans="1:35" s="18" customFormat="1" x14ac:dyDescent="0.2">
      <c r="A318" s="97"/>
      <c r="B318" s="97"/>
      <c r="C318" s="97"/>
      <c r="D318" s="97"/>
      <c r="E318" s="97"/>
      <c r="F318" s="97"/>
      <c r="G318" s="1"/>
      <c r="H318" s="1"/>
      <c r="I318" s="1"/>
      <c r="J318" s="2"/>
      <c r="K318" s="1"/>
      <c r="L318" s="3"/>
      <c r="M318" s="1"/>
      <c r="AE318" s="1"/>
      <c r="AF318" s="1"/>
      <c r="AG318" s="1"/>
      <c r="AH318" s="1"/>
      <c r="AI318" s="1"/>
    </row>
    <row r="319" spans="1:35" s="18" customFormat="1" x14ac:dyDescent="0.2">
      <c r="A319" s="97"/>
      <c r="B319" s="97"/>
      <c r="C319" s="97"/>
      <c r="D319" s="97"/>
      <c r="E319" s="97"/>
      <c r="F319" s="97"/>
      <c r="G319" s="1"/>
      <c r="H319" s="1"/>
      <c r="I319" s="1"/>
      <c r="J319" s="2"/>
      <c r="K319" s="1"/>
      <c r="L319" s="3"/>
      <c r="M319" s="1"/>
      <c r="AE319" s="1"/>
      <c r="AF319" s="1"/>
      <c r="AG319" s="1"/>
      <c r="AH319" s="1"/>
      <c r="AI319" s="1"/>
    </row>
    <row r="320" spans="1:35" s="18" customFormat="1" x14ac:dyDescent="0.2">
      <c r="A320" s="97"/>
      <c r="B320" s="97"/>
      <c r="C320" s="97"/>
      <c r="D320" s="97"/>
      <c r="E320" s="97"/>
      <c r="F320" s="97"/>
      <c r="G320" s="1"/>
      <c r="H320" s="1"/>
      <c r="I320" s="1"/>
      <c r="J320" s="2"/>
      <c r="K320" s="1"/>
      <c r="L320" s="3"/>
      <c r="M320" s="1"/>
      <c r="AE320" s="1"/>
      <c r="AF320" s="1"/>
      <c r="AG320" s="1"/>
      <c r="AH320" s="1"/>
      <c r="AI320" s="1"/>
    </row>
    <row r="321" spans="1:35" s="18" customFormat="1" x14ac:dyDescent="0.2">
      <c r="A321" s="97"/>
      <c r="B321" s="97"/>
      <c r="C321" s="97"/>
      <c r="D321" s="97"/>
      <c r="E321" s="97"/>
      <c r="F321" s="97"/>
      <c r="G321" s="1"/>
      <c r="H321" s="1"/>
      <c r="I321" s="1"/>
      <c r="J321" s="2"/>
      <c r="K321" s="1"/>
      <c r="L321" s="3"/>
      <c r="M321" s="1"/>
      <c r="AE321" s="1"/>
      <c r="AF321" s="1"/>
      <c r="AG321" s="1"/>
      <c r="AH321" s="1"/>
      <c r="AI321" s="1"/>
    </row>
    <row r="322" spans="1:35" s="18" customFormat="1" x14ac:dyDescent="0.2">
      <c r="A322" s="97"/>
      <c r="B322" s="97"/>
      <c r="C322" s="97"/>
      <c r="D322" s="97"/>
      <c r="E322" s="97"/>
      <c r="F322" s="97"/>
      <c r="G322" s="1"/>
      <c r="H322" s="1"/>
      <c r="I322" s="1"/>
      <c r="J322" s="2"/>
      <c r="K322" s="1"/>
      <c r="L322" s="3"/>
      <c r="M322" s="1"/>
      <c r="AE322" s="1"/>
      <c r="AF322" s="1"/>
      <c r="AG322" s="1"/>
      <c r="AH322" s="1"/>
      <c r="AI322" s="1"/>
    </row>
    <row r="323" spans="1:35" s="18" customFormat="1" x14ac:dyDescent="0.2">
      <c r="A323" s="97"/>
      <c r="B323" s="97"/>
      <c r="C323" s="97"/>
      <c r="D323" s="97"/>
      <c r="E323" s="97"/>
      <c r="F323" s="97"/>
      <c r="G323" s="1"/>
      <c r="H323" s="1"/>
      <c r="I323" s="1"/>
      <c r="J323" s="2"/>
      <c r="K323" s="1"/>
      <c r="L323" s="3"/>
      <c r="M323" s="1"/>
      <c r="AE323" s="1"/>
      <c r="AF323" s="1"/>
      <c r="AG323" s="1"/>
      <c r="AH323" s="1"/>
      <c r="AI323" s="1"/>
    </row>
    <row r="324" spans="1:35" s="18" customFormat="1" x14ac:dyDescent="0.2">
      <c r="A324" s="97"/>
      <c r="B324" s="97"/>
      <c r="C324" s="97"/>
      <c r="D324" s="97"/>
      <c r="E324" s="97"/>
      <c r="F324" s="97"/>
      <c r="G324" s="1"/>
      <c r="H324" s="1"/>
      <c r="I324" s="1"/>
      <c r="J324" s="2"/>
      <c r="K324" s="1"/>
      <c r="L324" s="3"/>
      <c r="M324" s="1"/>
      <c r="AE324" s="1"/>
      <c r="AF324" s="1"/>
      <c r="AG324" s="1"/>
      <c r="AH324" s="1"/>
      <c r="AI324" s="1"/>
    </row>
    <row r="325" spans="1:35" s="18" customFormat="1" x14ac:dyDescent="0.2">
      <c r="A325" s="97"/>
      <c r="B325" s="97"/>
      <c r="C325" s="97"/>
      <c r="D325" s="97"/>
      <c r="E325" s="97"/>
      <c r="F325" s="97"/>
      <c r="G325" s="1"/>
      <c r="H325" s="1"/>
      <c r="I325" s="1"/>
      <c r="J325" s="2"/>
      <c r="K325" s="1"/>
      <c r="L325" s="3"/>
      <c r="M325" s="1"/>
      <c r="AE325" s="1"/>
      <c r="AF325" s="1"/>
      <c r="AG325" s="1"/>
      <c r="AH325" s="1"/>
      <c r="AI325" s="1"/>
    </row>
    <row r="326" spans="1:35" s="18" customFormat="1" x14ac:dyDescent="0.2">
      <c r="A326" s="97"/>
      <c r="B326" s="97"/>
      <c r="C326" s="97"/>
      <c r="D326" s="97"/>
      <c r="E326" s="97"/>
      <c r="F326" s="97"/>
      <c r="G326" s="1"/>
      <c r="H326" s="1"/>
      <c r="I326" s="1"/>
      <c r="J326" s="2"/>
      <c r="K326" s="1"/>
      <c r="L326" s="3"/>
      <c r="M326" s="1"/>
      <c r="AE326" s="1"/>
      <c r="AF326" s="1"/>
      <c r="AG326" s="1"/>
      <c r="AH326" s="1"/>
      <c r="AI326" s="1"/>
    </row>
    <row r="327" spans="1:35" s="18" customFormat="1" x14ac:dyDescent="0.2">
      <c r="A327" s="97"/>
      <c r="B327" s="97"/>
      <c r="C327" s="97"/>
      <c r="D327" s="97"/>
      <c r="E327" s="97"/>
      <c r="F327" s="97"/>
      <c r="G327" s="1"/>
      <c r="H327" s="1"/>
      <c r="I327" s="1"/>
      <c r="J327" s="2"/>
      <c r="K327" s="1"/>
      <c r="L327" s="3"/>
      <c r="M327" s="1"/>
      <c r="AE327" s="1"/>
      <c r="AF327" s="1"/>
      <c r="AG327" s="1"/>
      <c r="AH327" s="1"/>
      <c r="AI327" s="1"/>
    </row>
    <row r="328" spans="1:35" s="18" customFormat="1" x14ac:dyDescent="0.2">
      <c r="A328" s="97"/>
      <c r="B328" s="97"/>
      <c r="C328" s="97"/>
      <c r="D328" s="97"/>
      <c r="E328" s="97"/>
      <c r="F328" s="97"/>
      <c r="G328" s="1"/>
      <c r="H328" s="1"/>
      <c r="I328" s="1"/>
      <c r="J328" s="2"/>
      <c r="K328" s="1"/>
      <c r="L328" s="3"/>
      <c r="M328" s="1"/>
      <c r="AE328" s="1"/>
      <c r="AF328" s="1"/>
      <c r="AG328" s="1"/>
      <c r="AH328" s="1"/>
      <c r="AI328" s="1"/>
    </row>
    <row r="329" spans="1:35" s="18" customFormat="1" x14ac:dyDescent="0.2">
      <c r="A329" s="97"/>
      <c r="B329" s="97"/>
      <c r="C329" s="97"/>
      <c r="D329" s="97"/>
      <c r="E329" s="97"/>
      <c r="F329" s="97"/>
      <c r="G329" s="1"/>
      <c r="H329" s="1"/>
      <c r="I329" s="1"/>
      <c r="J329" s="2"/>
      <c r="K329" s="1"/>
      <c r="L329" s="3"/>
      <c r="M329" s="1"/>
      <c r="AE329" s="1"/>
      <c r="AF329" s="1"/>
      <c r="AG329" s="1"/>
      <c r="AH329" s="1"/>
      <c r="AI329" s="1"/>
    </row>
    <row r="330" spans="1:35" s="18" customFormat="1" x14ac:dyDescent="0.2">
      <c r="A330" s="97"/>
      <c r="B330" s="97"/>
      <c r="C330" s="97"/>
      <c r="D330" s="97"/>
      <c r="E330" s="97"/>
      <c r="F330" s="97"/>
      <c r="G330" s="1"/>
      <c r="H330" s="1"/>
      <c r="I330" s="1"/>
      <c r="J330" s="2"/>
      <c r="K330" s="1"/>
      <c r="L330" s="3"/>
      <c r="M330" s="1"/>
      <c r="AE330" s="1"/>
      <c r="AF330" s="1"/>
      <c r="AG330" s="1"/>
      <c r="AH330" s="1"/>
      <c r="AI330" s="1"/>
    </row>
    <row r="331" spans="1:35" s="18" customFormat="1" x14ac:dyDescent="0.2">
      <c r="A331" s="97"/>
      <c r="B331" s="97"/>
      <c r="C331" s="97"/>
      <c r="D331" s="97"/>
      <c r="E331" s="97"/>
      <c r="F331" s="97"/>
      <c r="G331" s="1"/>
      <c r="H331" s="1"/>
      <c r="I331" s="1"/>
      <c r="J331" s="2"/>
      <c r="K331" s="1"/>
      <c r="L331" s="3"/>
      <c r="M331" s="1"/>
      <c r="AE331" s="1"/>
      <c r="AF331" s="1"/>
      <c r="AG331" s="1"/>
      <c r="AH331" s="1"/>
      <c r="AI331" s="1"/>
    </row>
    <row r="332" spans="1:35" s="18" customFormat="1" x14ac:dyDescent="0.2">
      <c r="A332" s="97"/>
      <c r="B332" s="97"/>
      <c r="C332" s="97"/>
      <c r="D332" s="97"/>
      <c r="E332" s="97"/>
      <c r="F332" s="97"/>
      <c r="G332" s="1"/>
      <c r="H332" s="1"/>
      <c r="I332" s="1"/>
      <c r="J332" s="2"/>
      <c r="K332" s="1"/>
      <c r="L332" s="3"/>
      <c r="M332" s="1"/>
      <c r="AE332" s="1"/>
      <c r="AF332" s="1"/>
      <c r="AG332" s="1"/>
      <c r="AH332" s="1"/>
      <c r="AI332" s="1"/>
    </row>
    <row r="333" spans="1:35" s="18" customFormat="1" x14ac:dyDescent="0.2">
      <c r="A333" s="97"/>
      <c r="B333" s="97"/>
      <c r="C333" s="97"/>
      <c r="D333" s="97"/>
      <c r="E333" s="97"/>
      <c r="F333" s="97"/>
      <c r="G333" s="1"/>
      <c r="H333" s="1"/>
      <c r="I333" s="1"/>
      <c r="J333" s="2"/>
      <c r="K333" s="1"/>
      <c r="L333" s="3"/>
      <c r="M333" s="1"/>
      <c r="AE333" s="1"/>
      <c r="AF333" s="1"/>
      <c r="AG333" s="1"/>
      <c r="AH333" s="1"/>
      <c r="AI333" s="1"/>
    </row>
    <row r="334" spans="1:35" s="18" customFormat="1" x14ac:dyDescent="0.2">
      <c r="A334" s="97"/>
      <c r="B334" s="97"/>
      <c r="C334" s="97"/>
      <c r="D334" s="97"/>
      <c r="E334" s="97"/>
      <c r="F334" s="97"/>
      <c r="G334" s="1"/>
      <c r="H334" s="1"/>
      <c r="I334" s="1"/>
      <c r="J334" s="2"/>
      <c r="K334" s="1"/>
      <c r="L334" s="3"/>
      <c r="M334" s="1"/>
      <c r="AE334" s="1"/>
      <c r="AF334" s="1"/>
      <c r="AG334" s="1"/>
      <c r="AH334" s="1"/>
      <c r="AI334" s="1"/>
    </row>
    <row r="335" spans="1:35" s="18" customFormat="1" x14ac:dyDescent="0.2">
      <c r="A335" s="97"/>
      <c r="B335" s="97"/>
      <c r="C335" s="97"/>
      <c r="D335" s="97"/>
      <c r="E335" s="97"/>
      <c r="F335" s="97"/>
      <c r="G335" s="1"/>
      <c r="H335" s="1"/>
      <c r="I335" s="1"/>
      <c r="J335" s="2"/>
      <c r="K335" s="1"/>
      <c r="L335" s="3"/>
      <c r="M335" s="1"/>
      <c r="AE335" s="1"/>
      <c r="AF335" s="1"/>
      <c r="AG335" s="1"/>
      <c r="AH335" s="1"/>
      <c r="AI335" s="1"/>
    </row>
    <row r="336" spans="1:35" s="18" customFormat="1" x14ac:dyDescent="0.2">
      <c r="A336" s="97"/>
      <c r="B336" s="97"/>
      <c r="C336" s="97"/>
      <c r="D336" s="97"/>
      <c r="E336" s="97"/>
      <c r="F336" s="97"/>
      <c r="G336" s="1"/>
      <c r="H336" s="1"/>
      <c r="I336" s="1"/>
      <c r="J336" s="2"/>
      <c r="K336" s="1"/>
      <c r="L336" s="3"/>
      <c r="M336" s="1"/>
      <c r="AE336" s="1"/>
      <c r="AF336" s="1"/>
      <c r="AG336" s="1"/>
      <c r="AH336" s="1"/>
      <c r="AI336" s="1"/>
    </row>
    <row r="337" spans="1:35" s="18" customFormat="1" x14ac:dyDescent="0.2">
      <c r="A337" s="97"/>
      <c r="B337" s="97"/>
      <c r="C337" s="97"/>
      <c r="D337" s="97"/>
      <c r="E337" s="97"/>
      <c r="F337" s="97"/>
      <c r="G337" s="1"/>
      <c r="H337" s="1"/>
      <c r="I337" s="1"/>
      <c r="J337" s="2"/>
      <c r="K337" s="1"/>
      <c r="L337" s="3"/>
      <c r="M337" s="1"/>
      <c r="AE337" s="1"/>
      <c r="AF337" s="1"/>
      <c r="AG337" s="1"/>
      <c r="AH337" s="1"/>
      <c r="AI337" s="1"/>
    </row>
    <row r="338" spans="1:35" s="18" customFormat="1" x14ac:dyDescent="0.2">
      <c r="A338" s="97"/>
      <c r="B338" s="97"/>
      <c r="C338" s="97"/>
      <c r="D338" s="97"/>
      <c r="E338" s="97"/>
      <c r="F338" s="97"/>
      <c r="G338" s="1"/>
      <c r="H338" s="1"/>
      <c r="I338" s="1"/>
      <c r="J338" s="2"/>
      <c r="K338" s="1"/>
      <c r="L338" s="3"/>
      <c r="M338" s="1"/>
      <c r="AE338" s="1"/>
      <c r="AF338" s="1"/>
      <c r="AG338" s="1"/>
      <c r="AH338" s="1"/>
      <c r="AI338" s="1"/>
    </row>
    <row r="339" spans="1:35" s="18" customFormat="1" x14ac:dyDescent="0.2">
      <c r="A339" s="97"/>
      <c r="B339" s="97"/>
      <c r="C339" s="97"/>
      <c r="D339" s="97"/>
      <c r="E339" s="97"/>
      <c r="F339" s="97"/>
      <c r="G339" s="1"/>
      <c r="H339" s="1"/>
      <c r="I339" s="1"/>
      <c r="J339" s="2"/>
      <c r="K339" s="1"/>
      <c r="L339" s="3"/>
      <c r="M339" s="1"/>
      <c r="AE339" s="1"/>
      <c r="AF339" s="1"/>
      <c r="AG339" s="1"/>
      <c r="AH339" s="1"/>
      <c r="AI339" s="1"/>
    </row>
    <row r="340" spans="1:35" s="18" customFormat="1" x14ac:dyDescent="0.2">
      <c r="A340" s="97"/>
      <c r="B340" s="97"/>
      <c r="C340" s="97"/>
      <c r="D340" s="97"/>
      <c r="E340" s="97"/>
      <c r="F340" s="97"/>
      <c r="G340" s="1"/>
      <c r="H340" s="1"/>
      <c r="I340" s="1"/>
      <c r="J340" s="2"/>
      <c r="K340" s="1"/>
      <c r="L340" s="3"/>
      <c r="M340" s="1"/>
      <c r="AE340" s="1"/>
      <c r="AF340" s="1"/>
      <c r="AG340" s="1"/>
      <c r="AH340" s="1"/>
      <c r="AI340" s="1"/>
    </row>
    <row r="341" spans="1:35" s="18" customFormat="1" x14ac:dyDescent="0.2">
      <c r="A341" s="97"/>
      <c r="B341" s="97"/>
      <c r="C341" s="97"/>
      <c r="D341" s="97"/>
      <c r="E341" s="97"/>
      <c r="F341" s="97"/>
      <c r="G341" s="1"/>
      <c r="H341" s="1"/>
      <c r="I341" s="1"/>
      <c r="J341" s="2"/>
      <c r="K341" s="1"/>
      <c r="L341" s="3"/>
      <c r="M341" s="1"/>
      <c r="AE341" s="1"/>
      <c r="AF341" s="1"/>
      <c r="AG341" s="1"/>
      <c r="AH341" s="1"/>
      <c r="AI341" s="1"/>
    </row>
    <row r="342" spans="1:35" s="18" customFormat="1" x14ac:dyDescent="0.2">
      <c r="A342" s="97"/>
      <c r="B342" s="97"/>
      <c r="C342" s="97"/>
      <c r="D342" s="97"/>
      <c r="E342" s="97"/>
      <c r="F342" s="97"/>
      <c r="G342" s="1"/>
      <c r="H342" s="1"/>
      <c r="I342" s="1"/>
      <c r="J342" s="2"/>
      <c r="K342" s="1"/>
      <c r="L342" s="3"/>
      <c r="M342" s="1"/>
      <c r="AE342" s="1"/>
      <c r="AF342" s="1"/>
      <c r="AG342" s="1"/>
      <c r="AH342" s="1"/>
      <c r="AI342" s="1"/>
    </row>
    <row r="343" spans="1:35" s="18" customFormat="1" x14ac:dyDescent="0.2">
      <c r="A343" s="97"/>
      <c r="B343" s="97"/>
      <c r="C343" s="97"/>
      <c r="D343" s="97"/>
      <c r="E343" s="97"/>
      <c r="F343" s="97"/>
      <c r="G343" s="1"/>
      <c r="H343" s="1"/>
      <c r="I343" s="1"/>
      <c r="J343" s="2"/>
      <c r="K343" s="1"/>
      <c r="L343" s="3"/>
      <c r="M343" s="1"/>
      <c r="AE343" s="1"/>
      <c r="AF343" s="1"/>
      <c r="AG343" s="1"/>
      <c r="AH343" s="1"/>
      <c r="AI343" s="1"/>
    </row>
    <row r="344" spans="1:35" s="18" customFormat="1" x14ac:dyDescent="0.2">
      <c r="A344" s="97"/>
      <c r="B344" s="97"/>
      <c r="C344" s="97"/>
      <c r="D344" s="97"/>
      <c r="E344" s="97"/>
      <c r="F344" s="97"/>
      <c r="G344" s="1"/>
      <c r="H344" s="1"/>
      <c r="I344" s="1"/>
      <c r="J344" s="2"/>
      <c r="K344" s="1"/>
      <c r="L344" s="3"/>
      <c r="M344" s="1"/>
      <c r="AE344" s="1"/>
      <c r="AF344" s="1"/>
      <c r="AG344" s="1"/>
      <c r="AH344" s="1"/>
      <c r="AI344" s="1"/>
    </row>
    <row r="345" spans="1:35" s="18" customFormat="1" x14ac:dyDescent="0.2">
      <c r="A345" s="97"/>
      <c r="B345" s="97"/>
      <c r="C345" s="97"/>
      <c r="D345" s="97"/>
      <c r="E345" s="97"/>
      <c r="F345" s="97"/>
      <c r="G345" s="1"/>
      <c r="H345" s="1"/>
      <c r="I345" s="1"/>
      <c r="J345" s="2"/>
      <c r="K345" s="1"/>
      <c r="L345" s="3"/>
      <c r="M345" s="1"/>
      <c r="AE345" s="1"/>
      <c r="AF345" s="1"/>
      <c r="AG345" s="1"/>
      <c r="AH345" s="1"/>
      <c r="AI345" s="1"/>
    </row>
    <row r="346" spans="1:35" s="18" customFormat="1" x14ac:dyDescent="0.2">
      <c r="A346" s="97"/>
      <c r="B346" s="97"/>
      <c r="C346" s="97"/>
      <c r="D346" s="97"/>
      <c r="E346" s="97"/>
      <c r="F346" s="97"/>
      <c r="G346" s="1"/>
      <c r="H346" s="1"/>
      <c r="I346" s="1"/>
      <c r="J346" s="2"/>
      <c r="K346" s="1"/>
      <c r="L346" s="3"/>
      <c r="M346" s="1"/>
      <c r="AE346" s="1"/>
      <c r="AF346" s="1"/>
      <c r="AG346" s="1"/>
      <c r="AH346" s="1"/>
      <c r="AI346" s="1"/>
    </row>
    <row r="347" spans="1:35" s="18" customFormat="1" x14ac:dyDescent="0.2">
      <c r="A347" s="97"/>
      <c r="B347" s="97"/>
      <c r="C347" s="97"/>
      <c r="D347" s="97"/>
      <c r="E347" s="97"/>
      <c r="F347" s="97"/>
      <c r="G347" s="1"/>
      <c r="H347" s="1"/>
      <c r="I347" s="1"/>
      <c r="J347" s="2"/>
      <c r="K347" s="1"/>
      <c r="L347" s="3"/>
      <c r="M347" s="1"/>
      <c r="AE347" s="1"/>
      <c r="AF347" s="1"/>
      <c r="AG347" s="1"/>
      <c r="AH347" s="1"/>
      <c r="AI347" s="1"/>
    </row>
    <row r="348" spans="1:35" s="18" customFormat="1" x14ac:dyDescent="0.2">
      <c r="A348" s="97"/>
      <c r="B348" s="97"/>
      <c r="C348" s="97"/>
      <c r="D348" s="97"/>
      <c r="E348" s="97"/>
      <c r="F348" s="97"/>
      <c r="G348" s="1"/>
      <c r="H348" s="1"/>
      <c r="I348" s="1"/>
      <c r="J348" s="2"/>
      <c r="K348" s="1"/>
      <c r="L348" s="3"/>
      <c r="M348" s="1"/>
      <c r="AE348" s="1"/>
      <c r="AF348" s="1"/>
      <c r="AG348" s="1"/>
      <c r="AH348" s="1"/>
      <c r="AI348" s="1"/>
    </row>
    <row r="349" spans="1:35" s="18" customFormat="1" x14ac:dyDescent="0.2">
      <c r="A349" s="97"/>
      <c r="B349" s="97"/>
      <c r="C349" s="97"/>
      <c r="D349" s="97"/>
      <c r="E349" s="97"/>
      <c r="F349" s="97"/>
      <c r="G349" s="1"/>
      <c r="H349" s="1"/>
      <c r="I349" s="1"/>
      <c r="J349" s="2"/>
      <c r="K349" s="1"/>
      <c r="L349" s="3"/>
      <c r="M349" s="1"/>
      <c r="AE349" s="1"/>
      <c r="AF349" s="1"/>
      <c r="AG349" s="1"/>
      <c r="AH349" s="1"/>
      <c r="AI349" s="1"/>
    </row>
    <row r="350" spans="1:35" s="18" customFormat="1" x14ac:dyDescent="0.2">
      <c r="A350" s="97"/>
      <c r="B350" s="97"/>
      <c r="C350" s="97"/>
      <c r="D350" s="97"/>
      <c r="E350" s="97"/>
      <c r="F350" s="97"/>
      <c r="G350" s="1"/>
      <c r="H350" s="1"/>
      <c r="I350" s="1"/>
      <c r="J350" s="2"/>
      <c r="K350" s="1"/>
      <c r="L350" s="3"/>
      <c r="M350" s="1"/>
      <c r="AE350" s="1"/>
      <c r="AF350" s="1"/>
      <c r="AG350" s="1"/>
      <c r="AH350" s="1"/>
      <c r="AI350" s="1"/>
    </row>
    <row r="351" spans="1:35" s="18" customFormat="1" x14ac:dyDescent="0.2">
      <c r="A351" s="97"/>
      <c r="B351" s="97"/>
      <c r="C351" s="97"/>
      <c r="D351" s="97"/>
      <c r="E351" s="97"/>
      <c r="F351" s="97"/>
      <c r="G351" s="1"/>
      <c r="H351" s="1"/>
      <c r="I351" s="1"/>
      <c r="J351" s="2"/>
      <c r="K351" s="1"/>
      <c r="L351" s="3"/>
      <c r="M351" s="1"/>
      <c r="AE351" s="1"/>
      <c r="AF351" s="1"/>
      <c r="AG351" s="1"/>
      <c r="AH351" s="1"/>
      <c r="AI351" s="1"/>
    </row>
    <row r="352" spans="1:35" s="18" customFormat="1" x14ac:dyDescent="0.2">
      <c r="A352" s="97"/>
      <c r="B352" s="97"/>
      <c r="C352" s="97"/>
      <c r="D352" s="97"/>
      <c r="E352" s="97"/>
      <c r="F352" s="97"/>
      <c r="G352" s="1"/>
      <c r="H352" s="1"/>
      <c r="I352" s="1"/>
      <c r="J352" s="2"/>
      <c r="K352" s="1"/>
      <c r="L352" s="3"/>
      <c r="M352" s="1"/>
      <c r="AE352" s="1"/>
      <c r="AF352" s="1"/>
      <c r="AG352" s="1"/>
      <c r="AH352" s="1"/>
      <c r="AI352" s="1"/>
    </row>
    <row r="353" spans="1:35" s="18" customFormat="1" x14ac:dyDescent="0.2">
      <c r="A353" s="97"/>
      <c r="B353" s="97"/>
      <c r="C353" s="97"/>
      <c r="D353" s="97"/>
      <c r="E353" s="97"/>
      <c r="F353" s="97"/>
      <c r="G353" s="1"/>
      <c r="H353" s="1"/>
      <c r="I353" s="1"/>
      <c r="J353" s="2"/>
      <c r="K353" s="1"/>
      <c r="L353" s="3"/>
      <c r="M353" s="1"/>
      <c r="AE353" s="1"/>
      <c r="AF353" s="1"/>
      <c r="AG353" s="1"/>
      <c r="AH353" s="1"/>
      <c r="AI353" s="1"/>
    </row>
    <row r="354" spans="1:35" s="18" customFormat="1" x14ac:dyDescent="0.2">
      <c r="A354" s="97"/>
      <c r="B354" s="97"/>
      <c r="C354" s="97"/>
      <c r="D354" s="97"/>
      <c r="E354" s="97"/>
      <c r="F354" s="97"/>
      <c r="G354" s="1"/>
      <c r="H354" s="1"/>
      <c r="I354" s="1"/>
      <c r="J354" s="2"/>
      <c r="K354" s="1"/>
      <c r="L354" s="3"/>
      <c r="M354" s="1"/>
      <c r="N354" s="1"/>
      <c r="AE354" s="1"/>
      <c r="AF354" s="1"/>
      <c r="AG354" s="1"/>
      <c r="AH354" s="1"/>
      <c r="AI354" s="1"/>
    </row>
    <row r="355" spans="1:35" s="18" customFormat="1" x14ac:dyDescent="0.2">
      <c r="A355" s="97"/>
      <c r="B355" s="97"/>
      <c r="C355" s="97"/>
      <c r="D355" s="97"/>
      <c r="E355" s="97"/>
      <c r="F355" s="97"/>
      <c r="G355" s="1"/>
      <c r="H355" s="1"/>
      <c r="I355" s="1"/>
      <c r="J355" s="2"/>
      <c r="K355" s="1"/>
      <c r="L355" s="3"/>
      <c r="M355" s="1"/>
      <c r="N355" s="1"/>
      <c r="AE355" s="1"/>
      <c r="AF355" s="1"/>
      <c r="AG355" s="1"/>
      <c r="AH355" s="1"/>
      <c r="AI355" s="1"/>
    </row>
  </sheetData>
  <dataConsolidate/>
  <mergeCells count="3">
    <mergeCell ref="N104:N106"/>
    <mergeCell ref="N100:N102"/>
    <mergeCell ref="N96:N98"/>
  </mergeCells>
  <conditionalFormatting sqref="N9:AD9 P183:AA191 N78:N81 X78:AD81 N82:AD83 X84:AD84 X85:X88 N84:N88 S70:AD70 N70:Q70 N71:AD71 N90:AD90 N72 X72:AD72 N95:O95 N132:AD133 N96 X99:AD106 H110:O115 H116:H120 O89:AD89 Q121:W121 N67:AD69 N94:AD94 N73:AD77 I116:N116 I117:W117 I119:W120 N107:AD108 X58 X60:X63 O134:AD134 N135:AD164 O58:W65 H125:K126 H130:K131 I123:W124 K110:W110 L115:W115 H127:R129 L113:W113 M130:W130 N37:AD41 N43:AD48 N11:AD19 N50:AD53 N23:AD35">
    <cfRule type="cellIs" dxfId="386" priority="100" operator="lessThan">
      <formula>0</formula>
    </cfRule>
  </conditionalFormatting>
  <conditionalFormatting sqref="H109:P109">
    <cfRule type="cellIs" dxfId="385" priority="94" operator="lessThan">
      <formula>0</formula>
    </cfRule>
  </conditionalFormatting>
  <conditionalFormatting sqref="Q109:W109">
    <cfRule type="cellIs" dxfId="384" priority="93" operator="lessThan">
      <formula>0</formula>
    </cfRule>
  </conditionalFormatting>
  <conditionalFormatting sqref="O72:W72">
    <cfRule type="cellIs" dxfId="383" priority="92" operator="lessThan">
      <formula>0</formula>
    </cfRule>
  </conditionalFormatting>
  <conditionalFormatting sqref="P95:AD95">
    <cfRule type="cellIs" dxfId="382" priority="91" operator="lessThan">
      <formula>0</formula>
    </cfRule>
  </conditionalFormatting>
  <conditionalFormatting sqref="O100:AD100 P101:AD101">
    <cfRule type="cellIs" dxfId="381" priority="78" operator="lessThan">
      <formula>0</formula>
    </cfRule>
  </conditionalFormatting>
  <conditionalFormatting sqref="O104:AD104 P105:AD105">
    <cfRule type="cellIs" dxfId="380" priority="77" operator="lessThan">
      <formula>0</formula>
    </cfRule>
  </conditionalFormatting>
  <conditionalFormatting sqref="O106:AD106">
    <cfRule type="cellIs" dxfId="379" priority="75" operator="lessThan">
      <formula>0</formula>
    </cfRule>
  </conditionalFormatting>
  <conditionalFormatting sqref="O96:W97 S96:AD96">
    <cfRule type="cellIs" dxfId="378" priority="83" operator="lessThan">
      <formula>0</formula>
    </cfRule>
  </conditionalFormatting>
  <conditionalFormatting sqref="N100">
    <cfRule type="cellIs" dxfId="377" priority="74" operator="lessThan">
      <formula>0</formula>
    </cfRule>
  </conditionalFormatting>
  <conditionalFormatting sqref="O99:W99 O103:AD103">
    <cfRule type="cellIs" dxfId="376" priority="82" operator="lessThan">
      <formula>0</formula>
    </cfRule>
  </conditionalFormatting>
  <conditionalFormatting sqref="O98:W98">
    <cfRule type="cellIs" dxfId="375" priority="81" operator="lessThan">
      <formula>0</formula>
    </cfRule>
  </conditionalFormatting>
  <conditionalFormatting sqref="O102:AD102">
    <cfRule type="cellIs" dxfId="374" priority="76" operator="lessThan">
      <formula>0</formula>
    </cfRule>
  </conditionalFormatting>
  <conditionalFormatting sqref="N104">
    <cfRule type="cellIs" dxfId="373" priority="73" operator="lessThan">
      <formula>0</formula>
    </cfRule>
  </conditionalFormatting>
  <conditionalFormatting sqref="P110:P113 P115:P117 P110:W110 P115:W115 P113:W113">
    <cfRule type="cellIs" dxfId="372" priority="57" operator="lessThan">
      <formula>0</formula>
    </cfRule>
  </conditionalFormatting>
  <conditionalFormatting sqref="H124">
    <cfRule type="cellIs" dxfId="371" priority="50" operator="lessThan">
      <formula>0</formula>
    </cfRule>
  </conditionalFormatting>
  <conditionalFormatting sqref="Q122:W122">
    <cfRule type="cellIs" dxfId="370" priority="45" operator="lessThan">
      <formula>0</formula>
    </cfRule>
  </conditionalFormatting>
  <conditionalFormatting sqref="P131:Q131">
    <cfRule type="cellIs" dxfId="369" priority="67" operator="lessThan">
      <formula>0</formula>
    </cfRule>
  </conditionalFormatting>
  <conditionalFormatting sqref="P114:W114">
    <cfRule type="cellIs" dxfId="368" priority="56" operator="lessThan">
      <formula>0</formula>
    </cfRule>
  </conditionalFormatting>
  <conditionalFormatting sqref="I118:W118">
    <cfRule type="cellIs" dxfId="367" priority="55" operator="lessThan">
      <formula>0</formula>
    </cfRule>
  </conditionalFormatting>
  <conditionalFormatting sqref="P118">
    <cfRule type="cellIs" dxfId="366" priority="54" operator="lessThan">
      <formula>0</formula>
    </cfRule>
  </conditionalFormatting>
  <conditionalFormatting sqref="H123">
    <cfRule type="cellIs" dxfId="365" priority="52" operator="lessThan">
      <formula>0</formula>
    </cfRule>
  </conditionalFormatting>
  <conditionalFormatting sqref="Q115:W117 Q110:W113">
    <cfRule type="cellIs" dxfId="364" priority="58" operator="lessThan">
      <formula>0</formula>
    </cfRule>
  </conditionalFormatting>
  <conditionalFormatting sqref="H122">
    <cfRule type="cellIs" dxfId="363" priority="53" operator="lessThan">
      <formula>0</formula>
    </cfRule>
  </conditionalFormatting>
  <conditionalFormatting sqref="I122:P122">
    <cfRule type="cellIs" dxfId="362" priority="46" operator="lessThan">
      <formula>0</formula>
    </cfRule>
  </conditionalFormatting>
  <conditionalFormatting sqref="O116:W116">
    <cfRule type="cellIs" dxfId="361" priority="43" operator="lessThan">
      <formula>0</formula>
    </cfRule>
  </conditionalFormatting>
  <conditionalFormatting sqref="O101">
    <cfRule type="cellIs" dxfId="360" priority="42" operator="lessThan">
      <formula>0</formula>
    </cfRule>
  </conditionalFormatting>
  <conditionalFormatting sqref="O105">
    <cfRule type="cellIs" dxfId="359" priority="41" operator="lessThan">
      <formula>0</formula>
    </cfRule>
  </conditionalFormatting>
  <conditionalFormatting sqref="L131:R131">
    <cfRule type="cellIs" dxfId="358" priority="27" operator="lessThan">
      <formula>0</formula>
    </cfRule>
  </conditionalFormatting>
  <conditionalFormatting sqref="X96:AD97">
    <cfRule type="cellIs" dxfId="357" priority="25" operator="lessThan">
      <formula>0</formula>
    </cfRule>
  </conditionalFormatting>
  <conditionalFormatting sqref="X98:AD98">
    <cfRule type="cellIs" dxfId="356" priority="24" operator="lessThan">
      <formula>0</formula>
    </cfRule>
  </conditionalFormatting>
  <conditionalFormatting sqref="AE96:AE98">
    <cfRule type="cellIs" dxfId="355" priority="23" operator="lessThan">
      <formula>0</formula>
    </cfRule>
  </conditionalFormatting>
  <conditionalFormatting sqref="AE96:AE97">
    <cfRule type="cellIs" dxfId="354" priority="22" operator="lessThan">
      <formula>0</formula>
    </cfRule>
  </conditionalFormatting>
  <conditionalFormatting sqref="AE98">
    <cfRule type="cellIs" dxfId="353" priority="21" operator="lessThan">
      <formula>0</formula>
    </cfRule>
  </conditionalFormatting>
  <conditionalFormatting sqref="AE100:AE102">
    <cfRule type="cellIs" dxfId="352" priority="20" operator="lessThan">
      <formula>0</formula>
    </cfRule>
  </conditionalFormatting>
  <conditionalFormatting sqref="AE100:AE101">
    <cfRule type="cellIs" dxfId="351" priority="19" operator="lessThan">
      <formula>0</formula>
    </cfRule>
  </conditionalFormatting>
  <conditionalFormatting sqref="AE102">
    <cfRule type="cellIs" dxfId="350" priority="18" operator="lessThan">
      <formula>0</formula>
    </cfRule>
  </conditionalFormatting>
  <conditionalFormatting sqref="AE104:AE106">
    <cfRule type="cellIs" dxfId="349" priority="17" operator="lessThan">
      <formula>0</formula>
    </cfRule>
  </conditionalFormatting>
  <conditionalFormatting sqref="AE104:AE105">
    <cfRule type="cellIs" dxfId="348" priority="16" operator="lessThan">
      <formula>0</formula>
    </cfRule>
  </conditionalFormatting>
  <conditionalFormatting sqref="AE106">
    <cfRule type="cellIs" dxfId="347" priority="15" operator="lessThan">
      <formula>0</formula>
    </cfRule>
  </conditionalFormatting>
  <conditionalFormatting sqref="AE95">
    <cfRule type="cellIs" dxfId="346" priority="14" operator="lessThan">
      <formula>0</formula>
    </cfRule>
  </conditionalFormatting>
  <conditionalFormatting sqref="X59">
    <cfRule type="cellIs" dxfId="345" priority="13" operator="lessThan">
      <formula>0</formula>
    </cfRule>
  </conditionalFormatting>
  <conditionalFormatting sqref="L130:W130">
    <cfRule type="cellIs" dxfId="344" priority="12" operator="lessThan">
      <formula>0</formula>
    </cfRule>
  </conditionalFormatting>
  <conditionalFormatting sqref="R131">
    <cfRule type="cellIs" dxfId="343" priority="4" operator="lessThan">
      <formula>0</formula>
    </cfRule>
  </conditionalFormatting>
  <conditionalFormatting sqref="S131:W131">
    <cfRule type="cellIs" dxfId="342" priority="2" operator="lessThan">
      <formula>0</formula>
    </cfRule>
  </conditionalFormatting>
  <conditionalFormatting sqref="R131">
    <cfRule type="cellIs" dxfId="341" priority="5" operator="lessThan">
      <formula>0</formula>
    </cfRule>
  </conditionalFormatting>
  <conditionalFormatting sqref="S131:W131">
    <cfRule type="cellIs" dxfId="340" priority="3" operator="lessThan">
      <formula>0</formula>
    </cfRule>
  </conditionalFormatting>
  <pageMargins left="0.7" right="0.7" top="0.75" bottom="0.75" header="0.3" footer="0.3"/>
  <pageSetup scale="11" orientation="landscape" r:id="rId1"/>
  <headerFooter>
    <oddFooter>&amp;C&amp;7&amp;B&amp;"Univers for KPMG"Document Classification: KPMG Confidential</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62C3AD"/>
  </sheetPr>
  <dimension ref="A1:BA326"/>
  <sheetViews>
    <sheetView zoomScale="85" zoomScaleNormal="85" workbookViewId="0">
      <pane xSplit="12" ySplit="8" topLeftCell="M61" activePane="bottomRight" state="frozen"/>
      <selection activeCell="AA47" sqref="AA47"/>
      <selection pane="topRight" activeCell="AA47" sqref="AA47"/>
      <selection pane="bottomLeft" activeCell="AA47" sqref="AA47"/>
      <selection pane="bottomRight" activeCell="M90" sqref="M90:AD90"/>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7" width="16" style="18" hidden="1" customWidth="1" outlineLevel="1"/>
    <col min="18" max="18" width="16" style="18" customWidth="1" collapsed="1"/>
    <col min="19"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239</v>
      </c>
      <c r="O3" s="1"/>
      <c r="P3" s="1"/>
      <c r="Q3" s="1"/>
      <c r="R3" s="1"/>
      <c r="S3" s="1"/>
      <c r="T3" s="1"/>
      <c r="U3" s="1"/>
      <c r="V3" s="1"/>
      <c r="W3" s="1"/>
      <c r="X3" s="1"/>
      <c r="Y3" s="1"/>
      <c r="Z3" s="1"/>
      <c r="AA3" s="1"/>
      <c r="AB3" s="1"/>
      <c r="AC3" s="1"/>
      <c r="AD3" s="1"/>
    </row>
    <row r="4" spans="1:32" x14ac:dyDescent="0.2">
      <c r="F4" s="5"/>
      <c r="N4" s="186"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Asset Liability</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ht="12.6" thickBot="1" x14ac:dyDescent="0.25">
      <c r="B9" s="17"/>
      <c r="F9" s="18"/>
      <c r="N9" s="18"/>
      <c r="O9" s="19"/>
      <c r="Q9" s="18" t="s">
        <v>8</v>
      </c>
    </row>
    <row r="10" spans="1:32" ht="12.6" thickTop="1" x14ac:dyDescent="0.2">
      <c r="B10" s="20"/>
      <c r="C10" s="336" t="s">
        <v>90</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thickBot="1" x14ac:dyDescent="0.25">
      <c r="A11" s="132"/>
      <c r="B11" s="133"/>
      <c r="C11" s="133"/>
      <c r="D11" s="133"/>
      <c r="E11" s="134"/>
      <c r="F11" s="134"/>
      <c r="G11" s="134"/>
      <c r="H11" s="134"/>
      <c r="I11" s="134"/>
      <c r="J11" s="135"/>
      <c r="K11" s="134"/>
      <c r="M11" s="134"/>
      <c r="N11" s="137"/>
      <c r="O11" s="137"/>
      <c r="P11" s="137"/>
      <c r="Q11" s="137"/>
      <c r="R11" s="137"/>
      <c r="S11" s="136"/>
      <c r="T11" s="137"/>
      <c r="U11" s="137"/>
      <c r="V11" s="137"/>
      <c r="W11" s="137"/>
      <c r="X11" s="137"/>
      <c r="Y11" s="137"/>
      <c r="Z11" s="21"/>
      <c r="AA11" s="21"/>
      <c r="AB11" s="21"/>
      <c r="AC11" s="21"/>
      <c r="AD11" s="21"/>
    </row>
    <row r="12" spans="1:32" ht="12.6" x14ac:dyDescent="0.25">
      <c r="B12" s="20"/>
      <c r="C12" s="20"/>
      <c r="D12" s="164" t="s">
        <v>111</v>
      </c>
      <c r="E12" s="165"/>
      <c r="F12" s="165"/>
      <c r="G12" s="165"/>
      <c r="H12" s="166"/>
      <c r="I12" s="165"/>
      <c r="J12" s="167"/>
      <c r="K12" s="165"/>
      <c r="L12" s="168"/>
      <c r="M12" s="165"/>
      <c r="N12" s="169"/>
      <c r="O12" s="169"/>
      <c r="P12" s="169"/>
      <c r="Q12" s="169"/>
      <c r="R12" s="169"/>
      <c r="S12" s="169"/>
      <c r="T12" s="169"/>
      <c r="U12" s="169"/>
      <c r="V12" s="169"/>
      <c r="W12" s="169"/>
      <c r="X12" s="169"/>
      <c r="Y12" s="169"/>
      <c r="Z12" s="169"/>
      <c r="AA12" s="169"/>
      <c r="AB12" s="169"/>
      <c r="AC12" s="169"/>
      <c r="AD12" s="169"/>
    </row>
    <row r="13" spans="1:32" x14ac:dyDescent="0.2">
      <c r="A13" s="132"/>
      <c r="C13" s="134"/>
      <c r="D13" s="134"/>
      <c r="E13" s="134"/>
      <c r="F13" s="134"/>
      <c r="G13" s="134"/>
      <c r="H13" s="134"/>
      <c r="I13" s="134"/>
      <c r="J13" s="135"/>
      <c r="K13" s="134"/>
      <c r="L13" s="136"/>
      <c r="M13" s="138"/>
      <c r="N13" s="114"/>
      <c r="O13" s="114"/>
      <c r="P13" s="114"/>
      <c r="Q13" s="114"/>
      <c r="R13" s="114"/>
      <c r="S13" s="114"/>
      <c r="T13" s="114"/>
      <c r="U13" s="114"/>
      <c r="V13" s="114"/>
      <c r="W13" s="114"/>
      <c r="X13" s="114"/>
      <c r="Y13" s="114"/>
      <c r="Z13" s="21"/>
      <c r="AA13" s="21"/>
      <c r="AB13" s="21"/>
      <c r="AC13" s="21"/>
      <c r="AD13" s="21"/>
    </row>
    <row r="14" spans="1:32" ht="12.6" x14ac:dyDescent="0.25">
      <c r="A14" s="139"/>
      <c r="C14" s="139"/>
      <c r="D14" s="140" t="s">
        <v>93</v>
      </c>
      <c r="E14" s="139"/>
      <c r="F14" s="139"/>
      <c r="G14" s="139"/>
      <c r="H14" s="141"/>
      <c r="I14" s="139"/>
      <c r="J14" s="142"/>
      <c r="K14" s="139"/>
      <c r="L14" s="143"/>
      <c r="M14" s="141"/>
      <c r="N14" s="141"/>
      <c r="O14" s="141"/>
      <c r="P14" s="141"/>
      <c r="Q14" s="141"/>
      <c r="R14" s="141"/>
      <c r="S14" s="209"/>
      <c r="T14" s="209"/>
      <c r="U14" s="209"/>
      <c r="V14" s="209"/>
      <c r="W14" s="209"/>
      <c r="X14" s="209"/>
      <c r="Y14" s="209"/>
      <c r="Z14" s="209"/>
      <c r="AA14" s="209"/>
      <c r="AB14" s="209"/>
      <c r="AC14" s="209"/>
      <c r="AD14" s="209"/>
    </row>
    <row r="15" spans="1:32" x14ac:dyDescent="0.2">
      <c r="A15" s="139"/>
      <c r="B15" s="139"/>
      <c r="C15" s="139"/>
      <c r="D15" s="139"/>
      <c r="E15" s="139"/>
      <c r="F15" s="139"/>
      <c r="G15" s="139"/>
      <c r="H15" s="141"/>
      <c r="I15" s="139"/>
      <c r="J15" s="142"/>
      <c r="K15" s="139"/>
      <c r="L15" s="143"/>
      <c r="M15" s="141"/>
      <c r="N15" s="141"/>
      <c r="O15" s="141"/>
      <c r="P15" s="141"/>
      <c r="Q15" s="141"/>
      <c r="R15" s="141"/>
      <c r="S15" s="209"/>
      <c r="T15" s="209"/>
      <c r="U15" s="209"/>
      <c r="V15" s="209"/>
      <c r="W15" s="209"/>
      <c r="X15" s="209"/>
      <c r="Y15" s="209"/>
      <c r="Z15" s="209"/>
      <c r="AA15" s="209"/>
      <c r="AB15" s="209"/>
      <c r="AC15" s="209"/>
      <c r="AD15" s="209"/>
    </row>
    <row r="16" spans="1:32" s="32" customFormat="1" ht="12.6" x14ac:dyDescent="0.25">
      <c r="A16" s="139"/>
      <c r="B16" s="139"/>
      <c r="C16" s="139"/>
      <c r="D16" s="139"/>
      <c r="E16" s="140" t="s">
        <v>96</v>
      </c>
      <c r="F16" s="139"/>
      <c r="G16" s="139"/>
      <c r="H16" s="141"/>
      <c r="I16" s="139"/>
      <c r="J16" s="142"/>
      <c r="K16" s="139"/>
      <c r="L16" s="143"/>
      <c r="M16" s="141"/>
      <c r="N16" s="141"/>
      <c r="O16" s="141"/>
      <c r="P16" s="141"/>
      <c r="Q16" s="141"/>
      <c r="R16" s="141"/>
      <c r="S16" s="209"/>
      <c r="T16" s="209"/>
      <c r="U16" s="209"/>
      <c r="V16" s="209"/>
      <c r="W16" s="209"/>
      <c r="X16" s="209"/>
      <c r="Y16" s="209"/>
      <c r="Z16" s="209"/>
      <c r="AA16" s="209"/>
      <c r="AB16" s="209"/>
      <c r="AC16" s="209"/>
      <c r="AD16" s="209"/>
    </row>
    <row r="17" spans="1:30" s="32" customFormat="1" ht="12.6" x14ac:dyDescent="0.25">
      <c r="A17" s="139"/>
      <c r="B17" s="139"/>
      <c r="C17" s="139"/>
      <c r="D17" s="139"/>
      <c r="E17" s="139"/>
      <c r="F17" s="139" t="s">
        <v>94</v>
      </c>
      <c r="G17" s="139"/>
      <c r="H17" s="141"/>
      <c r="I17" s="139"/>
      <c r="J17" s="142" t="s">
        <v>1205</v>
      </c>
      <c r="K17" s="139"/>
      <c r="L17" s="143"/>
      <c r="M17" s="141"/>
      <c r="N17" s="141"/>
      <c r="O17" s="141"/>
      <c r="P17" s="141"/>
      <c r="Q17" s="141"/>
      <c r="R17" s="141"/>
      <c r="S17" s="209">
        <f t="shared" ref="S17:AD17" si="2">R21</f>
        <v>481879</v>
      </c>
      <c r="T17" s="209">
        <f t="shared" si="2"/>
        <v>531879</v>
      </c>
      <c r="U17" s="209">
        <f t="shared" si="2"/>
        <v>581879</v>
      </c>
      <c r="V17" s="209">
        <f t="shared" si="2"/>
        <v>631879</v>
      </c>
      <c r="W17" s="209">
        <f t="shared" si="2"/>
        <v>681879</v>
      </c>
      <c r="X17" s="209">
        <f t="shared" si="2"/>
        <v>731879</v>
      </c>
      <c r="Y17" s="209">
        <f t="shared" si="2"/>
        <v>781879</v>
      </c>
      <c r="Z17" s="209">
        <f t="shared" si="2"/>
        <v>831879</v>
      </c>
      <c r="AA17" s="209">
        <f t="shared" si="2"/>
        <v>881879</v>
      </c>
      <c r="AB17" s="209">
        <f t="shared" si="2"/>
        <v>931879</v>
      </c>
      <c r="AC17" s="209">
        <f t="shared" si="2"/>
        <v>981879</v>
      </c>
      <c r="AD17" s="209">
        <f t="shared" si="2"/>
        <v>1031879</v>
      </c>
    </row>
    <row r="18" spans="1:30" s="32" customFormat="1" ht="12.6" x14ac:dyDescent="0.25">
      <c r="A18" s="139"/>
      <c r="B18" s="139"/>
      <c r="C18" s="139"/>
      <c r="D18" s="139"/>
      <c r="E18" s="139"/>
      <c r="F18" s="139" t="s">
        <v>92</v>
      </c>
      <c r="G18" s="139"/>
      <c r="H18" s="141"/>
      <c r="I18" s="139"/>
      <c r="J18" s="142" t="s">
        <v>1205</v>
      </c>
      <c r="K18" s="139"/>
      <c r="L18" s="143" t="s">
        <v>97</v>
      </c>
      <c r="M18" s="141"/>
      <c r="N18" s="141"/>
      <c r="O18" s="141"/>
      <c r="P18" s="141"/>
      <c r="Q18" s="141"/>
      <c r="R18" s="141"/>
      <c r="S18" s="137">
        <f t="shared" ref="S18:AD18" si="3">-Inputs_Basecase_Capex</f>
        <v>50000</v>
      </c>
      <c r="T18" s="137">
        <f t="shared" si="3"/>
        <v>50000</v>
      </c>
      <c r="U18" s="137">
        <f t="shared" si="3"/>
        <v>50000</v>
      </c>
      <c r="V18" s="137">
        <f t="shared" si="3"/>
        <v>50000</v>
      </c>
      <c r="W18" s="137">
        <f t="shared" si="3"/>
        <v>50000</v>
      </c>
      <c r="X18" s="137">
        <f t="shared" si="3"/>
        <v>50000</v>
      </c>
      <c r="Y18" s="137">
        <f t="shared" si="3"/>
        <v>50000</v>
      </c>
      <c r="Z18" s="137">
        <f t="shared" si="3"/>
        <v>50000</v>
      </c>
      <c r="AA18" s="137">
        <f t="shared" si="3"/>
        <v>50000</v>
      </c>
      <c r="AB18" s="137">
        <f t="shared" si="3"/>
        <v>50000</v>
      </c>
      <c r="AC18" s="137">
        <f t="shared" si="3"/>
        <v>50000</v>
      </c>
      <c r="AD18" s="137">
        <f t="shared" si="3"/>
        <v>50000</v>
      </c>
    </row>
    <row r="19" spans="1:30" s="32" customFormat="1" ht="12.6" x14ac:dyDescent="0.25">
      <c r="A19" s="139"/>
      <c r="B19" s="139"/>
      <c r="C19" s="139"/>
      <c r="D19" s="139"/>
      <c r="E19" s="139"/>
      <c r="F19" s="139" t="s">
        <v>405</v>
      </c>
      <c r="G19" s="139"/>
      <c r="H19" s="141"/>
      <c r="I19" s="139"/>
      <c r="J19" s="142" t="s">
        <v>1205</v>
      </c>
      <c r="K19" s="139"/>
      <c r="L19" s="143"/>
      <c r="M19" s="141"/>
      <c r="N19" s="141"/>
      <c r="O19" s="141"/>
      <c r="P19" s="141"/>
      <c r="Q19" s="141"/>
      <c r="R19" s="141"/>
      <c r="S19" s="209"/>
      <c r="T19" s="209"/>
      <c r="U19" s="209"/>
      <c r="V19" s="209"/>
      <c r="W19" s="209"/>
      <c r="X19" s="209"/>
      <c r="Y19" s="209"/>
      <c r="Z19" s="209"/>
      <c r="AA19" s="209"/>
      <c r="AB19" s="209"/>
      <c r="AC19" s="209"/>
      <c r="AD19" s="209"/>
    </row>
    <row r="20" spans="1:30" s="32" customFormat="1" ht="12.6" x14ac:dyDescent="0.25">
      <c r="A20" s="139"/>
      <c r="B20" s="139"/>
      <c r="C20" s="139"/>
      <c r="D20" s="139"/>
      <c r="E20" s="139"/>
      <c r="F20" s="139" t="s">
        <v>98</v>
      </c>
      <c r="G20" s="139"/>
      <c r="H20" s="141"/>
      <c r="I20" s="139"/>
      <c r="J20" s="142" t="s">
        <v>1205</v>
      </c>
      <c r="K20" s="139"/>
      <c r="L20" s="143"/>
      <c r="M20" s="141"/>
      <c r="N20" s="141"/>
      <c r="O20" s="141"/>
      <c r="P20" s="141"/>
      <c r="Q20" s="141"/>
      <c r="R20" s="141"/>
      <c r="S20" s="209"/>
      <c r="T20" s="209"/>
      <c r="U20" s="209"/>
      <c r="V20" s="209"/>
      <c r="W20" s="209"/>
      <c r="X20" s="209"/>
      <c r="Y20" s="209"/>
      <c r="Z20" s="209"/>
      <c r="AA20" s="209"/>
      <c r="AB20" s="209"/>
      <c r="AC20" s="209"/>
      <c r="AD20" s="209"/>
    </row>
    <row r="21" spans="1:30" s="32" customFormat="1" ht="12.6" x14ac:dyDescent="0.25">
      <c r="A21" s="139"/>
      <c r="B21" s="139"/>
      <c r="C21" s="139"/>
      <c r="D21" s="139"/>
      <c r="E21" s="139"/>
      <c r="F21" s="144" t="s">
        <v>95</v>
      </c>
      <c r="G21" s="145"/>
      <c r="H21" s="146"/>
      <c r="I21" s="145"/>
      <c r="J21" s="147" t="s">
        <v>1205</v>
      </c>
      <c r="K21" s="145"/>
      <c r="L21" s="148"/>
      <c r="M21" s="146"/>
      <c r="N21" s="157"/>
      <c r="O21" s="157"/>
      <c r="P21" s="157"/>
      <c r="Q21" s="157"/>
      <c r="R21" s="157">
        <f>Act_BS_PPE_Cost</f>
        <v>481879</v>
      </c>
      <c r="S21" s="208">
        <f>S17+S18+S20+S19</f>
        <v>531879</v>
      </c>
      <c r="T21" s="208">
        <f t="shared" ref="T21:AD21" si="4">T17+T18+T20+T19</f>
        <v>581879</v>
      </c>
      <c r="U21" s="208">
        <f t="shared" si="4"/>
        <v>631879</v>
      </c>
      <c r="V21" s="208">
        <f t="shared" si="4"/>
        <v>681879</v>
      </c>
      <c r="W21" s="208">
        <f t="shared" si="4"/>
        <v>731879</v>
      </c>
      <c r="X21" s="208">
        <f t="shared" si="4"/>
        <v>781879</v>
      </c>
      <c r="Y21" s="208">
        <f t="shared" si="4"/>
        <v>831879</v>
      </c>
      <c r="Z21" s="208">
        <f t="shared" si="4"/>
        <v>881879</v>
      </c>
      <c r="AA21" s="208">
        <f t="shared" si="4"/>
        <v>931879</v>
      </c>
      <c r="AB21" s="208">
        <f t="shared" si="4"/>
        <v>981879</v>
      </c>
      <c r="AC21" s="208">
        <f t="shared" si="4"/>
        <v>1031879</v>
      </c>
      <c r="AD21" s="208">
        <f t="shared" si="4"/>
        <v>1081879</v>
      </c>
    </row>
    <row r="22" spans="1:30" s="32" customFormat="1" ht="12.6" x14ac:dyDescent="0.25">
      <c r="A22" s="139"/>
      <c r="B22" s="139"/>
      <c r="C22" s="139"/>
      <c r="D22" s="139"/>
      <c r="E22" s="139"/>
      <c r="F22" s="139"/>
      <c r="G22" s="139"/>
      <c r="H22" s="141"/>
      <c r="I22" s="139"/>
      <c r="J22" s="142"/>
      <c r="K22" s="139"/>
      <c r="L22" s="143"/>
      <c r="M22" s="141"/>
      <c r="N22" s="141"/>
      <c r="O22" s="141"/>
      <c r="P22" s="141"/>
      <c r="Q22" s="141"/>
      <c r="R22" s="141"/>
      <c r="S22" s="209"/>
      <c r="T22" s="209"/>
      <c r="U22" s="209"/>
      <c r="V22" s="209"/>
      <c r="W22" s="209"/>
      <c r="X22" s="209"/>
      <c r="Y22" s="209"/>
      <c r="Z22" s="209"/>
      <c r="AA22" s="209"/>
      <c r="AB22" s="209"/>
      <c r="AC22" s="209"/>
      <c r="AD22" s="209"/>
    </row>
    <row r="23" spans="1:30" s="32" customFormat="1" ht="12.6" x14ac:dyDescent="0.25">
      <c r="A23" s="139"/>
      <c r="B23" s="139"/>
      <c r="C23" s="139"/>
      <c r="D23" s="139"/>
      <c r="E23" s="140" t="s">
        <v>99</v>
      </c>
      <c r="F23" s="139"/>
      <c r="G23" s="139"/>
      <c r="H23" s="141"/>
      <c r="I23" s="139"/>
      <c r="J23" s="142"/>
      <c r="K23" s="139"/>
      <c r="L23" s="143"/>
      <c r="M23" s="141"/>
      <c r="N23" s="141"/>
      <c r="O23" s="141"/>
      <c r="P23" s="141"/>
      <c r="Q23" s="141"/>
      <c r="R23" s="141"/>
      <c r="S23" s="209"/>
      <c r="T23" s="209"/>
      <c r="U23" s="209"/>
      <c r="V23" s="209"/>
      <c r="W23" s="209"/>
      <c r="X23" s="209"/>
      <c r="Y23" s="209"/>
      <c r="Z23" s="209"/>
      <c r="AA23" s="209"/>
      <c r="AB23" s="209"/>
      <c r="AC23" s="209"/>
      <c r="AD23" s="209"/>
    </row>
    <row r="24" spans="1:30" s="32" customFormat="1" ht="12.6" x14ac:dyDescent="0.25">
      <c r="A24" s="139"/>
      <c r="B24" s="139"/>
      <c r="C24" s="139"/>
      <c r="D24" s="139"/>
      <c r="E24" s="139"/>
      <c r="F24" s="139" t="s">
        <v>100</v>
      </c>
      <c r="G24" s="139"/>
      <c r="H24" s="141"/>
      <c r="I24" s="139"/>
      <c r="J24" s="142" t="s">
        <v>1205</v>
      </c>
      <c r="K24" s="139"/>
      <c r="L24" s="143"/>
      <c r="M24" s="141"/>
      <c r="N24" s="141"/>
      <c r="O24" s="141"/>
      <c r="P24" s="141"/>
      <c r="Q24" s="141"/>
      <c r="R24" s="149"/>
      <c r="S24" s="210">
        <f t="shared" ref="S24:AD24" si="5">Inputs_Basecase_PPE_Depreciation</f>
        <v>8.7411985166400696E-2</v>
      </c>
      <c r="T24" s="210">
        <f t="shared" si="5"/>
        <v>8.7411985166400696E-2</v>
      </c>
      <c r="U24" s="210">
        <f t="shared" si="5"/>
        <v>8.7411985166400696E-2</v>
      </c>
      <c r="V24" s="210">
        <f t="shared" si="5"/>
        <v>8.7411985166400696E-2</v>
      </c>
      <c r="W24" s="210">
        <f t="shared" si="5"/>
        <v>8.7411985166400696E-2</v>
      </c>
      <c r="X24" s="210">
        <f t="shared" si="5"/>
        <v>8.7411985166400696E-2</v>
      </c>
      <c r="Y24" s="210">
        <f t="shared" si="5"/>
        <v>8.7411985166400696E-2</v>
      </c>
      <c r="Z24" s="210">
        <f t="shared" si="5"/>
        <v>8.7411985166400696E-2</v>
      </c>
      <c r="AA24" s="210">
        <f t="shared" si="5"/>
        <v>8.7411985166400696E-2</v>
      </c>
      <c r="AB24" s="210">
        <f t="shared" si="5"/>
        <v>8.7411985166400696E-2</v>
      </c>
      <c r="AC24" s="210">
        <f t="shared" si="5"/>
        <v>8.7411985166400696E-2</v>
      </c>
      <c r="AD24" s="210">
        <f t="shared" si="5"/>
        <v>8.7411985166400696E-2</v>
      </c>
    </row>
    <row r="25" spans="1:30" s="32" customFormat="1" ht="12.6" x14ac:dyDescent="0.25">
      <c r="A25" s="139"/>
      <c r="B25" s="139"/>
      <c r="C25" s="139"/>
      <c r="D25" s="139"/>
      <c r="E25" s="139"/>
      <c r="F25" s="150" t="s">
        <v>99</v>
      </c>
      <c r="G25" s="145"/>
      <c r="H25" s="146"/>
      <c r="I25" s="145"/>
      <c r="J25" s="147" t="s">
        <v>1205</v>
      </c>
      <c r="K25" s="145"/>
      <c r="L25" s="148"/>
      <c r="M25" s="146"/>
      <c r="N25" s="157"/>
      <c r="O25" s="157"/>
      <c r="P25" s="157"/>
      <c r="Q25" s="157"/>
      <c r="R25" s="157"/>
      <c r="S25" s="208">
        <f t="shared" ref="S25:AD25" si="6">AVERAGE(S21,S17)*S24</f>
        <v>44307.299629160021</v>
      </c>
      <c r="T25" s="208">
        <f t="shared" si="6"/>
        <v>48677.898887480056</v>
      </c>
      <c r="U25" s="208">
        <f t="shared" si="6"/>
        <v>53048.498145800091</v>
      </c>
      <c r="V25" s="208">
        <f t="shared" si="6"/>
        <v>57419.097404120126</v>
      </c>
      <c r="W25" s="208">
        <f t="shared" si="6"/>
        <v>61789.696662440161</v>
      </c>
      <c r="X25" s="208">
        <f t="shared" si="6"/>
        <v>66160.295920760196</v>
      </c>
      <c r="Y25" s="208">
        <f t="shared" si="6"/>
        <v>70530.895179080224</v>
      </c>
      <c r="Z25" s="208">
        <f t="shared" si="6"/>
        <v>74901.494437400266</v>
      </c>
      <c r="AA25" s="208">
        <f t="shared" si="6"/>
        <v>79272.093695720294</v>
      </c>
      <c r="AB25" s="208">
        <f t="shared" si="6"/>
        <v>83642.692954040336</v>
      </c>
      <c r="AC25" s="208">
        <f t="shared" si="6"/>
        <v>88013.292212360364</v>
      </c>
      <c r="AD25" s="208">
        <f t="shared" si="6"/>
        <v>92383.891470680406</v>
      </c>
    </row>
    <row r="26" spans="1:30" s="32" customFormat="1" ht="12.6" x14ac:dyDescent="0.25">
      <c r="A26" s="139"/>
      <c r="B26" s="139"/>
      <c r="C26" s="139"/>
      <c r="D26" s="139"/>
      <c r="E26" s="139"/>
      <c r="F26" s="139"/>
      <c r="G26" s="139"/>
      <c r="H26" s="141"/>
      <c r="I26" s="139"/>
      <c r="J26" s="142"/>
      <c r="K26" s="139"/>
      <c r="L26" s="143"/>
      <c r="M26" s="141"/>
      <c r="N26" s="141"/>
      <c r="O26" s="141"/>
      <c r="P26" s="141"/>
      <c r="Q26" s="141"/>
      <c r="R26" s="141"/>
      <c r="S26" s="209"/>
      <c r="T26" s="209"/>
      <c r="U26" s="209"/>
      <c r="V26" s="209"/>
      <c r="W26" s="209"/>
      <c r="X26" s="209"/>
      <c r="Y26" s="209"/>
      <c r="Z26" s="209"/>
      <c r="AA26" s="209"/>
      <c r="AB26" s="209"/>
      <c r="AC26" s="209"/>
      <c r="AD26" s="209"/>
    </row>
    <row r="27" spans="1:30" s="32" customFormat="1" ht="12.6" x14ac:dyDescent="0.25">
      <c r="A27" s="139"/>
      <c r="B27" s="139"/>
      <c r="C27" s="139"/>
      <c r="D27" s="139"/>
      <c r="E27" s="140" t="s">
        <v>101</v>
      </c>
      <c r="F27" s="139"/>
      <c r="G27" s="139"/>
      <c r="H27" s="141"/>
      <c r="I27" s="139"/>
      <c r="J27" s="142"/>
      <c r="K27" s="139"/>
      <c r="L27" s="143"/>
      <c r="M27" s="141"/>
      <c r="N27" s="141"/>
      <c r="O27" s="141"/>
      <c r="P27" s="141"/>
      <c r="Q27" s="141"/>
      <c r="R27" s="141"/>
      <c r="S27" s="209"/>
      <c r="T27" s="209"/>
      <c r="U27" s="209"/>
      <c r="V27" s="209"/>
      <c r="W27" s="209"/>
      <c r="X27" s="209"/>
      <c r="Y27" s="209"/>
      <c r="Z27" s="209"/>
      <c r="AA27" s="209"/>
      <c r="AB27" s="209"/>
      <c r="AC27" s="209"/>
      <c r="AD27" s="209"/>
    </row>
    <row r="28" spans="1:30" s="32" customFormat="1" ht="12.6" x14ac:dyDescent="0.25">
      <c r="A28" s="139"/>
      <c r="B28" s="139"/>
      <c r="C28" s="139"/>
      <c r="D28" s="139"/>
      <c r="E28" s="139"/>
      <c r="F28" s="139" t="s">
        <v>91</v>
      </c>
      <c r="G28" s="139"/>
      <c r="H28" s="141"/>
      <c r="I28" s="139"/>
      <c r="J28" s="142" t="s">
        <v>1205</v>
      </c>
      <c r="K28" s="139"/>
      <c r="L28" s="143"/>
      <c r="M28" s="141"/>
      <c r="N28" s="141"/>
      <c r="O28" s="141"/>
      <c r="P28" s="141"/>
      <c r="Q28" s="141"/>
      <c r="R28" s="141"/>
      <c r="S28" s="209">
        <f t="shared" ref="S28:AD28" si="7">R31</f>
        <v>144582</v>
      </c>
      <c r="T28" s="209">
        <f t="shared" si="7"/>
        <v>188889.29962916003</v>
      </c>
      <c r="U28" s="209">
        <f t="shared" si="7"/>
        <v>237567.19851664008</v>
      </c>
      <c r="V28" s="209">
        <f t="shared" si="7"/>
        <v>290615.6966624402</v>
      </c>
      <c r="W28" s="209">
        <f t="shared" si="7"/>
        <v>348034.79406656034</v>
      </c>
      <c r="X28" s="209">
        <f t="shared" si="7"/>
        <v>409824.49072900048</v>
      </c>
      <c r="Y28" s="209">
        <f t="shared" si="7"/>
        <v>475984.78664976067</v>
      </c>
      <c r="Z28" s="209">
        <f t="shared" si="7"/>
        <v>546515.68182884087</v>
      </c>
      <c r="AA28" s="209">
        <f t="shared" si="7"/>
        <v>621417.17626624112</v>
      </c>
      <c r="AB28" s="209">
        <f t="shared" si="7"/>
        <v>700689.26996196143</v>
      </c>
      <c r="AC28" s="209">
        <f t="shared" si="7"/>
        <v>784331.96291600179</v>
      </c>
      <c r="AD28" s="209">
        <f t="shared" si="7"/>
        <v>872345.25512836222</v>
      </c>
    </row>
    <row r="29" spans="1:30" s="32" customFormat="1" ht="12.6" x14ac:dyDescent="0.25">
      <c r="A29" s="139"/>
      <c r="B29" s="139"/>
      <c r="C29" s="139"/>
      <c r="D29" s="139"/>
      <c r="E29" s="139"/>
      <c r="F29" s="139" t="s">
        <v>102</v>
      </c>
      <c r="G29" s="139"/>
      <c r="H29" s="141"/>
      <c r="I29" s="139"/>
      <c r="J29" s="142" t="s">
        <v>1205</v>
      </c>
      <c r="K29" s="139"/>
      <c r="L29" s="143" t="s">
        <v>103</v>
      </c>
      <c r="M29" s="141"/>
      <c r="N29" s="141"/>
      <c r="O29" s="141"/>
      <c r="P29" s="141"/>
      <c r="Q29" s="141"/>
      <c r="R29" s="141"/>
      <c r="S29" s="209">
        <f>IF((S28+S25&gt;=S21),(S21-S28),(S25))</f>
        <v>44307.299629160021</v>
      </c>
      <c r="T29" s="209">
        <f t="shared" ref="T29:AD29" si="8">IF((T28+T25&gt;=T21),(T21-T28),(T25))</f>
        <v>48677.898887480056</v>
      </c>
      <c r="U29" s="209">
        <f t="shared" si="8"/>
        <v>53048.498145800091</v>
      </c>
      <c r="V29" s="209">
        <f t="shared" si="8"/>
        <v>57419.097404120126</v>
      </c>
      <c r="W29" s="209">
        <f t="shared" si="8"/>
        <v>61789.696662440161</v>
      </c>
      <c r="X29" s="209">
        <f t="shared" si="8"/>
        <v>66160.295920760196</v>
      </c>
      <c r="Y29" s="209">
        <f t="shared" si="8"/>
        <v>70530.895179080224</v>
      </c>
      <c r="Z29" s="209">
        <f t="shared" si="8"/>
        <v>74901.494437400266</v>
      </c>
      <c r="AA29" s="209">
        <f t="shared" si="8"/>
        <v>79272.093695720294</v>
      </c>
      <c r="AB29" s="209">
        <f t="shared" si="8"/>
        <v>83642.692954040336</v>
      </c>
      <c r="AC29" s="209">
        <f t="shared" si="8"/>
        <v>88013.292212360364</v>
      </c>
      <c r="AD29" s="209">
        <f t="shared" si="8"/>
        <v>92383.891470680406</v>
      </c>
    </row>
    <row r="30" spans="1:30" s="32" customFormat="1" ht="12.6" x14ac:dyDescent="0.25">
      <c r="A30" s="139"/>
      <c r="B30" s="139"/>
      <c r="C30" s="139"/>
      <c r="D30" s="139"/>
      <c r="E30" s="139"/>
      <c r="F30" s="139" t="s">
        <v>104</v>
      </c>
      <c r="G30" s="139"/>
      <c r="H30" s="141"/>
      <c r="I30" s="139"/>
      <c r="J30" s="142" t="s">
        <v>1205</v>
      </c>
      <c r="K30" s="139"/>
      <c r="L30" s="143"/>
      <c r="M30" s="141"/>
      <c r="N30" s="141"/>
      <c r="O30" s="141"/>
      <c r="P30" s="141"/>
      <c r="Q30" s="141"/>
      <c r="R30" s="141"/>
      <c r="S30" s="209"/>
      <c r="T30" s="209"/>
      <c r="U30" s="209"/>
      <c r="V30" s="209"/>
      <c r="W30" s="209"/>
      <c r="X30" s="209"/>
      <c r="Y30" s="209"/>
      <c r="Z30" s="209"/>
      <c r="AA30" s="209"/>
      <c r="AB30" s="209"/>
      <c r="AC30" s="209"/>
      <c r="AD30" s="209"/>
    </row>
    <row r="31" spans="1:30" s="32" customFormat="1" ht="12.6" x14ac:dyDescent="0.25">
      <c r="A31" s="139"/>
      <c r="B31" s="139"/>
      <c r="C31" s="139"/>
      <c r="D31" s="139"/>
      <c r="E31" s="139"/>
      <c r="F31" s="144" t="s">
        <v>95</v>
      </c>
      <c r="G31" s="145"/>
      <c r="H31" s="146"/>
      <c r="I31" s="145"/>
      <c r="J31" s="147" t="s">
        <v>1205</v>
      </c>
      <c r="K31" s="145"/>
      <c r="L31" s="148"/>
      <c r="M31" s="146"/>
      <c r="N31" s="146"/>
      <c r="O31" s="146"/>
      <c r="P31" s="146"/>
      <c r="Q31" s="146"/>
      <c r="R31" s="157">
        <f>Act_BS_PPE_Acc_Dep</f>
        <v>144582</v>
      </c>
      <c r="S31" s="211">
        <f t="shared" ref="S31:AD31" si="9">S28+S29-S30</f>
        <v>188889.29962916003</v>
      </c>
      <c r="T31" s="211">
        <f t="shared" si="9"/>
        <v>237567.19851664008</v>
      </c>
      <c r="U31" s="211">
        <f t="shared" si="9"/>
        <v>290615.6966624402</v>
      </c>
      <c r="V31" s="211">
        <f t="shared" si="9"/>
        <v>348034.79406656034</v>
      </c>
      <c r="W31" s="211">
        <f t="shared" si="9"/>
        <v>409824.49072900048</v>
      </c>
      <c r="X31" s="211">
        <f t="shared" si="9"/>
        <v>475984.78664976067</v>
      </c>
      <c r="Y31" s="211">
        <f t="shared" si="9"/>
        <v>546515.68182884087</v>
      </c>
      <c r="Z31" s="211">
        <f t="shared" si="9"/>
        <v>621417.17626624112</v>
      </c>
      <c r="AA31" s="211">
        <f t="shared" si="9"/>
        <v>700689.26996196143</v>
      </c>
      <c r="AB31" s="211">
        <f t="shared" si="9"/>
        <v>784331.96291600179</v>
      </c>
      <c r="AC31" s="211">
        <f t="shared" si="9"/>
        <v>872345.25512836222</v>
      </c>
      <c r="AD31" s="211">
        <f t="shared" si="9"/>
        <v>964729.14659904258</v>
      </c>
    </row>
    <row r="32" spans="1:30" s="32" customFormat="1" ht="12.6" x14ac:dyDescent="0.25">
      <c r="A32" s="139"/>
      <c r="B32" s="139"/>
      <c r="C32" s="139"/>
      <c r="D32" s="139"/>
      <c r="E32" s="139"/>
      <c r="F32" s="139"/>
      <c r="G32" s="139"/>
      <c r="H32" s="141"/>
      <c r="I32" s="139"/>
      <c r="J32" s="142"/>
      <c r="K32" s="139"/>
      <c r="L32" s="143"/>
      <c r="M32" s="141"/>
      <c r="N32" s="141"/>
      <c r="O32" s="141"/>
      <c r="P32" s="141"/>
      <c r="Q32" s="141"/>
      <c r="R32" s="141"/>
      <c r="S32" s="209"/>
      <c r="T32" s="209"/>
      <c r="U32" s="209"/>
      <c r="V32" s="209"/>
      <c r="W32" s="209"/>
      <c r="X32" s="209"/>
      <c r="Y32" s="209"/>
      <c r="Z32" s="209"/>
      <c r="AA32" s="209"/>
      <c r="AB32" s="209"/>
      <c r="AC32" s="209"/>
      <c r="AD32" s="209"/>
    </row>
    <row r="33" spans="1:30" s="32" customFormat="1" ht="13.2" thickBot="1" x14ac:dyDescent="0.3">
      <c r="A33" s="139"/>
      <c r="B33" s="139"/>
      <c r="C33" s="139"/>
      <c r="D33" s="139"/>
      <c r="E33" s="151" t="s">
        <v>105</v>
      </c>
      <c r="F33" s="152"/>
      <c r="G33" s="152"/>
      <c r="H33" s="153"/>
      <c r="I33" s="152"/>
      <c r="J33" s="154" t="s">
        <v>1205</v>
      </c>
      <c r="K33" s="152"/>
      <c r="L33" s="155" t="s">
        <v>106</v>
      </c>
      <c r="M33" s="153"/>
      <c r="N33" s="153"/>
      <c r="O33" s="153"/>
      <c r="P33" s="153"/>
      <c r="Q33" s="156"/>
      <c r="R33" s="156">
        <f t="shared" ref="R33:AD33" si="10">R21-R31</f>
        <v>337297</v>
      </c>
      <c r="S33" s="156">
        <f t="shared" si="10"/>
        <v>342989.70037083997</v>
      </c>
      <c r="T33" s="156">
        <f t="shared" si="10"/>
        <v>344311.80148335989</v>
      </c>
      <c r="U33" s="156">
        <f t="shared" si="10"/>
        <v>341263.3033375598</v>
      </c>
      <c r="V33" s="156">
        <f t="shared" si="10"/>
        <v>333844.20593343966</v>
      </c>
      <c r="W33" s="156">
        <f t="shared" si="10"/>
        <v>322054.50927099952</v>
      </c>
      <c r="X33" s="156">
        <f t="shared" si="10"/>
        <v>305894.21335023933</v>
      </c>
      <c r="Y33" s="156">
        <f t="shared" si="10"/>
        <v>285363.31817115913</v>
      </c>
      <c r="Z33" s="156">
        <f t="shared" si="10"/>
        <v>260461.82373375888</v>
      </c>
      <c r="AA33" s="156">
        <f t="shared" si="10"/>
        <v>231189.73003803857</v>
      </c>
      <c r="AB33" s="156">
        <f t="shared" si="10"/>
        <v>197547.03708399821</v>
      </c>
      <c r="AC33" s="156">
        <f t="shared" si="10"/>
        <v>159533.74487163778</v>
      </c>
      <c r="AD33" s="156">
        <f t="shared" si="10"/>
        <v>117149.85340095742</v>
      </c>
    </row>
    <row r="34" spans="1:30" s="32" customFormat="1" ht="12.6" x14ac:dyDescent="0.25">
      <c r="A34" s="35"/>
      <c r="B34" s="35"/>
      <c r="D34" s="97"/>
      <c r="E34" s="97"/>
      <c r="G34" s="97"/>
      <c r="H34" s="101"/>
      <c r="I34" s="97"/>
      <c r="J34" s="98"/>
      <c r="L34" s="38"/>
      <c r="M34" s="103"/>
      <c r="N34" s="108"/>
      <c r="O34" s="108"/>
      <c r="P34" s="108"/>
      <c r="Q34" s="108"/>
      <c r="R34" s="108"/>
      <c r="S34" s="108"/>
      <c r="T34" s="108"/>
      <c r="U34" s="108"/>
      <c r="V34" s="108"/>
      <c r="W34" s="108"/>
      <c r="X34" s="108"/>
      <c r="Y34" s="108"/>
      <c r="Z34" s="108"/>
      <c r="AA34" s="108"/>
      <c r="AB34" s="108"/>
      <c r="AC34" s="108"/>
      <c r="AD34" s="108"/>
    </row>
    <row r="35" spans="1:30" s="32" customFormat="1" ht="13.2" thickBot="1" x14ac:dyDescent="0.3">
      <c r="A35" s="35"/>
      <c r="B35" s="35"/>
      <c r="E35" s="97"/>
      <c r="G35" s="97"/>
      <c r="H35" s="101"/>
      <c r="I35" s="97"/>
      <c r="J35" s="98"/>
      <c r="L35" s="38"/>
      <c r="M35" s="103"/>
      <c r="N35" s="108"/>
      <c r="O35" s="108"/>
      <c r="P35" s="108"/>
      <c r="Q35" s="108"/>
      <c r="R35" s="108"/>
      <c r="S35" s="108"/>
      <c r="T35" s="108"/>
      <c r="U35" s="108"/>
      <c r="V35" s="108"/>
      <c r="W35" s="108"/>
      <c r="X35" s="108"/>
      <c r="Y35" s="108"/>
      <c r="Z35" s="108"/>
      <c r="AA35" s="108"/>
      <c r="AB35" s="108"/>
      <c r="AC35" s="108"/>
      <c r="AD35" s="108"/>
    </row>
    <row r="36" spans="1:30" ht="12.6" x14ac:dyDescent="0.25">
      <c r="B36" s="20"/>
      <c r="C36" s="20"/>
      <c r="D36" s="164" t="s">
        <v>26</v>
      </c>
      <c r="E36" s="165"/>
      <c r="F36" s="165"/>
      <c r="G36" s="165"/>
      <c r="H36" s="166"/>
      <c r="I36" s="165"/>
      <c r="J36" s="167"/>
      <c r="K36" s="165"/>
      <c r="L36" s="168"/>
      <c r="M36" s="165"/>
      <c r="N36" s="169"/>
      <c r="O36" s="169"/>
      <c r="P36" s="169"/>
      <c r="Q36" s="169"/>
      <c r="R36" s="169"/>
      <c r="S36" s="169"/>
      <c r="T36" s="169"/>
      <c r="U36" s="169"/>
      <c r="V36" s="169"/>
      <c r="W36" s="169"/>
      <c r="X36" s="169"/>
      <c r="Y36" s="169"/>
      <c r="Z36" s="169"/>
      <c r="AA36" s="169"/>
      <c r="AB36" s="169"/>
      <c r="AC36" s="169"/>
      <c r="AD36" s="169"/>
    </row>
    <row r="37" spans="1:30" s="32" customFormat="1" ht="12.6" x14ac:dyDescent="0.25">
      <c r="A37" s="35"/>
      <c r="B37" s="35"/>
      <c r="E37" s="97"/>
      <c r="G37" s="97"/>
      <c r="H37" s="101"/>
      <c r="I37" s="97"/>
      <c r="J37" s="98"/>
      <c r="L37" s="38"/>
      <c r="M37" s="103"/>
      <c r="N37" s="108"/>
      <c r="O37" s="108"/>
      <c r="P37" s="108"/>
      <c r="Q37" s="108"/>
      <c r="R37" s="108"/>
      <c r="S37" s="108"/>
      <c r="T37" s="108"/>
      <c r="U37" s="108"/>
      <c r="V37" s="108"/>
      <c r="W37" s="108"/>
      <c r="X37" s="108"/>
      <c r="Y37" s="108"/>
      <c r="Z37" s="108"/>
      <c r="AA37" s="108"/>
      <c r="AB37" s="108"/>
      <c r="AC37" s="108"/>
      <c r="AD37" s="108"/>
    </row>
    <row r="38" spans="1:30" s="32" customFormat="1" ht="12.6" x14ac:dyDescent="0.25">
      <c r="A38" s="139"/>
      <c r="B38" s="139"/>
      <c r="C38" s="139"/>
      <c r="D38" s="139"/>
      <c r="E38" s="140" t="s">
        <v>107</v>
      </c>
      <c r="F38" s="139"/>
      <c r="G38" s="139"/>
      <c r="H38" s="141"/>
      <c r="I38" s="139"/>
      <c r="J38" s="142"/>
      <c r="K38" s="139"/>
      <c r="L38" s="143"/>
      <c r="M38" s="141"/>
      <c r="N38" s="141"/>
      <c r="O38" s="141"/>
      <c r="P38" s="141"/>
      <c r="Q38" s="141"/>
      <c r="R38" s="141"/>
      <c r="S38" s="209"/>
      <c r="T38" s="209"/>
      <c r="U38" s="209"/>
      <c r="V38" s="209"/>
      <c r="W38" s="209"/>
      <c r="X38" s="209"/>
      <c r="Y38" s="209"/>
      <c r="Z38" s="209"/>
      <c r="AA38" s="209"/>
      <c r="AB38" s="209"/>
      <c r="AC38" s="209"/>
      <c r="AD38" s="209"/>
    </row>
    <row r="39" spans="1:30" s="32" customFormat="1" ht="12.6" x14ac:dyDescent="0.25">
      <c r="A39" s="139"/>
      <c r="B39" s="139"/>
      <c r="C39" s="139"/>
      <c r="D39" s="139"/>
      <c r="E39" s="139"/>
      <c r="F39" s="139" t="s">
        <v>94</v>
      </c>
      <c r="G39" s="139"/>
      <c r="H39" s="141"/>
      <c r="I39" s="139"/>
      <c r="J39" s="142" t="s">
        <v>1205</v>
      </c>
      <c r="K39" s="139"/>
      <c r="L39" s="143"/>
      <c r="M39" s="141"/>
      <c r="N39" s="141"/>
      <c r="O39" s="141"/>
      <c r="P39" s="141"/>
      <c r="Q39" s="141"/>
      <c r="R39" s="141"/>
      <c r="S39" s="209">
        <f t="shared" ref="S39:AD39" si="11">R42</f>
        <v>245836</v>
      </c>
      <c r="T39" s="209">
        <f t="shared" si="11"/>
        <v>255836</v>
      </c>
      <c r="U39" s="209">
        <f t="shared" si="11"/>
        <v>260836</v>
      </c>
      <c r="V39" s="209">
        <f t="shared" si="11"/>
        <v>265836</v>
      </c>
      <c r="W39" s="209">
        <f t="shared" si="11"/>
        <v>270836</v>
      </c>
      <c r="X39" s="209">
        <f t="shared" si="11"/>
        <v>275836</v>
      </c>
      <c r="Y39" s="209">
        <f t="shared" si="11"/>
        <v>280836</v>
      </c>
      <c r="Z39" s="209">
        <f t="shared" si="11"/>
        <v>285836</v>
      </c>
      <c r="AA39" s="209">
        <f t="shared" si="11"/>
        <v>290836</v>
      </c>
      <c r="AB39" s="209">
        <f t="shared" si="11"/>
        <v>295836</v>
      </c>
      <c r="AC39" s="209">
        <f t="shared" si="11"/>
        <v>300836</v>
      </c>
      <c r="AD39" s="209">
        <f t="shared" si="11"/>
        <v>305836</v>
      </c>
    </row>
    <row r="40" spans="1:30" s="32" customFormat="1" ht="12.6" x14ac:dyDescent="0.25">
      <c r="A40" s="139"/>
      <c r="B40" s="139"/>
      <c r="C40" s="139"/>
      <c r="D40" s="139"/>
      <c r="E40" s="139"/>
      <c r="F40" s="139" t="s">
        <v>92</v>
      </c>
      <c r="G40" s="139"/>
      <c r="H40" s="141"/>
      <c r="I40" s="139"/>
      <c r="J40" s="142" t="s">
        <v>1205</v>
      </c>
      <c r="K40" s="139"/>
      <c r="L40" s="143" t="s">
        <v>108</v>
      </c>
      <c r="M40" s="141"/>
      <c r="N40" s="141"/>
      <c r="O40" s="141"/>
      <c r="P40" s="141"/>
      <c r="Q40" s="141"/>
      <c r="R40" s="141"/>
      <c r="S40" s="209">
        <f t="shared" ref="S40:AD40" si="12">-Inputs_Basecase_Intangible_Additions</f>
        <v>10000</v>
      </c>
      <c r="T40" s="209">
        <f t="shared" si="12"/>
        <v>5000</v>
      </c>
      <c r="U40" s="209">
        <f t="shared" si="12"/>
        <v>5000</v>
      </c>
      <c r="V40" s="209">
        <f t="shared" si="12"/>
        <v>5000</v>
      </c>
      <c r="W40" s="209">
        <f t="shared" si="12"/>
        <v>5000</v>
      </c>
      <c r="X40" s="209">
        <f t="shared" si="12"/>
        <v>5000</v>
      </c>
      <c r="Y40" s="209">
        <f t="shared" si="12"/>
        <v>5000</v>
      </c>
      <c r="Z40" s="209">
        <f t="shared" si="12"/>
        <v>5000</v>
      </c>
      <c r="AA40" s="209">
        <f t="shared" si="12"/>
        <v>5000</v>
      </c>
      <c r="AB40" s="209">
        <f t="shared" si="12"/>
        <v>5000</v>
      </c>
      <c r="AC40" s="209">
        <f t="shared" si="12"/>
        <v>5000</v>
      </c>
      <c r="AD40" s="209">
        <f t="shared" si="12"/>
        <v>5000</v>
      </c>
    </row>
    <row r="41" spans="1:30" s="32" customFormat="1" ht="12.6" x14ac:dyDescent="0.25">
      <c r="A41" s="139"/>
      <c r="B41" s="139"/>
      <c r="C41" s="139"/>
      <c r="D41" s="139"/>
      <c r="E41" s="139"/>
      <c r="F41" s="139" t="s">
        <v>98</v>
      </c>
      <c r="G41" s="139"/>
      <c r="H41" s="141"/>
      <c r="I41" s="139"/>
      <c r="J41" s="142" t="s">
        <v>1205</v>
      </c>
      <c r="K41" s="139"/>
      <c r="L41" s="143"/>
      <c r="M41" s="141"/>
      <c r="N41" s="141"/>
      <c r="O41" s="141"/>
      <c r="P41" s="141"/>
      <c r="Q41" s="141"/>
      <c r="R41" s="141"/>
      <c r="S41" s="209"/>
      <c r="T41" s="209"/>
      <c r="U41" s="209"/>
      <c r="V41" s="209"/>
      <c r="W41" s="209"/>
      <c r="X41" s="209"/>
      <c r="Y41" s="209"/>
      <c r="Z41" s="209"/>
      <c r="AA41" s="209"/>
      <c r="AB41" s="209"/>
      <c r="AC41" s="209"/>
      <c r="AD41" s="209"/>
    </row>
    <row r="42" spans="1:30" s="32" customFormat="1" ht="12.6" x14ac:dyDescent="0.25">
      <c r="A42" s="139"/>
      <c r="B42" s="139"/>
      <c r="C42" s="139"/>
      <c r="D42" s="139"/>
      <c r="E42" s="139"/>
      <c r="F42" s="144" t="s">
        <v>95</v>
      </c>
      <c r="G42" s="145"/>
      <c r="H42" s="146"/>
      <c r="I42" s="145"/>
      <c r="J42" s="147" t="s">
        <v>1205</v>
      </c>
      <c r="K42" s="145"/>
      <c r="L42" s="148"/>
      <c r="M42" s="146"/>
      <c r="N42" s="157"/>
      <c r="O42" s="157"/>
      <c r="P42" s="157"/>
      <c r="Q42" s="157"/>
      <c r="R42" s="157">
        <f>Act_BS_Intangible_Cost</f>
        <v>245836</v>
      </c>
      <c r="S42" s="208">
        <f t="shared" ref="S42:AD42" si="13">S39+S40+S41</f>
        <v>255836</v>
      </c>
      <c r="T42" s="208">
        <f t="shared" si="13"/>
        <v>260836</v>
      </c>
      <c r="U42" s="208">
        <f t="shared" si="13"/>
        <v>265836</v>
      </c>
      <c r="V42" s="208">
        <f t="shared" si="13"/>
        <v>270836</v>
      </c>
      <c r="W42" s="208">
        <f t="shared" si="13"/>
        <v>275836</v>
      </c>
      <c r="X42" s="208">
        <f t="shared" si="13"/>
        <v>280836</v>
      </c>
      <c r="Y42" s="208">
        <f t="shared" si="13"/>
        <v>285836</v>
      </c>
      <c r="Z42" s="208">
        <f t="shared" si="13"/>
        <v>290836</v>
      </c>
      <c r="AA42" s="208">
        <f t="shared" si="13"/>
        <v>295836</v>
      </c>
      <c r="AB42" s="208">
        <f t="shared" si="13"/>
        <v>300836</v>
      </c>
      <c r="AC42" s="208">
        <f t="shared" si="13"/>
        <v>305836</v>
      </c>
      <c r="AD42" s="208">
        <f t="shared" si="13"/>
        <v>310836</v>
      </c>
    </row>
    <row r="43" spans="1:30" s="32" customFormat="1" ht="12.6" x14ac:dyDescent="0.25">
      <c r="A43" s="139"/>
      <c r="B43" s="139"/>
      <c r="C43" s="139"/>
      <c r="D43" s="139"/>
      <c r="E43" s="139"/>
      <c r="F43" s="139"/>
      <c r="G43" s="139"/>
      <c r="H43" s="141"/>
      <c r="I43" s="139"/>
      <c r="J43" s="142"/>
      <c r="K43" s="139"/>
      <c r="L43" s="143"/>
      <c r="M43" s="141"/>
      <c r="N43" s="141"/>
      <c r="O43" s="141"/>
      <c r="P43" s="141"/>
      <c r="Q43" s="141"/>
      <c r="R43" s="141"/>
      <c r="S43" s="209"/>
      <c r="T43" s="209"/>
      <c r="U43" s="209"/>
      <c r="V43" s="209"/>
      <c r="W43" s="209"/>
      <c r="X43" s="209"/>
      <c r="Y43" s="209"/>
      <c r="Z43" s="209"/>
      <c r="AA43" s="209"/>
      <c r="AB43" s="209"/>
      <c r="AC43" s="209"/>
      <c r="AD43" s="209"/>
    </row>
    <row r="44" spans="1:30" s="32" customFormat="1" ht="12.6" x14ac:dyDescent="0.25">
      <c r="A44" s="139"/>
      <c r="B44" s="139"/>
      <c r="C44" s="139"/>
      <c r="D44" s="139"/>
      <c r="E44" s="140" t="s">
        <v>112</v>
      </c>
      <c r="F44" s="139"/>
      <c r="G44" s="139"/>
      <c r="H44" s="141"/>
      <c r="I44" s="139"/>
      <c r="J44" s="142"/>
      <c r="K44" s="139"/>
      <c r="L44" s="143"/>
      <c r="M44" s="141"/>
      <c r="N44" s="141"/>
      <c r="O44" s="141"/>
      <c r="P44" s="141"/>
      <c r="Q44" s="141"/>
      <c r="R44" s="141"/>
      <c r="S44" s="209"/>
      <c r="T44" s="209"/>
      <c r="U44" s="209"/>
      <c r="V44" s="209"/>
      <c r="W44" s="209"/>
      <c r="X44" s="209"/>
      <c r="Y44" s="209"/>
      <c r="Z44" s="209"/>
      <c r="AA44" s="209"/>
      <c r="AB44" s="209"/>
      <c r="AC44" s="209"/>
      <c r="AD44" s="209"/>
    </row>
    <row r="45" spans="1:30" s="32" customFormat="1" ht="12.6" x14ac:dyDescent="0.25">
      <c r="A45" s="139"/>
      <c r="B45" s="139"/>
      <c r="C45" s="139"/>
      <c r="D45" s="139"/>
      <c r="E45" s="139"/>
      <c r="F45" s="139" t="s">
        <v>113</v>
      </c>
      <c r="G45" s="139"/>
      <c r="H45" s="141"/>
      <c r="I45" s="139"/>
      <c r="J45" s="142" t="s">
        <v>1205</v>
      </c>
      <c r="K45" s="139"/>
      <c r="L45" s="143"/>
      <c r="M45" s="141"/>
      <c r="N45" s="141"/>
      <c r="O45" s="141"/>
      <c r="P45" s="141"/>
      <c r="Q45" s="141"/>
      <c r="R45" s="149"/>
      <c r="S45" s="210">
        <f t="shared" ref="S45:AD45" si="14">Inputs_Basecase_Intangible_Amortization</f>
        <v>5.668819863648937E-2</v>
      </c>
      <c r="T45" s="210">
        <f t="shared" si="14"/>
        <v>5.668819863648937E-2</v>
      </c>
      <c r="U45" s="210">
        <f t="shared" si="14"/>
        <v>5.668819863648937E-2</v>
      </c>
      <c r="V45" s="210">
        <f t="shared" si="14"/>
        <v>5.668819863648937E-2</v>
      </c>
      <c r="W45" s="210">
        <f t="shared" si="14"/>
        <v>5.668819863648937E-2</v>
      </c>
      <c r="X45" s="210">
        <f t="shared" si="14"/>
        <v>5.668819863648937E-2</v>
      </c>
      <c r="Y45" s="210">
        <f t="shared" si="14"/>
        <v>5.668819863648937E-2</v>
      </c>
      <c r="Z45" s="210">
        <f t="shared" si="14"/>
        <v>5.668819863648937E-2</v>
      </c>
      <c r="AA45" s="210">
        <f t="shared" si="14"/>
        <v>5.668819863648937E-2</v>
      </c>
      <c r="AB45" s="210">
        <f t="shared" si="14"/>
        <v>5.668819863648937E-2</v>
      </c>
      <c r="AC45" s="210">
        <f t="shared" si="14"/>
        <v>5.668819863648937E-2</v>
      </c>
      <c r="AD45" s="210">
        <f t="shared" si="14"/>
        <v>5.668819863648937E-2</v>
      </c>
    </row>
    <row r="46" spans="1:30" s="32" customFormat="1" ht="12.6" x14ac:dyDescent="0.25">
      <c r="A46" s="139"/>
      <c r="B46" s="139"/>
      <c r="C46" s="139"/>
      <c r="D46" s="139"/>
      <c r="E46" s="139"/>
      <c r="F46" s="150" t="s">
        <v>112</v>
      </c>
      <c r="G46" s="145"/>
      <c r="H46" s="146"/>
      <c r="I46" s="145"/>
      <c r="J46" s="147" t="s">
        <v>1205</v>
      </c>
      <c r="K46" s="145"/>
      <c r="L46" s="148"/>
      <c r="M46" s="146"/>
      <c r="N46" s="157"/>
      <c r="O46" s="157"/>
      <c r="P46" s="157"/>
      <c r="Q46" s="157"/>
      <c r="R46" s="157"/>
      <c r="S46" s="157">
        <f t="shared" ref="S46:AD46" si="15">AVERAGE(S42,S39)*S45</f>
        <v>14219.440993182448</v>
      </c>
      <c r="T46" s="157">
        <f t="shared" si="15"/>
        <v>14644.602482956117</v>
      </c>
      <c r="U46" s="157">
        <f t="shared" si="15"/>
        <v>14928.043476138564</v>
      </c>
      <c r="V46" s="157">
        <f t="shared" si="15"/>
        <v>15211.484469321013</v>
      </c>
      <c r="W46" s="157">
        <f t="shared" si="15"/>
        <v>15494.925462503459</v>
      </c>
      <c r="X46" s="157">
        <f t="shared" si="15"/>
        <v>15778.366455685906</v>
      </c>
      <c r="Y46" s="157">
        <f t="shared" si="15"/>
        <v>16061.807448868352</v>
      </c>
      <c r="Z46" s="157">
        <f t="shared" si="15"/>
        <v>16345.248442050799</v>
      </c>
      <c r="AA46" s="157">
        <f t="shared" si="15"/>
        <v>16628.689435233246</v>
      </c>
      <c r="AB46" s="157">
        <f t="shared" si="15"/>
        <v>16912.130428415694</v>
      </c>
      <c r="AC46" s="157">
        <f t="shared" si="15"/>
        <v>17195.571421598139</v>
      </c>
      <c r="AD46" s="157">
        <f t="shared" si="15"/>
        <v>17479.012414780587</v>
      </c>
    </row>
    <row r="47" spans="1:30" s="32" customFormat="1" ht="12.6" x14ac:dyDescent="0.25">
      <c r="A47" s="139"/>
      <c r="B47" s="139"/>
      <c r="C47" s="139"/>
      <c r="D47" s="139"/>
      <c r="E47" s="139"/>
      <c r="F47" s="139"/>
      <c r="G47" s="139"/>
      <c r="H47" s="141"/>
      <c r="I47" s="139"/>
      <c r="J47" s="142"/>
      <c r="K47" s="139"/>
      <c r="L47" s="143"/>
      <c r="M47" s="141"/>
      <c r="N47" s="141"/>
      <c r="O47" s="141"/>
      <c r="P47" s="141"/>
      <c r="Q47" s="141"/>
      <c r="R47" s="141"/>
      <c r="S47" s="141"/>
      <c r="T47" s="141"/>
      <c r="U47" s="141"/>
      <c r="V47" s="141"/>
      <c r="W47" s="141"/>
      <c r="X47" s="141"/>
      <c r="Y47" s="141"/>
      <c r="Z47" s="141"/>
      <c r="AA47" s="141"/>
      <c r="AB47" s="141"/>
      <c r="AC47" s="141"/>
      <c r="AD47" s="141"/>
    </row>
    <row r="48" spans="1:30" s="32" customFormat="1" ht="12.6" x14ac:dyDescent="0.25">
      <c r="A48" s="139"/>
      <c r="B48" s="139"/>
      <c r="C48" s="139"/>
      <c r="D48" s="139"/>
      <c r="E48" s="140" t="s">
        <v>101</v>
      </c>
      <c r="F48" s="139"/>
      <c r="G48" s="139"/>
      <c r="H48" s="141"/>
      <c r="I48" s="139"/>
      <c r="J48" s="142"/>
      <c r="K48" s="139"/>
      <c r="L48" s="143"/>
      <c r="M48" s="141"/>
      <c r="N48" s="141"/>
      <c r="O48" s="141"/>
      <c r="P48" s="141"/>
      <c r="Q48" s="141"/>
      <c r="R48" s="141"/>
      <c r="S48" s="141"/>
      <c r="T48" s="141"/>
      <c r="U48" s="141"/>
      <c r="V48" s="141"/>
      <c r="W48" s="141"/>
      <c r="X48" s="141"/>
      <c r="Y48" s="141"/>
      <c r="Z48" s="141"/>
      <c r="AA48" s="141"/>
      <c r="AB48" s="141"/>
      <c r="AC48" s="141"/>
      <c r="AD48" s="141"/>
    </row>
    <row r="49" spans="1:30" s="32" customFormat="1" ht="12.6" x14ac:dyDescent="0.25">
      <c r="A49" s="139"/>
      <c r="B49" s="139"/>
      <c r="C49" s="139"/>
      <c r="D49" s="139"/>
      <c r="E49" s="139"/>
      <c r="F49" s="139" t="s">
        <v>91</v>
      </c>
      <c r="G49" s="139"/>
      <c r="H49" s="141"/>
      <c r="I49" s="139"/>
      <c r="J49" s="142" t="s">
        <v>1205</v>
      </c>
      <c r="K49" s="139"/>
      <c r="L49" s="143"/>
      <c r="M49" s="141"/>
      <c r="N49" s="141"/>
      <c r="O49" s="141"/>
      <c r="P49" s="141"/>
      <c r="Q49" s="141"/>
      <c r="R49" s="141"/>
      <c r="S49" s="141">
        <f t="shared" ref="S49:AD49" si="16">R52</f>
        <v>147800</v>
      </c>
      <c r="T49" s="141">
        <f t="shared" si="16"/>
        <v>162019.44099318245</v>
      </c>
      <c r="U49" s="141">
        <f t="shared" si="16"/>
        <v>176664.04347613855</v>
      </c>
      <c r="V49" s="141">
        <f t="shared" si="16"/>
        <v>191592.08695227711</v>
      </c>
      <c r="W49" s="141">
        <f t="shared" si="16"/>
        <v>206803.57142159811</v>
      </c>
      <c r="X49" s="141">
        <f t="shared" si="16"/>
        <v>222298.49688410157</v>
      </c>
      <c r="Y49" s="141">
        <f t="shared" si="16"/>
        <v>238076.86333978747</v>
      </c>
      <c r="Z49" s="141">
        <f t="shared" si="16"/>
        <v>254138.67078865581</v>
      </c>
      <c r="AA49" s="141">
        <f t="shared" si="16"/>
        <v>270483.91923070664</v>
      </c>
      <c r="AB49" s="141">
        <f t="shared" si="16"/>
        <v>287112.60866593989</v>
      </c>
      <c r="AC49" s="141">
        <f t="shared" si="16"/>
        <v>300836</v>
      </c>
      <c r="AD49" s="141">
        <f t="shared" si="16"/>
        <v>305836</v>
      </c>
    </row>
    <row r="50" spans="1:30" s="32" customFormat="1" ht="12.6" x14ac:dyDescent="0.25">
      <c r="A50" s="139"/>
      <c r="B50" s="139"/>
      <c r="C50" s="139"/>
      <c r="D50" s="139"/>
      <c r="E50" s="139"/>
      <c r="F50" s="139" t="s">
        <v>102</v>
      </c>
      <c r="G50" s="139"/>
      <c r="H50" s="141"/>
      <c r="I50" s="139"/>
      <c r="J50" s="142" t="s">
        <v>1205</v>
      </c>
      <c r="K50" s="139"/>
      <c r="L50" s="143" t="s">
        <v>109</v>
      </c>
      <c r="M50" s="141"/>
      <c r="N50" s="141"/>
      <c r="O50" s="141"/>
      <c r="P50" s="141"/>
      <c r="Q50" s="141"/>
      <c r="R50" s="141"/>
      <c r="S50" s="141">
        <f>IF((S49+S46&gt;=S42),(S42-S49),(S46))</f>
        <v>14219.440993182448</v>
      </c>
      <c r="T50" s="141">
        <f t="shared" ref="T50:AD50" si="17">IF((T49+T46&gt;=T42),(T42-T49),(T46))</f>
        <v>14644.602482956117</v>
      </c>
      <c r="U50" s="141">
        <f t="shared" si="17"/>
        <v>14928.043476138564</v>
      </c>
      <c r="V50" s="141">
        <f t="shared" si="17"/>
        <v>15211.484469321013</v>
      </c>
      <c r="W50" s="141">
        <f t="shared" si="17"/>
        <v>15494.925462503459</v>
      </c>
      <c r="X50" s="141">
        <f t="shared" si="17"/>
        <v>15778.366455685906</v>
      </c>
      <c r="Y50" s="141">
        <f t="shared" si="17"/>
        <v>16061.807448868352</v>
      </c>
      <c r="Z50" s="141">
        <f t="shared" si="17"/>
        <v>16345.248442050799</v>
      </c>
      <c r="AA50" s="141">
        <f t="shared" si="17"/>
        <v>16628.689435233246</v>
      </c>
      <c r="AB50" s="141">
        <f t="shared" si="17"/>
        <v>13723.391334060114</v>
      </c>
      <c r="AC50" s="141">
        <f t="shared" si="17"/>
        <v>5000</v>
      </c>
      <c r="AD50" s="141">
        <f t="shared" si="17"/>
        <v>5000</v>
      </c>
    </row>
    <row r="51" spans="1:30" s="32" customFormat="1" ht="12.6" x14ac:dyDescent="0.25">
      <c r="A51" s="139"/>
      <c r="B51" s="139"/>
      <c r="C51" s="139"/>
      <c r="D51" s="139"/>
      <c r="E51" s="139"/>
      <c r="F51" s="139" t="s">
        <v>104</v>
      </c>
      <c r="G51" s="139"/>
      <c r="H51" s="141"/>
      <c r="I51" s="139"/>
      <c r="J51" s="142" t="s">
        <v>1205</v>
      </c>
      <c r="K51" s="139"/>
      <c r="L51" s="143"/>
      <c r="M51" s="141"/>
      <c r="N51" s="141"/>
      <c r="O51" s="141"/>
      <c r="P51" s="141"/>
      <c r="Q51" s="141"/>
      <c r="R51" s="141"/>
      <c r="S51" s="141"/>
      <c r="T51" s="141"/>
      <c r="U51" s="141"/>
      <c r="V51" s="141"/>
      <c r="W51" s="141"/>
      <c r="X51" s="141"/>
      <c r="Y51" s="141"/>
      <c r="Z51" s="141"/>
      <c r="AA51" s="141"/>
      <c r="AB51" s="141"/>
      <c r="AC51" s="141"/>
      <c r="AD51" s="141"/>
    </row>
    <row r="52" spans="1:30" s="32" customFormat="1" ht="12.6" x14ac:dyDescent="0.25">
      <c r="A52" s="139"/>
      <c r="B52" s="139"/>
      <c r="C52" s="139"/>
      <c r="D52" s="139"/>
      <c r="E52" s="139"/>
      <c r="F52" s="144" t="s">
        <v>95</v>
      </c>
      <c r="G52" s="145"/>
      <c r="H52" s="146"/>
      <c r="I52" s="145"/>
      <c r="J52" s="147" t="s">
        <v>1205</v>
      </c>
      <c r="K52" s="145"/>
      <c r="L52" s="148"/>
      <c r="M52" s="146"/>
      <c r="N52" s="146"/>
      <c r="O52" s="146"/>
      <c r="P52" s="146"/>
      <c r="Q52" s="146"/>
      <c r="R52" s="146">
        <f>Act_BS_Acc_Amort</f>
        <v>147800</v>
      </c>
      <c r="S52" s="146">
        <f t="shared" ref="S52:AD52" si="18">S49+S50-S51</f>
        <v>162019.44099318245</v>
      </c>
      <c r="T52" s="146">
        <f t="shared" si="18"/>
        <v>176664.04347613855</v>
      </c>
      <c r="U52" s="146">
        <f t="shared" si="18"/>
        <v>191592.08695227711</v>
      </c>
      <c r="V52" s="146">
        <f t="shared" si="18"/>
        <v>206803.57142159811</v>
      </c>
      <c r="W52" s="146">
        <f t="shared" si="18"/>
        <v>222298.49688410157</v>
      </c>
      <c r="X52" s="146">
        <f t="shared" si="18"/>
        <v>238076.86333978747</v>
      </c>
      <c r="Y52" s="146">
        <f t="shared" si="18"/>
        <v>254138.67078865581</v>
      </c>
      <c r="Z52" s="146">
        <f t="shared" si="18"/>
        <v>270483.91923070664</v>
      </c>
      <c r="AA52" s="146">
        <f t="shared" si="18"/>
        <v>287112.60866593989</v>
      </c>
      <c r="AB52" s="146">
        <f t="shared" si="18"/>
        <v>300836</v>
      </c>
      <c r="AC52" s="146">
        <f t="shared" si="18"/>
        <v>305836</v>
      </c>
      <c r="AD52" s="146">
        <f t="shared" si="18"/>
        <v>310836</v>
      </c>
    </row>
    <row r="53" spans="1:30" s="32" customFormat="1" ht="12.6" x14ac:dyDescent="0.25">
      <c r="A53" s="139"/>
      <c r="B53" s="139"/>
      <c r="C53" s="139"/>
      <c r="D53" s="139"/>
      <c r="E53" s="139"/>
      <c r="F53" s="139"/>
      <c r="G53" s="139"/>
      <c r="H53" s="141"/>
      <c r="I53" s="139"/>
      <c r="J53" s="142"/>
      <c r="K53" s="139"/>
      <c r="L53" s="143"/>
      <c r="M53" s="141"/>
      <c r="N53" s="141"/>
      <c r="O53" s="141"/>
      <c r="P53" s="141"/>
      <c r="Q53" s="141"/>
      <c r="R53" s="141"/>
      <c r="S53" s="141"/>
      <c r="T53" s="141"/>
      <c r="U53" s="141"/>
      <c r="V53" s="141"/>
      <c r="W53" s="141"/>
      <c r="X53" s="141"/>
      <c r="Y53" s="141"/>
      <c r="Z53" s="141"/>
      <c r="AA53" s="141"/>
      <c r="AB53" s="141"/>
      <c r="AC53" s="141"/>
      <c r="AD53" s="141"/>
    </row>
    <row r="54" spans="1:30" s="32" customFormat="1" ht="13.2" thickBot="1" x14ac:dyDescent="0.3">
      <c r="A54" s="139"/>
      <c r="B54" s="139"/>
      <c r="C54" s="139"/>
      <c r="D54" s="139"/>
      <c r="E54" s="151" t="s">
        <v>105</v>
      </c>
      <c r="F54" s="152"/>
      <c r="G54" s="152"/>
      <c r="H54" s="153"/>
      <c r="I54" s="152"/>
      <c r="J54" s="154" t="s">
        <v>1205</v>
      </c>
      <c r="K54" s="152"/>
      <c r="L54" s="155" t="s">
        <v>110</v>
      </c>
      <c r="M54" s="153"/>
      <c r="N54" s="153"/>
      <c r="O54" s="153"/>
      <c r="P54" s="153"/>
      <c r="Q54" s="156"/>
      <c r="R54" s="156">
        <f>R42-R52</f>
        <v>98036</v>
      </c>
      <c r="S54" s="156">
        <f t="shared" ref="S54:AD54" si="19">S42-S52</f>
        <v>93816.559006817552</v>
      </c>
      <c r="T54" s="156">
        <f t="shared" si="19"/>
        <v>84171.956523861445</v>
      </c>
      <c r="U54" s="156">
        <f t="shared" si="19"/>
        <v>74243.91304772289</v>
      </c>
      <c r="V54" s="156">
        <f t="shared" si="19"/>
        <v>64032.428578401887</v>
      </c>
      <c r="W54" s="156">
        <f t="shared" si="19"/>
        <v>53537.503115898435</v>
      </c>
      <c r="X54" s="156">
        <f t="shared" si="19"/>
        <v>42759.136660212534</v>
      </c>
      <c r="Y54" s="156">
        <f t="shared" si="19"/>
        <v>31697.329211344186</v>
      </c>
      <c r="Z54" s="156">
        <f t="shared" si="19"/>
        <v>20352.080769293359</v>
      </c>
      <c r="AA54" s="156">
        <f t="shared" si="19"/>
        <v>8723.3913340601139</v>
      </c>
      <c r="AB54" s="156">
        <f t="shared" si="19"/>
        <v>0</v>
      </c>
      <c r="AC54" s="156">
        <f t="shared" si="19"/>
        <v>0</v>
      </c>
      <c r="AD54" s="156">
        <f t="shared" si="19"/>
        <v>0</v>
      </c>
    </row>
    <row r="55" spans="1:30" s="32" customFormat="1" ht="12.6" x14ac:dyDescent="0.25">
      <c r="A55" s="35"/>
      <c r="B55" s="35"/>
      <c r="E55" s="97"/>
      <c r="G55" s="97"/>
      <c r="H55" s="101"/>
      <c r="I55" s="97"/>
      <c r="J55" s="98"/>
      <c r="L55" s="38"/>
      <c r="M55" s="103"/>
      <c r="N55" s="108"/>
      <c r="O55" s="108"/>
      <c r="P55" s="108"/>
      <c r="Q55" s="108"/>
      <c r="R55" s="108"/>
      <c r="S55" s="108"/>
      <c r="T55" s="108"/>
      <c r="U55" s="108"/>
      <c r="V55" s="108"/>
      <c r="W55" s="108"/>
      <c r="X55" s="108"/>
      <c r="Y55" s="108"/>
      <c r="Z55" s="108"/>
      <c r="AA55" s="108"/>
      <c r="AB55" s="108"/>
      <c r="AC55" s="108"/>
      <c r="AD55" s="108"/>
    </row>
    <row r="56" spans="1:30" s="32" customFormat="1" ht="13.2" thickBot="1" x14ac:dyDescent="0.3">
      <c r="A56" s="35"/>
      <c r="B56" s="35"/>
      <c r="E56" s="97"/>
      <c r="G56" s="97"/>
      <c r="H56" s="101"/>
      <c r="I56" s="97"/>
      <c r="J56" s="98"/>
      <c r="L56" s="38"/>
      <c r="M56" s="103"/>
      <c r="N56" s="108"/>
      <c r="O56" s="108"/>
      <c r="P56" s="108"/>
      <c r="Q56" s="108"/>
      <c r="R56" s="108"/>
      <c r="S56" s="108"/>
      <c r="T56" s="108"/>
      <c r="U56" s="108"/>
      <c r="V56" s="108"/>
      <c r="W56" s="108"/>
      <c r="X56" s="108"/>
      <c r="Y56" s="108"/>
      <c r="Z56" s="108"/>
      <c r="AA56" s="108"/>
      <c r="AB56" s="108"/>
      <c r="AC56" s="108"/>
      <c r="AD56" s="108"/>
    </row>
    <row r="57" spans="1:30" ht="12.6" x14ac:dyDescent="0.25">
      <c r="B57" s="20"/>
      <c r="C57" s="20"/>
      <c r="D57" s="164" t="s">
        <v>296</v>
      </c>
      <c r="E57" s="165"/>
      <c r="F57" s="165"/>
      <c r="G57" s="165"/>
      <c r="H57" s="166"/>
      <c r="I57" s="165"/>
      <c r="J57" s="167"/>
      <c r="K57" s="165"/>
      <c r="L57" s="168"/>
      <c r="M57" s="165"/>
      <c r="N57" s="169"/>
      <c r="O57" s="169"/>
      <c r="P57" s="169"/>
      <c r="Q57" s="169"/>
      <c r="R57" s="169"/>
      <c r="S57" s="169"/>
      <c r="T57" s="169"/>
      <c r="U57" s="169"/>
      <c r="V57" s="169"/>
      <c r="W57" s="169"/>
      <c r="X57" s="169"/>
      <c r="Y57" s="169"/>
      <c r="Z57" s="169"/>
      <c r="AA57" s="169"/>
      <c r="AB57" s="169"/>
      <c r="AC57" s="169"/>
      <c r="AD57" s="169"/>
    </row>
    <row r="58" spans="1:30" s="32" customFormat="1" ht="12.6" x14ac:dyDescent="0.25">
      <c r="A58" s="35"/>
      <c r="B58" s="35"/>
      <c r="E58" s="97"/>
      <c r="G58" s="97"/>
      <c r="H58" s="101"/>
      <c r="I58" s="97"/>
      <c r="J58" s="98"/>
      <c r="L58" s="38"/>
      <c r="M58" s="103"/>
      <c r="N58" s="108"/>
      <c r="O58" s="108"/>
      <c r="P58" s="108"/>
      <c r="Q58" s="108"/>
      <c r="R58" s="108"/>
      <c r="S58" s="108"/>
      <c r="T58" s="108"/>
      <c r="U58" s="108"/>
      <c r="V58" s="108"/>
      <c r="W58" s="108"/>
      <c r="X58" s="108"/>
      <c r="Y58" s="108"/>
      <c r="Z58" s="108"/>
      <c r="AA58" s="108"/>
      <c r="AB58" s="108"/>
      <c r="AC58" s="108"/>
      <c r="AD58" s="108"/>
    </row>
    <row r="59" spans="1:30" s="32" customFormat="1" ht="12.6" x14ac:dyDescent="0.25">
      <c r="A59" s="139"/>
      <c r="B59" s="139"/>
      <c r="C59" s="139"/>
      <c r="D59" s="139"/>
      <c r="E59" s="140" t="s">
        <v>114</v>
      </c>
      <c r="F59" s="139"/>
      <c r="G59" s="139"/>
      <c r="H59" s="141"/>
      <c r="I59" s="139"/>
      <c r="J59" s="142"/>
      <c r="K59" s="139"/>
      <c r="L59" s="143"/>
      <c r="M59" s="141"/>
      <c r="N59" s="141"/>
      <c r="O59" s="141"/>
      <c r="P59" s="141"/>
      <c r="Q59" s="141"/>
      <c r="R59" s="141"/>
      <c r="S59" s="141"/>
      <c r="T59" s="141"/>
      <c r="U59" s="141"/>
      <c r="V59" s="141"/>
      <c r="W59" s="141"/>
      <c r="X59" s="141"/>
      <c r="Y59" s="141"/>
      <c r="Z59" s="141"/>
      <c r="AA59" s="141"/>
      <c r="AB59" s="141"/>
      <c r="AC59" s="141"/>
      <c r="AD59" s="141"/>
    </row>
    <row r="60" spans="1:30" s="32" customFormat="1" ht="12.6" x14ac:dyDescent="0.25">
      <c r="A60" s="139"/>
      <c r="B60" s="139"/>
      <c r="C60" s="139"/>
      <c r="D60" s="139"/>
      <c r="E60" s="139"/>
      <c r="F60" s="139" t="s">
        <v>91</v>
      </c>
      <c r="G60" s="139"/>
      <c r="H60" s="141"/>
      <c r="I60" s="139"/>
      <c r="J60" s="142" t="s">
        <v>1205</v>
      </c>
      <c r="K60" s="139"/>
      <c r="L60" s="143"/>
      <c r="M60" s="141"/>
      <c r="N60" s="141"/>
      <c r="O60" s="141"/>
      <c r="P60" s="141"/>
      <c r="Q60" s="141"/>
      <c r="R60" s="141"/>
      <c r="S60" s="141">
        <f>R62</f>
        <v>0</v>
      </c>
      <c r="T60" s="141">
        <f t="shared" ref="T60:AD60" si="20">S62</f>
        <v>0</v>
      </c>
      <c r="U60" s="141">
        <f t="shared" si="20"/>
        <v>0</v>
      </c>
      <c r="V60" s="141">
        <f t="shared" si="20"/>
        <v>0</v>
      </c>
      <c r="W60" s="141">
        <f t="shared" si="20"/>
        <v>0</v>
      </c>
      <c r="X60" s="141">
        <f t="shared" si="20"/>
        <v>0</v>
      </c>
      <c r="Y60" s="141">
        <f t="shared" si="20"/>
        <v>0</v>
      </c>
      <c r="Z60" s="141">
        <f t="shared" si="20"/>
        <v>0</v>
      </c>
      <c r="AA60" s="141">
        <f t="shared" si="20"/>
        <v>0</v>
      </c>
      <c r="AB60" s="141">
        <f t="shared" si="20"/>
        <v>0</v>
      </c>
      <c r="AC60" s="141">
        <f t="shared" si="20"/>
        <v>0</v>
      </c>
      <c r="AD60" s="141">
        <f t="shared" si="20"/>
        <v>0</v>
      </c>
    </row>
    <row r="61" spans="1:30" s="32" customFormat="1" ht="13.2" thickBot="1" x14ac:dyDescent="0.3">
      <c r="A61" s="139"/>
      <c r="B61" s="139"/>
      <c r="C61" s="139"/>
      <c r="D61" s="139"/>
      <c r="E61" s="139"/>
      <c r="F61" s="139" t="s">
        <v>116</v>
      </c>
      <c r="G61" s="139"/>
      <c r="H61" s="141"/>
      <c r="I61" s="139"/>
      <c r="J61" s="142" t="s">
        <v>1205</v>
      </c>
      <c r="K61" s="139"/>
      <c r="L61" s="358" t="s">
        <v>530</v>
      </c>
      <c r="M61" s="141"/>
      <c r="N61" s="141"/>
      <c r="O61" s="141"/>
      <c r="P61" s="141"/>
      <c r="Q61" s="141"/>
      <c r="R61" s="141"/>
      <c r="S61" s="141">
        <v>0</v>
      </c>
      <c r="T61" s="141">
        <v>0</v>
      </c>
      <c r="U61" s="141">
        <v>0</v>
      </c>
      <c r="V61" s="141">
        <v>0</v>
      </c>
      <c r="W61" s="141">
        <v>0</v>
      </c>
      <c r="X61" s="141">
        <v>0</v>
      </c>
      <c r="Y61" s="141">
        <v>0</v>
      </c>
      <c r="Z61" s="141">
        <v>0</v>
      </c>
      <c r="AA61" s="141">
        <v>0</v>
      </c>
      <c r="AB61" s="141">
        <v>0</v>
      </c>
      <c r="AC61" s="141">
        <v>0</v>
      </c>
      <c r="AD61" s="141">
        <v>0</v>
      </c>
    </row>
    <row r="62" spans="1:30" s="32" customFormat="1" ht="13.2" thickBot="1" x14ac:dyDescent="0.3">
      <c r="A62" s="139"/>
      <c r="B62" s="139"/>
      <c r="C62" s="139"/>
      <c r="D62" s="139"/>
      <c r="E62" s="139"/>
      <c r="F62" s="152" t="s">
        <v>95</v>
      </c>
      <c r="G62" s="152"/>
      <c r="H62" s="153"/>
      <c r="I62" s="152"/>
      <c r="J62" s="154" t="s">
        <v>1205</v>
      </c>
      <c r="K62" s="152"/>
      <c r="L62" s="155" t="s">
        <v>115</v>
      </c>
      <c r="M62" s="153"/>
      <c r="N62" s="153"/>
      <c r="O62" s="153"/>
      <c r="P62" s="153"/>
      <c r="Q62" s="156"/>
      <c r="R62" s="212">
        <v>0</v>
      </c>
      <c r="S62" s="212">
        <f>SUM(S60:S61)</f>
        <v>0</v>
      </c>
      <c r="T62" s="212">
        <f t="shared" ref="T62:AD62" si="21">SUM(T60:T61)</f>
        <v>0</v>
      </c>
      <c r="U62" s="212">
        <f t="shared" si="21"/>
        <v>0</v>
      </c>
      <c r="V62" s="212">
        <f t="shared" si="21"/>
        <v>0</v>
      </c>
      <c r="W62" s="212">
        <f t="shared" si="21"/>
        <v>0</v>
      </c>
      <c r="X62" s="212">
        <f t="shared" si="21"/>
        <v>0</v>
      </c>
      <c r="Y62" s="212">
        <f t="shared" si="21"/>
        <v>0</v>
      </c>
      <c r="Z62" s="212">
        <f t="shared" si="21"/>
        <v>0</v>
      </c>
      <c r="AA62" s="212">
        <f t="shared" si="21"/>
        <v>0</v>
      </c>
      <c r="AB62" s="212">
        <f t="shared" si="21"/>
        <v>0</v>
      </c>
      <c r="AC62" s="212">
        <f t="shared" si="21"/>
        <v>0</v>
      </c>
      <c r="AD62" s="212">
        <f t="shared" si="21"/>
        <v>0</v>
      </c>
    </row>
    <row r="63" spans="1:30" s="32" customFormat="1" ht="12.6" x14ac:dyDescent="0.25">
      <c r="A63" s="35"/>
      <c r="B63" s="35"/>
      <c r="E63" s="97"/>
      <c r="G63" s="97"/>
      <c r="H63" s="101"/>
      <c r="I63" s="97"/>
      <c r="J63" s="98"/>
      <c r="L63" s="38"/>
      <c r="M63" s="103"/>
      <c r="N63" s="108"/>
      <c r="O63" s="108"/>
      <c r="P63" s="108"/>
      <c r="Q63" s="108"/>
      <c r="R63" s="108"/>
      <c r="S63" s="101"/>
      <c r="T63" s="101"/>
      <c r="U63" s="108"/>
      <c r="V63" s="108"/>
      <c r="W63" s="108"/>
      <c r="X63" s="108"/>
      <c r="Y63" s="108"/>
      <c r="Z63" s="108"/>
      <c r="AA63" s="108"/>
      <c r="AB63" s="108"/>
      <c r="AC63" s="108"/>
      <c r="AD63" s="108"/>
    </row>
    <row r="64" spans="1:30" s="32" customFormat="1" ht="12.6" x14ac:dyDescent="0.25">
      <c r="A64" s="35"/>
      <c r="B64" s="35"/>
      <c r="E64" s="97"/>
      <c r="G64" s="97"/>
      <c r="H64" s="101"/>
      <c r="I64" s="97"/>
      <c r="J64" s="98"/>
      <c r="L64" s="38"/>
      <c r="M64" s="103"/>
      <c r="N64" s="108"/>
      <c r="O64" s="108"/>
      <c r="P64" s="108"/>
      <c r="Q64" s="108"/>
      <c r="R64" s="108"/>
      <c r="S64" s="108"/>
      <c r="T64" s="108"/>
      <c r="U64" s="108"/>
      <c r="V64" s="108"/>
      <c r="W64" s="108"/>
      <c r="X64" s="108"/>
      <c r="Y64" s="108"/>
      <c r="Z64" s="108"/>
      <c r="AA64" s="108"/>
      <c r="AB64" s="108"/>
      <c r="AC64" s="108"/>
      <c r="AD64" s="108"/>
    </row>
    <row r="65" spans="1:30" s="32" customFormat="1" ht="13.2" thickBot="1" x14ac:dyDescent="0.3">
      <c r="A65" s="35"/>
      <c r="B65" s="35"/>
      <c r="F65" s="97"/>
      <c r="G65" s="97"/>
      <c r="H65" s="101"/>
      <c r="I65" s="97"/>
      <c r="J65" s="142"/>
      <c r="L65" s="99"/>
      <c r="M65" s="103"/>
      <c r="N65" s="108"/>
      <c r="O65" s="108"/>
      <c r="P65" s="108"/>
      <c r="Q65" s="108"/>
      <c r="R65" s="141"/>
      <c r="S65" s="141"/>
      <c r="T65" s="141"/>
      <c r="U65" s="141"/>
      <c r="V65" s="141"/>
      <c r="W65" s="141"/>
      <c r="X65" s="141"/>
      <c r="Y65" s="141"/>
      <c r="Z65" s="141"/>
      <c r="AA65" s="141"/>
      <c r="AB65" s="141"/>
      <c r="AC65" s="141"/>
      <c r="AD65" s="141"/>
    </row>
    <row r="66" spans="1:30" ht="12.6" thickTop="1" x14ac:dyDescent="0.2">
      <c r="B66" s="20"/>
      <c r="C66" s="336" t="s">
        <v>22</v>
      </c>
      <c r="D66" s="337"/>
      <c r="E66" s="338"/>
      <c r="F66" s="338"/>
      <c r="G66" s="338"/>
      <c r="H66" s="338"/>
      <c r="I66" s="338"/>
      <c r="J66" s="340"/>
      <c r="K66" s="338"/>
      <c r="L66" s="342"/>
      <c r="M66" s="338"/>
      <c r="N66" s="343"/>
      <c r="O66" s="343"/>
      <c r="P66" s="343"/>
      <c r="Q66" s="343"/>
      <c r="R66" s="343"/>
      <c r="S66" s="343"/>
      <c r="T66" s="343"/>
      <c r="U66" s="343"/>
      <c r="V66" s="343"/>
      <c r="W66" s="343"/>
      <c r="X66" s="343"/>
      <c r="Y66" s="343"/>
      <c r="Z66" s="343"/>
      <c r="AA66" s="343"/>
      <c r="AB66" s="343"/>
      <c r="AC66" s="343"/>
      <c r="AD66" s="343"/>
    </row>
    <row r="67" spans="1:30" s="32" customFormat="1" ht="13.2" thickBot="1" x14ac:dyDescent="0.3">
      <c r="A67" s="35"/>
      <c r="B67" s="35"/>
      <c r="E67" s="97"/>
      <c r="G67" s="97"/>
      <c r="H67" s="101"/>
      <c r="I67" s="97"/>
      <c r="J67" s="98"/>
      <c r="L67" s="38"/>
      <c r="M67" s="103"/>
      <c r="N67" s="108"/>
      <c r="O67" s="108"/>
      <c r="P67" s="108"/>
      <c r="Q67" s="108"/>
      <c r="R67" s="108"/>
      <c r="S67" s="108"/>
      <c r="T67" s="108"/>
      <c r="U67" s="108"/>
      <c r="V67" s="108"/>
      <c r="W67" s="108"/>
      <c r="X67" s="108"/>
      <c r="Y67" s="108"/>
      <c r="Z67" s="108"/>
      <c r="AA67" s="108"/>
      <c r="AB67" s="108"/>
      <c r="AC67" s="108"/>
      <c r="AD67" s="108"/>
    </row>
    <row r="68" spans="1:30" ht="12.6" x14ac:dyDescent="0.25">
      <c r="B68" s="20"/>
      <c r="C68" s="20"/>
      <c r="D68" s="164" t="s">
        <v>297</v>
      </c>
      <c r="E68" s="165"/>
      <c r="F68" s="165"/>
      <c r="G68" s="165"/>
      <c r="H68" s="166"/>
      <c r="I68" s="165"/>
      <c r="J68" s="167"/>
      <c r="K68" s="165"/>
      <c r="L68" s="168"/>
      <c r="M68" s="165"/>
      <c r="N68" s="169"/>
      <c r="O68" s="169"/>
      <c r="P68" s="169"/>
      <c r="Q68" s="169"/>
      <c r="R68" s="169"/>
      <c r="S68" s="169"/>
      <c r="T68" s="169"/>
      <c r="U68" s="169"/>
      <c r="V68" s="169"/>
      <c r="W68" s="169"/>
      <c r="X68" s="169"/>
      <c r="Y68" s="169"/>
      <c r="Z68" s="169"/>
      <c r="AA68" s="169"/>
      <c r="AB68" s="169"/>
      <c r="AC68" s="169"/>
      <c r="AD68" s="169"/>
    </row>
    <row r="69" spans="1:30" s="32" customFormat="1" ht="12.6" x14ac:dyDescent="0.25">
      <c r="A69" s="35"/>
      <c r="B69" s="35"/>
      <c r="E69" s="97"/>
      <c r="G69" s="97"/>
      <c r="H69" s="101"/>
      <c r="I69" s="97"/>
      <c r="J69" s="98"/>
      <c r="L69" s="38"/>
      <c r="M69" s="103"/>
      <c r="N69" s="108"/>
      <c r="O69" s="108"/>
      <c r="P69" s="108"/>
      <c r="Q69" s="108"/>
      <c r="R69" s="108"/>
      <c r="S69" s="108"/>
      <c r="T69" s="108"/>
      <c r="U69" s="108"/>
      <c r="V69" s="108"/>
      <c r="W69" s="108"/>
      <c r="X69" s="108"/>
      <c r="Y69" s="108"/>
      <c r="Z69" s="108"/>
      <c r="AA69" s="108"/>
      <c r="AB69" s="108"/>
      <c r="AC69" s="108"/>
      <c r="AD69" s="108"/>
    </row>
    <row r="70" spans="1:30" s="32" customFormat="1" ht="12.6" x14ac:dyDescent="0.25">
      <c r="A70" s="35"/>
      <c r="B70" s="35"/>
      <c r="E70" s="97"/>
      <c r="F70" s="32" t="s">
        <v>517</v>
      </c>
      <c r="G70" s="97"/>
      <c r="H70" s="101"/>
      <c r="I70" s="97"/>
      <c r="J70" s="98"/>
      <c r="L70" s="38"/>
      <c r="M70" s="103"/>
      <c r="N70" s="108"/>
      <c r="O70" s="108"/>
      <c r="P70" s="108"/>
      <c r="Q70" s="108"/>
      <c r="R70" s="108"/>
      <c r="S70" s="108"/>
      <c r="T70" s="108"/>
      <c r="U70" s="108"/>
      <c r="V70" s="108"/>
      <c r="W70" s="108"/>
      <c r="X70" s="108"/>
      <c r="Y70" s="108"/>
      <c r="Z70" s="108"/>
      <c r="AA70" s="108"/>
      <c r="AB70" s="108"/>
      <c r="AC70" s="108"/>
      <c r="AD70" s="108"/>
    </row>
    <row r="71" spans="1:30" s="32" customFormat="1" ht="12.6" x14ac:dyDescent="0.25">
      <c r="A71" s="35"/>
      <c r="B71" s="35"/>
      <c r="E71" s="97"/>
      <c r="F71" s="160" t="s">
        <v>70</v>
      </c>
      <c r="G71" s="160"/>
      <c r="H71" s="209"/>
      <c r="I71" s="160"/>
      <c r="J71" s="213" t="s">
        <v>1205</v>
      </c>
      <c r="L71" s="38"/>
      <c r="M71" s="103"/>
      <c r="N71" s="108"/>
      <c r="O71" s="108"/>
      <c r="P71" s="101"/>
      <c r="Q71" s="101">
        <f>IS_Revenue</f>
        <v>446437</v>
      </c>
      <c r="R71" s="101">
        <f>IS_Revenue</f>
        <v>500924</v>
      </c>
      <c r="S71" s="209">
        <f t="shared" ref="S71:AD71" si="22">IS_Revenue</f>
        <v>583515.59155405359</v>
      </c>
      <c r="T71" s="209">
        <f t="shared" si="22"/>
        <v>685344.872080573</v>
      </c>
      <c r="U71" s="209">
        <f t="shared" si="22"/>
        <v>812190.4820599329</v>
      </c>
      <c r="V71" s="209">
        <f t="shared" si="22"/>
        <v>971824.79453884356</v>
      </c>
      <c r="W71" s="209">
        <f t="shared" si="22"/>
        <v>1174742.6343971477</v>
      </c>
      <c r="X71" s="209">
        <f t="shared" si="22"/>
        <v>1435162.002211099</v>
      </c>
      <c r="Y71" s="209">
        <f t="shared" si="22"/>
        <v>1772399.071436577</v>
      </c>
      <c r="Z71" s="209">
        <f t="shared" si="22"/>
        <v>2212758.2734427336</v>
      </c>
      <c r="AA71" s="209">
        <f t="shared" si="22"/>
        <v>2792131.3709527845</v>
      </c>
      <c r="AB71" s="209">
        <f t="shared" si="22"/>
        <v>3559572.5330697442</v>
      </c>
      <c r="AC71" s="209">
        <f t="shared" si="22"/>
        <v>4582217.1209917394</v>
      </c>
      <c r="AD71" s="209">
        <f t="shared" si="22"/>
        <v>5952050.5810853578</v>
      </c>
    </row>
    <row r="72" spans="1:30" s="32" customFormat="1" ht="12.6" x14ac:dyDescent="0.25">
      <c r="A72" s="35"/>
      <c r="B72" s="35"/>
      <c r="E72" s="97"/>
      <c r="F72" s="160" t="s">
        <v>119</v>
      </c>
      <c r="G72" s="160"/>
      <c r="H72" s="209"/>
      <c r="I72" s="160"/>
      <c r="J72" s="213" t="s">
        <v>1205</v>
      </c>
      <c r="L72" s="38"/>
      <c r="M72" s="103"/>
      <c r="N72" s="108"/>
      <c r="O72" s="108"/>
      <c r="P72" s="101"/>
      <c r="Q72" s="101">
        <f t="shared" ref="Q72" si="23">Q73/Q71*365</f>
        <v>67.247147973846253</v>
      </c>
      <c r="R72" s="101">
        <f>R73/R71*365</f>
        <v>57.567265692999342</v>
      </c>
      <c r="S72" s="101">
        <f t="shared" ref="S72:AD72" si="24">Inputs_Receivables_Days</f>
        <v>62.407206833422798</v>
      </c>
      <c r="T72" s="101">
        <f t="shared" si="24"/>
        <v>62.407206833422798</v>
      </c>
      <c r="U72" s="101">
        <f t="shared" si="24"/>
        <v>62.407206833422798</v>
      </c>
      <c r="V72" s="101">
        <f t="shared" si="24"/>
        <v>62.407206833422798</v>
      </c>
      <c r="W72" s="101">
        <f t="shared" si="24"/>
        <v>62.407206833422798</v>
      </c>
      <c r="X72" s="101">
        <f t="shared" si="24"/>
        <v>62.407206833422798</v>
      </c>
      <c r="Y72" s="101">
        <f t="shared" si="24"/>
        <v>62.407206833422798</v>
      </c>
      <c r="Z72" s="101">
        <f t="shared" si="24"/>
        <v>62.407206833422798</v>
      </c>
      <c r="AA72" s="101">
        <f t="shared" si="24"/>
        <v>62.407206833422798</v>
      </c>
      <c r="AB72" s="101">
        <f t="shared" si="24"/>
        <v>62.407206833422798</v>
      </c>
      <c r="AC72" s="101">
        <f t="shared" si="24"/>
        <v>62.407206833422798</v>
      </c>
      <c r="AD72" s="101">
        <f t="shared" si="24"/>
        <v>62.407206833422798</v>
      </c>
    </row>
    <row r="73" spans="1:30" s="32" customFormat="1" ht="13.2" thickBot="1" x14ac:dyDescent="0.3">
      <c r="A73" s="35"/>
      <c r="B73" s="35"/>
      <c r="E73" s="97"/>
      <c r="F73" s="215" t="s">
        <v>95</v>
      </c>
      <c r="G73" s="161"/>
      <c r="H73" s="216"/>
      <c r="I73" s="161"/>
      <c r="J73" s="217" t="s">
        <v>1205</v>
      </c>
      <c r="K73" s="161"/>
      <c r="L73" s="218" t="s">
        <v>1000</v>
      </c>
      <c r="M73" s="216"/>
      <c r="N73" s="216"/>
      <c r="O73" s="216"/>
      <c r="P73" s="212"/>
      <c r="Q73" s="212">
        <f>BS_Trade_Receivables</f>
        <v>82251</v>
      </c>
      <c r="R73" s="212">
        <f>BS_Trade_Receivables</f>
        <v>79005</v>
      </c>
      <c r="S73" s="212">
        <f>(S71)*(S72/365)</f>
        <v>99768.707431892821</v>
      </c>
      <c r="T73" s="212">
        <f>(T71)*(T72/365)</f>
        <v>117179.34023056988</v>
      </c>
      <c r="U73" s="212">
        <f t="shared" ref="U73:AD73" si="25">(U71)*(U72/365)</f>
        <v>138867.23123849754</v>
      </c>
      <c r="V73" s="212">
        <f t="shared" si="25"/>
        <v>166161.290297628</v>
      </c>
      <c r="W73" s="212">
        <f t="shared" si="25"/>
        <v>200855.9083859254</v>
      </c>
      <c r="X73" s="212">
        <f t="shared" si="25"/>
        <v>245382.0600313897</v>
      </c>
      <c r="Y73" s="212">
        <f t="shared" si="25"/>
        <v>303042.39847262733</v>
      </c>
      <c r="Z73" s="212">
        <f t="shared" si="25"/>
        <v>378334.41984413203</v>
      </c>
      <c r="AA73" s="212">
        <f t="shared" si="25"/>
        <v>477394.8492414761</v>
      </c>
      <c r="AB73" s="212">
        <f t="shared" si="25"/>
        <v>608610.90221877873</v>
      </c>
      <c r="AC73" s="212">
        <f t="shared" si="25"/>
        <v>783461.292124336</v>
      </c>
      <c r="AD73" s="212">
        <f t="shared" si="25"/>
        <v>1017673.5662925707</v>
      </c>
    </row>
    <row r="74" spans="1:30" s="32" customFormat="1" ht="12.6" x14ac:dyDescent="0.25">
      <c r="A74" s="35"/>
      <c r="B74" s="35"/>
      <c r="E74" s="97"/>
      <c r="F74" s="160" t="s">
        <v>1009</v>
      </c>
      <c r="G74" s="160"/>
      <c r="H74" s="209"/>
      <c r="I74" s="160"/>
      <c r="J74" s="213"/>
      <c r="K74" s="160"/>
      <c r="L74" s="99" t="s">
        <v>1001</v>
      </c>
      <c r="M74" s="103"/>
      <c r="N74" s="108"/>
      <c r="O74" s="108"/>
      <c r="P74" s="108"/>
      <c r="Q74" s="108"/>
      <c r="R74" s="209"/>
      <c r="S74" s="209">
        <f t="shared" ref="S74" si="26">R73-S73</f>
        <v>-20763.707431892821</v>
      </c>
      <c r="T74" s="209">
        <f t="shared" ref="T74" si="27">S73-T73</f>
        <v>-17410.632798677063</v>
      </c>
      <c r="U74" s="209">
        <f t="shared" ref="U74" si="28">T73-U73</f>
        <v>-21687.891007927654</v>
      </c>
      <c r="V74" s="209">
        <f t="shared" ref="V74" si="29">U73-V73</f>
        <v>-27294.059059130464</v>
      </c>
      <c r="W74" s="209">
        <f t="shared" ref="W74" si="30">V73-W73</f>
        <v>-34694.6180882974</v>
      </c>
      <c r="X74" s="209">
        <f t="shared" ref="X74" si="31">W73-X73</f>
        <v>-44526.151645464299</v>
      </c>
      <c r="Y74" s="209">
        <f t="shared" ref="Y74" si="32">X73-Y73</f>
        <v>-57660.338441237633</v>
      </c>
      <c r="Z74" s="209">
        <f t="shared" ref="Z74" si="33">Y73-Z73</f>
        <v>-75292.021371504699</v>
      </c>
      <c r="AA74" s="209">
        <f t="shared" ref="AA74" si="34">Z73-AA73</f>
        <v>-99060.429397344065</v>
      </c>
      <c r="AB74" s="209">
        <f t="shared" ref="AB74" si="35">AA73-AB73</f>
        <v>-131216.05297730264</v>
      </c>
      <c r="AC74" s="209">
        <f t="shared" ref="AC74" si="36">AB73-AC73</f>
        <v>-174850.38990555727</v>
      </c>
      <c r="AD74" s="209">
        <f t="shared" ref="AD74" si="37">AC73-AD73</f>
        <v>-234212.27416823467</v>
      </c>
    </row>
    <row r="75" spans="1:30" s="32" customFormat="1" ht="13.2" thickBot="1" x14ac:dyDescent="0.3">
      <c r="A75" s="35"/>
      <c r="B75" s="35"/>
      <c r="E75" s="97"/>
      <c r="F75" s="159"/>
      <c r="G75" s="160"/>
      <c r="H75" s="209"/>
      <c r="I75" s="160"/>
      <c r="J75" s="213"/>
      <c r="K75" s="160"/>
      <c r="L75" s="99"/>
      <c r="M75" s="103"/>
      <c r="N75" s="108"/>
      <c r="O75" s="108"/>
      <c r="P75" s="108"/>
      <c r="Q75" s="108"/>
      <c r="R75" s="209"/>
      <c r="S75" s="209"/>
      <c r="T75" s="209"/>
      <c r="U75" s="209"/>
      <c r="V75" s="209"/>
      <c r="W75" s="209"/>
      <c r="X75" s="209"/>
      <c r="Y75" s="209"/>
      <c r="Z75" s="209"/>
      <c r="AA75" s="209"/>
      <c r="AB75" s="209"/>
      <c r="AC75" s="209"/>
      <c r="AD75" s="209"/>
    </row>
    <row r="76" spans="1:30" ht="12.6" x14ac:dyDescent="0.25">
      <c r="B76" s="20"/>
      <c r="C76" s="20"/>
      <c r="D76" s="164" t="s">
        <v>920</v>
      </c>
      <c r="E76" s="165"/>
      <c r="F76" s="165"/>
      <c r="G76" s="165"/>
      <c r="H76" s="166"/>
      <c r="I76" s="165"/>
      <c r="J76" s="167"/>
      <c r="K76" s="165"/>
      <c r="L76" s="168"/>
      <c r="M76" s="165"/>
      <c r="N76" s="169"/>
      <c r="O76" s="169"/>
      <c r="P76" s="169"/>
      <c r="Q76" s="169"/>
      <c r="R76" s="169"/>
      <c r="S76" s="169"/>
      <c r="T76" s="169"/>
      <c r="U76" s="169"/>
      <c r="V76" s="169"/>
      <c r="W76" s="169"/>
      <c r="X76" s="169"/>
      <c r="Y76" s="169"/>
      <c r="Z76" s="169"/>
      <c r="AA76" s="169"/>
      <c r="AB76" s="169"/>
      <c r="AC76" s="169"/>
      <c r="AD76" s="169"/>
    </row>
    <row r="77" spans="1:30" s="32" customFormat="1" ht="12.6" x14ac:dyDescent="0.25">
      <c r="A77" s="35"/>
      <c r="B77" s="35"/>
      <c r="E77" s="97"/>
      <c r="G77" s="97"/>
      <c r="H77" s="101"/>
      <c r="I77" s="97"/>
      <c r="J77" s="98"/>
      <c r="L77" s="38"/>
      <c r="M77" s="103"/>
      <c r="N77" s="108"/>
      <c r="O77" s="108"/>
      <c r="P77" s="108"/>
      <c r="Q77" s="108"/>
      <c r="R77" s="108"/>
      <c r="S77" s="108"/>
      <c r="T77" s="108"/>
      <c r="U77" s="108"/>
      <c r="V77" s="108"/>
      <c r="W77" s="108"/>
      <c r="X77" s="108"/>
      <c r="Y77" s="108"/>
      <c r="Z77" s="108"/>
      <c r="AA77" s="108"/>
      <c r="AB77" s="108"/>
      <c r="AC77" s="108"/>
      <c r="AD77" s="108"/>
    </row>
    <row r="78" spans="1:30" s="32" customFormat="1" ht="12.6" x14ac:dyDescent="0.25">
      <c r="A78" s="35"/>
      <c r="B78" s="35"/>
      <c r="E78" s="97"/>
      <c r="F78" s="32" t="s">
        <v>1002</v>
      </c>
      <c r="G78" s="97"/>
      <c r="H78" s="101"/>
      <c r="I78" s="97"/>
      <c r="J78" s="98"/>
      <c r="L78" s="38"/>
      <c r="M78" s="103"/>
      <c r="N78" s="108"/>
      <c r="O78" s="108"/>
      <c r="P78" s="108"/>
      <c r="Q78" s="108"/>
      <c r="R78" s="108"/>
      <c r="S78" s="108"/>
      <c r="T78" s="108"/>
      <c r="U78" s="108"/>
      <c r="V78" s="108"/>
      <c r="W78" s="108"/>
      <c r="X78" s="108"/>
      <c r="Y78" s="108"/>
      <c r="Z78" s="108"/>
      <c r="AA78" s="108"/>
      <c r="AB78" s="108"/>
      <c r="AC78" s="108"/>
      <c r="AD78" s="108"/>
    </row>
    <row r="79" spans="1:30" s="32" customFormat="1" ht="12.6" x14ac:dyDescent="0.25">
      <c r="A79" s="35"/>
      <c r="B79" s="35"/>
      <c r="E79" s="97"/>
      <c r="F79" s="160" t="s">
        <v>1003</v>
      </c>
      <c r="G79" s="160"/>
      <c r="H79" s="209"/>
      <c r="I79" s="160"/>
      <c r="J79" s="213" t="s">
        <v>1205</v>
      </c>
      <c r="L79" s="38"/>
      <c r="M79" s="103"/>
      <c r="N79" s="108"/>
      <c r="O79" s="108"/>
      <c r="P79" s="101"/>
      <c r="Q79" s="101">
        <f t="shared" ref="Q79:AD79" si="38">-IS_Direct_Costs</f>
        <v>264741</v>
      </c>
      <c r="R79" s="101">
        <f t="shared" si="38"/>
        <v>319123</v>
      </c>
      <c r="S79" s="101">
        <f t="shared" si="38"/>
        <v>402912.56504650402</v>
      </c>
      <c r="T79" s="101">
        <f t="shared" si="38"/>
        <v>473224.81926495762</v>
      </c>
      <c r="U79" s="101">
        <f t="shared" si="38"/>
        <v>560810.63671596907</v>
      </c>
      <c r="V79" s="101">
        <f t="shared" si="38"/>
        <v>671036.77504248021</v>
      </c>
      <c r="W79" s="101">
        <f t="shared" si="38"/>
        <v>811149.82177917811</v>
      </c>
      <c r="X79" s="101">
        <f t="shared" si="38"/>
        <v>990967.18568930472</v>
      </c>
      <c r="Y79" s="101">
        <f t="shared" si="38"/>
        <v>1223826.520653306</v>
      </c>
      <c r="Z79" s="101">
        <f t="shared" si="38"/>
        <v>1527890.8133478679</v>
      </c>
      <c r="AA79" s="101">
        <f t="shared" si="38"/>
        <v>1927943.0214045718</v>
      </c>
      <c r="AB79" s="101">
        <f t="shared" si="38"/>
        <v>2457854.6323819291</v>
      </c>
      <c r="AC79" s="101">
        <f t="shared" si="38"/>
        <v>3163982.0435676635</v>
      </c>
      <c r="AD79" s="101">
        <f t="shared" si="38"/>
        <v>4109840.4252142156</v>
      </c>
    </row>
    <row r="80" spans="1:30" s="32" customFormat="1" ht="12.6" x14ac:dyDescent="0.25">
      <c r="A80" s="35"/>
      <c r="B80" s="35"/>
      <c r="E80" s="97"/>
      <c r="F80" s="160" t="s">
        <v>1004</v>
      </c>
      <c r="G80" s="160"/>
      <c r="H80" s="209"/>
      <c r="I80" s="160"/>
      <c r="J80" s="213" t="s">
        <v>1205</v>
      </c>
      <c r="L80" s="38"/>
      <c r="M80" s="103"/>
      <c r="N80" s="108"/>
      <c r="O80" s="108"/>
      <c r="P80" s="101"/>
      <c r="Q80" s="101">
        <f t="shared" ref="Q80" si="39">Q81/Q79*365</f>
        <v>14.819710585062381</v>
      </c>
      <c r="R80" s="101">
        <f>R81/R79*365</f>
        <v>15.537974386051774</v>
      </c>
      <c r="S80" s="101">
        <f t="shared" ref="S80:AD80" si="40">Inputs_Inventory_Days</f>
        <v>15.178842485557077</v>
      </c>
      <c r="T80" s="101">
        <f t="shared" si="40"/>
        <v>15.178842485557077</v>
      </c>
      <c r="U80" s="101">
        <f t="shared" si="40"/>
        <v>15.178842485557077</v>
      </c>
      <c r="V80" s="101">
        <f t="shared" si="40"/>
        <v>15.178842485557077</v>
      </c>
      <c r="W80" s="101">
        <f t="shared" si="40"/>
        <v>15.178842485557077</v>
      </c>
      <c r="X80" s="101">
        <f t="shared" si="40"/>
        <v>15.178842485557077</v>
      </c>
      <c r="Y80" s="101">
        <f t="shared" si="40"/>
        <v>15.178842485557077</v>
      </c>
      <c r="Z80" s="101">
        <f t="shared" si="40"/>
        <v>15.178842485557077</v>
      </c>
      <c r="AA80" s="101">
        <f t="shared" si="40"/>
        <v>15.178842485557077</v>
      </c>
      <c r="AB80" s="101">
        <f t="shared" si="40"/>
        <v>15.178842485557077</v>
      </c>
      <c r="AC80" s="101">
        <f t="shared" si="40"/>
        <v>15.178842485557077</v>
      </c>
      <c r="AD80" s="101">
        <f t="shared" si="40"/>
        <v>15.178842485557077</v>
      </c>
    </row>
    <row r="81" spans="1:30" s="32" customFormat="1" ht="13.2" thickBot="1" x14ac:dyDescent="0.3">
      <c r="A81" s="35"/>
      <c r="B81" s="35"/>
      <c r="E81" s="97"/>
      <c r="F81" s="215" t="s">
        <v>95</v>
      </c>
      <c r="G81" s="161"/>
      <c r="H81" s="216"/>
      <c r="I81" s="161"/>
      <c r="J81" s="217" t="s">
        <v>1205</v>
      </c>
      <c r="K81" s="161"/>
      <c r="L81" s="218" t="s">
        <v>1005</v>
      </c>
      <c r="M81" s="216"/>
      <c r="N81" s="216"/>
      <c r="O81" s="216"/>
      <c r="P81" s="212"/>
      <c r="Q81" s="212">
        <f>BS_Inventories</f>
        <v>10749</v>
      </c>
      <c r="R81" s="212">
        <f>BS_Inventories</f>
        <v>13585</v>
      </c>
      <c r="S81" s="212">
        <f>(S79)*(S80/365)</f>
        <v>16755.469480253847</v>
      </c>
      <c r="T81" s="212">
        <f>(T79)*(T80/365)</f>
        <v>19679.465731175365</v>
      </c>
      <c r="U81" s="212">
        <f t="shared" ref="U81:AD81" si="41">(U79)*(U80/365)</f>
        <v>23321.798134073058</v>
      </c>
      <c r="V81" s="212">
        <f t="shared" si="41"/>
        <v>27905.647973660289</v>
      </c>
      <c r="W81" s="212">
        <f t="shared" si="41"/>
        <v>33732.370895818742</v>
      </c>
      <c r="X81" s="212">
        <f t="shared" si="41"/>
        <v>41210.232383380127</v>
      </c>
      <c r="Y81" s="212">
        <f t="shared" si="41"/>
        <v>50893.890374366842</v>
      </c>
      <c r="Z81" s="212">
        <f t="shared" si="41"/>
        <v>63538.66846832048</v>
      </c>
      <c r="AA81" s="212">
        <f t="shared" si="41"/>
        <v>80175.187515147918</v>
      </c>
      <c r="AB81" s="212">
        <f t="shared" si="41"/>
        <v>102212.02278718383</v>
      </c>
      <c r="AC81" s="212">
        <f t="shared" si="41"/>
        <v>131576.94538751931</v>
      </c>
      <c r="AD81" s="212">
        <f t="shared" si="41"/>
        <v>170911.2889180863</v>
      </c>
    </row>
    <row r="82" spans="1:30" s="32" customFormat="1" ht="12.6" x14ac:dyDescent="0.25">
      <c r="A82" s="35"/>
      <c r="B82" s="35"/>
      <c r="E82" s="97"/>
      <c r="F82" s="160" t="s">
        <v>118</v>
      </c>
      <c r="G82" s="160"/>
      <c r="H82" s="209"/>
      <c r="I82" s="160"/>
      <c r="J82" s="213"/>
      <c r="K82" s="160"/>
      <c r="L82" s="99" t="s">
        <v>1006</v>
      </c>
      <c r="M82" s="103"/>
      <c r="N82" s="108"/>
      <c r="O82" s="108"/>
      <c r="P82" s="108"/>
      <c r="Q82" s="108"/>
      <c r="R82" s="209"/>
      <c r="S82" s="209">
        <f t="shared" ref="S82" si="42">R81-S81</f>
        <v>-3170.469480253847</v>
      </c>
      <c r="T82" s="209">
        <f t="shared" ref="T82" si="43">S81-T81</f>
        <v>-2923.9962509215184</v>
      </c>
      <c r="U82" s="209">
        <f t="shared" ref="U82" si="44">T81-U81</f>
        <v>-3642.3324028976931</v>
      </c>
      <c r="V82" s="209">
        <f t="shared" ref="V82" si="45">U81-V81</f>
        <v>-4583.8498395872302</v>
      </c>
      <c r="W82" s="209">
        <f t="shared" ref="W82" si="46">V81-W81</f>
        <v>-5826.722922158453</v>
      </c>
      <c r="X82" s="209">
        <f t="shared" ref="X82" si="47">W81-X81</f>
        <v>-7477.8614875613857</v>
      </c>
      <c r="Y82" s="209">
        <f t="shared" ref="Y82" si="48">X81-Y81</f>
        <v>-9683.6579909867141</v>
      </c>
      <c r="Z82" s="209">
        <f t="shared" ref="Z82" si="49">Y81-Z81</f>
        <v>-12644.778093953639</v>
      </c>
      <c r="AA82" s="209">
        <f t="shared" ref="AA82" si="50">Z81-AA81</f>
        <v>-16636.519046827438</v>
      </c>
      <c r="AB82" s="209">
        <f t="shared" ref="AB82" si="51">AA81-AB81</f>
        <v>-22036.835272035911</v>
      </c>
      <c r="AC82" s="209">
        <f t="shared" ref="AC82" si="52">AB81-AC81</f>
        <v>-29364.922600335485</v>
      </c>
      <c r="AD82" s="209">
        <f t="shared" ref="AD82" si="53">AC81-AD81</f>
        <v>-39334.343530566985</v>
      </c>
    </row>
    <row r="83" spans="1:30" s="32" customFormat="1" ht="13.2" thickBot="1" x14ac:dyDescent="0.3">
      <c r="A83" s="35"/>
      <c r="B83" s="35"/>
      <c r="E83" s="97"/>
      <c r="F83" s="97"/>
      <c r="G83" s="97"/>
      <c r="H83" s="101"/>
      <c r="I83" s="97"/>
      <c r="J83" s="98"/>
      <c r="L83" s="99"/>
      <c r="M83" s="103"/>
      <c r="N83" s="108"/>
      <c r="O83" s="108"/>
      <c r="P83" s="108"/>
      <c r="Q83" s="108"/>
      <c r="R83" s="209"/>
      <c r="S83" s="209"/>
      <c r="T83" s="209"/>
      <c r="U83" s="209"/>
      <c r="V83" s="209"/>
      <c r="W83" s="209"/>
      <c r="X83" s="209"/>
      <c r="Y83" s="209"/>
      <c r="Z83" s="209"/>
      <c r="AA83" s="209"/>
      <c r="AB83" s="209"/>
      <c r="AC83" s="209"/>
      <c r="AD83" s="209"/>
    </row>
    <row r="84" spans="1:30" ht="12.6" x14ac:dyDescent="0.25">
      <c r="B84" s="20"/>
      <c r="C84" s="20"/>
      <c r="D84" s="164" t="s">
        <v>837</v>
      </c>
      <c r="E84" s="165"/>
      <c r="F84" s="165"/>
      <c r="G84" s="165"/>
      <c r="H84" s="166"/>
      <c r="I84" s="165"/>
      <c r="J84" s="167"/>
      <c r="K84" s="165"/>
      <c r="L84" s="168"/>
      <c r="M84" s="165"/>
      <c r="N84" s="169"/>
      <c r="O84" s="169"/>
      <c r="P84" s="169"/>
      <c r="Q84" s="169"/>
      <c r="R84" s="169"/>
      <c r="S84" s="169"/>
      <c r="T84" s="169"/>
      <c r="U84" s="169"/>
      <c r="V84" s="169"/>
      <c r="W84" s="169"/>
      <c r="X84" s="169"/>
      <c r="Y84" s="169"/>
      <c r="Z84" s="169"/>
      <c r="AA84" s="169"/>
      <c r="AB84" s="169"/>
      <c r="AC84" s="169"/>
      <c r="AD84" s="169"/>
    </row>
    <row r="85" spans="1:30" s="32" customFormat="1" ht="12.6" x14ac:dyDescent="0.25">
      <c r="A85" s="35"/>
      <c r="B85" s="35"/>
      <c r="E85" s="97"/>
      <c r="G85" s="97"/>
      <c r="H85" s="101"/>
      <c r="I85" s="97"/>
      <c r="J85" s="98"/>
      <c r="L85" s="38"/>
      <c r="M85" s="103"/>
      <c r="N85" s="108"/>
      <c r="O85" s="108"/>
      <c r="P85" s="108"/>
      <c r="Q85" s="108"/>
      <c r="R85" s="108"/>
      <c r="S85" s="108"/>
      <c r="T85" s="108"/>
      <c r="U85" s="108"/>
      <c r="V85" s="108"/>
      <c r="W85" s="108"/>
      <c r="X85" s="108"/>
      <c r="Y85" s="108"/>
      <c r="Z85" s="108"/>
      <c r="AA85" s="108"/>
      <c r="AB85" s="108"/>
      <c r="AC85" s="108"/>
      <c r="AD85" s="108"/>
    </row>
    <row r="86" spans="1:30" s="32" customFormat="1" ht="12.6" x14ac:dyDescent="0.25">
      <c r="A86" s="35"/>
      <c r="B86" s="35"/>
      <c r="E86" s="97"/>
      <c r="F86" s="32" t="s">
        <v>517</v>
      </c>
      <c r="G86" s="97"/>
      <c r="H86" s="101"/>
      <c r="I86" s="97"/>
      <c r="J86" s="98"/>
      <c r="L86" s="38"/>
      <c r="M86" s="103"/>
      <c r="N86" s="108"/>
      <c r="O86" s="108"/>
      <c r="P86" s="108"/>
      <c r="Q86" s="108"/>
      <c r="R86" s="108"/>
      <c r="S86" s="108"/>
      <c r="T86" s="108"/>
      <c r="U86" s="108"/>
      <c r="V86" s="108"/>
      <c r="W86" s="108"/>
      <c r="X86" s="108"/>
      <c r="Y86" s="108"/>
      <c r="Z86" s="108"/>
      <c r="AA86" s="108"/>
      <c r="AB86" s="108"/>
      <c r="AC86" s="108"/>
      <c r="AD86" s="108"/>
    </row>
    <row r="87" spans="1:30" s="32" customFormat="1" ht="12.6" x14ac:dyDescent="0.25">
      <c r="A87" s="35"/>
      <c r="B87" s="35"/>
      <c r="E87" s="97"/>
      <c r="F87" s="160" t="s">
        <v>70</v>
      </c>
      <c r="G87" s="160"/>
      <c r="H87" s="209"/>
      <c r="I87" s="160"/>
      <c r="J87" s="213" t="s">
        <v>1205</v>
      </c>
      <c r="L87" s="38"/>
      <c r="M87" s="103"/>
      <c r="N87" s="108"/>
      <c r="O87" s="108"/>
      <c r="P87" s="101"/>
      <c r="Q87" s="101">
        <f>IS_Revenue</f>
        <v>446437</v>
      </c>
      <c r="R87" s="101">
        <f>IS_Revenue</f>
        <v>500924</v>
      </c>
      <c r="S87" s="209">
        <f t="shared" ref="S87:AD87" si="54">IS_Revenue</f>
        <v>583515.59155405359</v>
      </c>
      <c r="T87" s="209">
        <f t="shared" si="54"/>
        <v>685344.872080573</v>
      </c>
      <c r="U87" s="209">
        <f t="shared" si="54"/>
        <v>812190.4820599329</v>
      </c>
      <c r="V87" s="209">
        <f t="shared" si="54"/>
        <v>971824.79453884356</v>
      </c>
      <c r="W87" s="209">
        <f t="shared" si="54"/>
        <v>1174742.6343971477</v>
      </c>
      <c r="X87" s="209">
        <f t="shared" si="54"/>
        <v>1435162.002211099</v>
      </c>
      <c r="Y87" s="209">
        <f t="shared" si="54"/>
        <v>1772399.071436577</v>
      </c>
      <c r="Z87" s="209">
        <f t="shared" si="54"/>
        <v>2212758.2734427336</v>
      </c>
      <c r="AA87" s="209">
        <f t="shared" si="54"/>
        <v>2792131.3709527845</v>
      </c>
      <c r="AB87" s="209">
        <f t="shared" si="54"/>
        <v>3559572.5330697442</v>
      </c>
      <c r="AC87" s="209">
        <f t="shared" si="54"/>
        <v>4582217.1209917394</v>
      </c>
      <c r="AD87" s="209">
        <f t="shared" si="54"/>
        <v>5952050.5810853578</v>
      </c>
    </row>
    <row r="88" spans="1:30" s="32" customFormat="1" ht="12.6" x14ac:dyDescent="0.25">
      <c r="A88" s="35"/>
      <c r="B88" s="35"/>
      <c r="E88" s="97"/>
      <c r="F88" s="160" t="s">
        <v>1010</v>
      </c>
      <c r="G88" s="160"/>
      <c r="H88" s="209"/>
      <c r="I88" s="160"/>
      <c r="J88" s="213" t="s">
        <v>1205</v>
      </c>
      <c r="L88" s="38"/>
      <c r="M88" s="103"/>
      <c r="N88" s="108"/>
      <c r="O88" s="108"/>
      <c r="P88" s="101"/>
      <c r="Q88" s="101">
        <f t="shared" ref="Q88" si="55">Q89/Q87*365</f>
        <v>9.3621608424032967</v>
      </c>
      <c r="R88" s="101">
        <f>R89/R87*365</f>
        <v>9.1861340243230512</v>
      </c>
      <c r="S88" s="101">
        <f t="shared" ref="S88:AD88" si="56">Inputs_Contract_Days</f>
        <v>9.2741474333631739</v>
      </c>
      <c r="T88" s="101">
        <f t="shared" si="56"/>
        <v>9.2741474333631739</v>
      </c>
      <c r="U88" s="101">
        <f t="shared" si="56"/>
        <v>9.2741474333631739</v>
      </c>
      <c r="V88" s="101">
        <f t="shared" si="56"/>
        <v>9.2741474333631739</v>
      </c>
      <c r="W88" s="101">
        <f t="shared" si="56"/>
        <v>9.2741474333631739</v>
      </c>
      <c r="X88" s="101">
        <f t="shared" si="56"/>
        <v>9.2741474333631739</v>
      </c>
      <c r="Y88" s="101">
        <f t="shared" si="56"/>
        <v>9.2741474333631739</v>
      </c>
      <c r="Z88" s="101">
        <f t="shared" si="56"/>
        <v>9.2741474333631739</v>
      </c>
      <c r="AA88" s="101">
        <f t="shared" si="56"/>
        <v>9.2741474333631739</v>
      </c>
      <c r="AB88" s="101">
        <f t="shared" si="56"/>
        <v>9.2741474333631739</v>
      </c>
      <c r="AC88" s="101">
        <f t="shared" si="56"/>
        <v>9.2741474333631739</v>
      </c>
      <c r="AD88" s="101">
        <f t="shared" si="56"/>
        <v>9.2741474333631739</v>
      </c>
    </row>
    <row r="89" spans="1:30" s="32" customFormat="1" ht="13.2" thickBot="1" x14ac:dyDescent="0.3">
      <c r="A89" s="35"/>
      <c r="B89" s="35"/>
      <c r="E89" s="97"/>
      <c r="F89" s="215" t="s">
        <v>95</v>
      </c>
      <c r="G89" s="161"/>
      <c r="H89" s="216"/>
      <c r="I89" s="161"/>
      <c r="J89" s="217" t="s">
        <v>1205</v>
      </c>
      <c r="K89" s="161"/>
      <c r="L89" s="218" t="s">
        <v>1012</v>
      </c>
      <c r="M89" s="216"/>
      <c r="N89" s="216"/>
      <c r="O89" s="216"/>
      <c r="P89" s="212"/>
      <c r="Q89" s="212">
        <f>BS_Contract_Assets</f>
        <v>11451</v>
      </c>
      <c r="R89" s="212">
        <f>BS_Contract_Assets</f>
        <v>12607</v>
      </c>
      <c r="S89" s="212">
        <f>(S87)*(S88/365)</f>
        <v>14826.327741749097</v>
      </c>
      <c r="T89" s="212">
        <f>(T87)*(T88/365)</f>
        <v>17413.669551711395</v>
      </c>
      <c r="U89" s="212">
        <f t="shared" ref="U89:AD89" si="57">(U87)*(U88/365)</f>
        <v>20636.641848214043</v>
      </c>
      <c r="V89" s="212">
        <f t="shared" si="57"/>
        <v>24692.729928633176</v>
      </c>
      <c r="W89" s="212">
        <f t="shared" si="57"/>
        <v>29848.592842894795</v>
      </c>
      <c r="X89" s="212">
        <f t="shared" si="57"/>
        <v>36465.490408949088</v>
      </c>
      <c r="Y89" s="212">
        <f t="shared" si="57"/>
        <v>45034.219997969325</v>
      </c>
      <c r="Z89" s="212">
        <f t="shared" si="57"/>
        <v>56223.140992608372</v>
      </c>
      <c r="AA89" s="212">
        <f t="shared" si="57"/>
        <v>70944.213664478273</v>
      </c>
      <c r="AB89" s="212">
        <f t="shared" si="57"/>
        <v>90443.836908051569</v>
      </c>
      <c r="AC89" s="212">
        <f t="shared" si="57"/>
        <v>116427.82781303654</v>
      </c>
      <c r="AD89" s="212">
        <f t="shared" si="57"/>
        <v>151233.4099173166</v>
      </c>
    </row>
    <row r="90" spans="1:30" s="32" customFormat="1" ht="12.6" x14ac:dyDescent="0.25">
      <c r="A90" s="35"/>
      <c r="B90" s="35"/>
      <c r="E90" s="97"/>
      <c r="F90" s="160" t="s">
        <v>1011</v>
      </c>
      <c r="G90" s="160"/>
      <c r="H90" s="209"/>
      <c r="I90" s="160"/>
      <c r="J90" s="213"/>
      <c r="K90" s="160"/>
      <c r="L90" s="99" t="s">
        <v>1013</v>
      </c>
      <c r="M90" s="103"/>
      <c r="N90" s="108"/>
      <c r="O90" s="108"/>
      <c r="P90" s="108"/>
      <c r="Q90" s="108"/>
      <c r="R90" s="209"/>
      <c r="S90" s="209">
        <f t="shared" ref="S90" si="58">R89-S89</f>
        <v>-2219.3277417490972</v>
      </c>
      <c r="T90" s="209">
        <f t="shared" ref="T90" si="59">S89-T89</f>
        <v>-2587.3418099622977</v>
      </c>
      <c r="U90" s="209">
        <f t="shared" ref="U90" si="60">T89-U89</f>
        <v>-3222.9722965026485</v>
      </c>
      <c r="V90" s="209">
        <f t="shared" ref="V90" si="61">U89-V89</f>
        <v>-4056.0880804191329</v>
      </c>
      <c r="W90" s="209">
        <f t="shared" ref="W90" si="62">V89-W89</f>
        <v>-5155.8629142616192</v>
      </c>
      <c r="X90" s="209">
        <f t="shared" ref="X90" si="63">W89-X89</f>
        <v>-6616.8975660542928</v>
      </c>
      <c r="Y90" s="209">
        <f t="shared" ref="Y90" si="64">X89-Y89</f>
        <v>-8568.7295890202367</v>
      </c>
      <c r="Z90" s="209">
        <f t="shared" ref="Z90" si="65">Y89-Z89</f>
        <v>-11188.920994639047</v>
      </c>
      <c r="AA90" s="209">
        <f t="shared" ref="AA90" si="66">Z89-AA89</f>
        <v>-14721.072671869901</v>
      </c>
      <c r="AB90" s="209">
        <f t="shared" ref="AB90" si="67">AA89-AB89</f>
        <v>-19499.623243573296</v>
      </c>
      <c r="AC90" s="209">
        <f t="shared" ref="AC90" si="68">AB89-AC89</f>
        <v>-25983.990904984967</v>
      </c>
      <c r="AD90" s="209">
        <f t="shared" ref="AD90" si="69">AC89-AD89</f>
        <v>-34805.582104280067</v>
      </c>
    </row>
    <row r="91" spans="1:30" s="32" customFormat="1" ht="12.6" x14ac:dyDescent="0.25">
      <c r="A91" s="35"/>
      <c r="B91" s="35"/>
      <c r="E91" s="97"/>
      <c r="F91" s="97"/>
      <c r="G91" s="97"/>
      <c r="H91" s="101"/>
      <c r="I91" s="97"/>
      <c r="J91" s="98"/>
      <c r="L91" s="99"/>
      <c r="M91" s="103"/>
      <c r="N91" s="108"/>
      <c r="O91" s="108"/>
      <c r="P91" s="108"/>
      <c r="Q91" s="108"/>
      <c r="R91" s="209"/>
      <c r="S91" s="209"/>
      <c r="T91" s="209"/>
      <c r="U91" s="209"/>
      <c r="V91" s="209"/>
      <c r="W91" s="209"/>
      <c r="X91" s="209"/>
      <c r="Y91" s="209"/>
      <c r="Z91" s="209"/>
      <c r="AA91" s="209"/>
      <c r="AB91" s="209"/>
      <c r="AC91" s="209"/>
      <c r="AD91" s="209"/>
    </row>
    <row r="92" spans="1:30" s="32" customFormat="1" ht="13.2" thickBot="1" x14ac:dyDescent="0.3">
      <c r="A92" s="35"/>
      <c r="B92" s="35"/>
      <c r="E92" s="97"/>
      <c r="F92" s="97"/>
      <c r="G92" s="97"/>
      <c r="H92" s="101"/>
      <c r="I92" s="97"/>
      <c r="J92" s="98"/>
      <c r="L92" s="99"/>
      <c r="M92" s="103"/>
      <c r="N92" s="108"/>
      <c r="O92" s="108"/>
      <c r="P92" s="108"/>
      <c r="Q92" s="108"/>
      <c r="R92" s="209"/>
      <c r="S92" s="209"/>
      <c r="T92" s="209"/>
      <c r="U92" s="209"/>
      <c r="V92" s="209"/>
      <c r="W92" s="209"/>
      <c r="X92" s="209"/>
      <c r="Y92" s="209"/>
      <c r="Z92" s="209"/>
      <c r="AA92" s="209"/>
      <c r="AB92" s="209"/>
      <c r="AC92" s="209"/>
      <c r="AD92" s="209"/>
    </row>
    <row r="93" spans="1:30" ht="12.6" x14ac:dyDescent="0.25">
      <c r="B93" s="20"/>
      <c r="C93" s="20"/>
      <c r="D93" s="164" t="s">
        <v>842</v>
      </c>
      <c r="E93" s="165"/>
      <c r="F93" s="165"/>
      <c r="G93" s="165"/>
      <c r="H93" s="166"/>
      <c r="I93" s="165"/>
      <c r="J93" s="167"/>
      <c r="K93" s="165"/>
      <c r="L93" s="168"/>
      <c r="M93" s="165"/>
      <c r="N93" s="169"/>
      <c r="O93" s="169"/>
      <c r="P93" s="169"/>
      <c r="Q93" s="169"/>
      <c r="R93" s="169"/>
      <c r="S93" s="169"/>
      <c r="T93" s="169"/>
      <c r="U93" s="169"/>
      <c r="V93" s="169"/>
      <c r="W93" s="169"/>
      <c r="X93" s="169"/>
      <c r="Y93" s="169"/>
      <c r="Z93" s="169"/>
      <c r="AA93" s="169"/>
      <c r="AB93" s="169"/>
      <c r="AC93" s="169"/>
      <c r="AD93" s="169"/>
    </row>
    <row r="94" spans="1:30" s="32" customFormat="1" ht="12.6" x14ac:dyDescent="0.25">
      <c r="A94" s="35"/>
      <c r="B94" s="35"/>
      <c r="E94" s="97"/>
      <c r="G94" s="97"/>
      <c r="H94" s="101"/>
      <c r="I94" s="97"/>
      <c r="J94" s="98"/>
      <c r="L94" s="38"/>
      <c r="M94" s="103"/>
      <c r="N94" s="108"/>
      <c r="O94" s="108"/>
      <c r="P94" s="108"/>
      <c r="Q94" s="108"/>
      <c r="R94" s="108"/>
      <c r="S94" s="108"/>
      <c r="T94" s="108"/>
      <c r="U94" s="108"/>
      <c r="V94" s="108"/>
      <c r="W94" s="108"/>
      <c r="X94" s="108"/>
      <c r="Y94" s="108"/>
      <c r="Z94" s="108"/>
      <c r="AA94" s="108"/>
      <c r="AB94" s="108"/>
      <c r="AC94" s="108"/>
      <c r="AD94" s="108"/>
    </row>
    <row r="95" spans="1:30" s="32" customFormat="1" ht="12.6" x14ac:dyDescent="0.25">
      <c r="A95" s="35"/>
      <c r="B95" s="35"/>
      <c r="E95" s="32" t="s">
        <v>842</v>
      </c>
      <c r="G95" s="97"/>
      <c r="H95" s="101"/>
      <c r="I95" s="97"/>
      <c r="J95" s="98"/>
      <c r="L95" s="38"/>
      <c r="M95" s="103"/>
      <c r="N95" s="108"/>
      <c r="O95" s="108"/>
      <c r="P95" s="108"/>
      <c r="Q95" s="108"/>
      <c r="R95" s="108"/>
      <c r="S95" s="108"/>
      <c r="T95" s="108"/>
      <c r="U95" s="108"/>
      <c r="V95" s="108"/>
      <c r="W95" s="108"/>
      <c r="X95" s="108"/>
      <c r="Y95" s="108"/>
      <c r="Z95" s="108"/>
      <c r="AA95" s="108"/>
      <c r="AB95" s="108"/>
      <c r="AC95" s="108"/>
      <c r="AD95" s="108"/>
    </row>
    <row r="96" spans="1:30" s="32" customFormat="1" ht="12.6" x14ac:dyDescent="0.25">
      <c r="A96" s="160"/>
      <c r="B96" s="160"/>
      <c r="C96" s="160"/>
      <c r="D96" s="160"/>
      <c r="E96" s="160"/>
      <c r="F96" s="160" t="s">
        <v>70</v>
      </c>
      <c r="G96" s="160"/>
      <c r="H96" s="209"/>
      <c r="I96" s="160"/>
      <c r="J96" s="213" t="s">
        <v>1205</v>
      </c>
      <c r="K96" s="160"/>
      <c r="L96" s="214"/>
      <c r="M96" s="209"/>
      <c r="N96" s="209"/>
      <c r="O96" s="209"/>
      <c r="P96" s="209"/>
      <c r="Q96" s="209">
        <f t="shared" ref="Q96:AD96" si="70">IS_Revenue</f>
        <v>446437</v>
      </c>
      <c r="R96" s="209">
        <f t="shared" si="70"/>
        <v>500924</v>
      </c>
      <c r="S96" s="209">
        <f t="shared" si="70"/>
        <v>583515.59155405359</v>
      </c>
      <c r="T96" s="209">
        <f t="shared" si="70"/>
        <v>685344.872080573</v>
      </c>
      <c r="U96" s="209">
        <f t="shared" si="70"/>
        <v>812190.4820599329</v>
      </c>
      <c r="V96" s="209">
        <f t="shared" si="70"/>
        <v>971824.79453884356</v>
      </c>
      <c r="W96" s="209">
        <f t="shared" si="70"/>
        <v>1174742.6343971477</v>
      </c>
      <c r="X96" s="209">
        <f t="shared" si="70"/>
        <v>1435162.002211099</v>
      </c>
      <c r="Y96" s="209">
        <f t="shared" si="70"/>
        <v>1772399.071436577</v>
      </c>
      <c r="Z96" s="209">
        <f t="shared" si="70"/>
        <v>2212758.2734427336</v>
      </c>
      <c r="AA96" s="209">
        <f t="shared" si="70"/>
        <v>2792131.3709527845</v>
      </c>
      <c r="AB96" s="209">
        <f t="shared" si="70"/>
        <v>3559572.5330697442</v>
      </c>
      <c r="AC96" s="209">
        <f t="shared" si="70"/>
        <v>4582217.1209917394</v>
      </c>
      <c r="AD96" s="209">
        <f t="shared" si="70"/>
        <v>5952050.5810853578</v>
      </c>
    </row>
    <row r="97" spans="1:30" s="32" customFormat="1" ht="12.6" x14ac:dyDescent="0.25">
      <c r="A97" s="160"/>
      <c r="B97" s="160"/>
      <c r="C97" s="160"/>
      <c r="D97" s="160"/>
      <c r="E97" s="160"/>
      <c r="F97" s="160" t="s">
        <v>18</v>
      </c>
      <c r="G97" s="160"/>
      <c r="H97" s="209"/>
      <c r="I97" s="160"/>
      <c r="J97" s="213" t="s">
        <v>1205</v>
      </c>
      <c r="K97" s="160"/>
      <c r="L97" s="214"/>
      <c r="M97" s="209"/>
      <c r="N97" s="209"/>
      <c r="O97" s="209"/>
      <c r="P97" s="219"/>
      <c r="Q97" s="101">
        <f t="shared" ref="Q97" si="71">Q98/Q96*365</f>
        <v>15.758942471166144</v>
      </c>
      <c r="R97" s="101">
        <f>R98/R96*365</f>
        <v>22.153979445983822</v>
      </c>
      <c r="S97" s="101">
        <f t="shared" ref="S97:AD97" si="72">Inputs_Prepaid_Days</f>
        <v>18.956460958574983</v>
      </c>
      <c r="T97" s="101">
        <f t="shared" si="72"/>
        <v>18.956460958574983</v>
      </c>
      <c r="U97" s="101">
        <f t="shared" si="72"/>
        <v>18.956460958574983</v>
      </c>
      <c r="V97" s="101">
        <f t="shared" si="72"/>
        <v>18.956460958574983</v>
      </c>
      <c r="W97" s="101">
        <f t="shared" si="72"/>
        <v>18.956460958574983</v>
      </c>
      <c r="X97" s="101">
        <f t="shared" si="72"/>
        <v>18.956460958574983</v>
      </c>
      <c r="Y97" s="101">
        <f t="shared" si="72"/>
        <v>18.956460958574983</v>
      </c>
      <c r="Z97" s="101">
        <f t="shared" si="72"/>
        <v>18.956460958574983</v>
      </c>
      <c r="AA97" s="101">
        <f t="shared" si="72"/>
        <v>18.956460958574983</v>
      </c>
      <c r="AB97" s="101">
        <f t="shared" si="72"/>
        <v>18.956460958574983</v>
      </c>
      <c r="AC97" s="101">
        <f t="shared" si="72"/>
        <v>18.956460958574983</v>
      </c>
      <c r="AD97" s="101">
        <f t="shared" si="72"/>
        <v>18.956460958574983</v>
      </c>
    </row>
    <row r="98" spans="1:30" s="32" customFormat="1" ht="13.2" thickBot="1" x14ac:dyDescent="0.3">
      <c r="A98" s="160"/>
      <c r="B98" s="160"/>
      <c r="C98" s="160"/>
      <c r="D98" s="160"/>
      <c r="E98" s="160"/>
      <c r="F98" s="215" t="s">
        <v>95</v>
      </c>
      <c r="G98" s="161"/>
      <c r="H98" s="216"/>
      <c r="I98" s="161"/>
      <c r="J98" s="217" t="s">
        <v>1205</v>
      </c>
      <c r="K98" s="161"/>
      <c r="L98" s="218" t="s">
        <v>518</v>
      </c>
      <c r="M98" s="216"/>
      <c r="N98" s="216"/>
      <c r="O98" s="216"/>
      <c r="P98" s="212"/>
      <c r="Q98" s="212">
        <f>BS_Prepaid_Expenses</f>
        <v>19275</v>
      </c>
      <c r="R98" s="212">
        <f>BS_Prepaid_Expenses</f>
        <v>30404</v>
      </c>
      <c r="S98" s="212">
        <f t="shared" ref="S98:AD98" si="73">(S96)*(S97/365)</f>
        <v>30305.179534285486</v>
      </c>
      <c r="T98" s="212">
        <f t="shared" si="73"/>
        <v>35593.735097958757</v>
      </c>
      <c r="U98" s="212">
        <f t="shared" si="73"/>
        <v>42181.526476973457</v>
      </c>
      <c r="V98" s="212">
        <f t="shared" si="73"/>
        <v>50472.215825344501</v>
      </c>
      <c r="W98" s="212">
        <f t="shared" si="73"/>
        <v>61010.857220063161</v>
      </c>
      <c r="X98" s="212">
        <f t="shared" si="73"/>
        <v>74535.869764780829</v>
      </c>
      <c r="Y98" s="212">
        <f t="shared" si="73"/>
        <v>92050.448769046634</v>
      </c>
      <c r="Z98" s="212">
        <f t="shared" si="73"/>
        <v>114920.72827748209</v>
      </c>
      <c r="AA98" s="212">
        <f t="shared" si="73"/>
        <v>145010.7652730929</v>
      </c>
      <c r="AB98" s="212">
        <f t="shared" si="73"/>
        <v>184868.21302014374</v>
      </c>
      <c r="AC98" s="212">
        <f t="shared" si="73"/>
        <v>237979.78070628428</v>
      </c>
      <c r="AD98" s="212">
        <f t="shared" si="73"/>
        <v>309122.77935289894</v>
      </c>
    </row>
    <row r="99" spans="1:30" s="32" customFormat="1" ht="12.6" x14ac:dyDescent="0.25">
      <c r="A99" s="160"/>
      <c r="B99" s="160"/>
      <c r="C99" s="160"/>
      <c r="D99" s="160"/>
      <c r="E99" s="160"/>
      <c r="F99" s="97" t="s">
        <v>123</v>
      </c>
      <c r="G99" s="97"/>
      <c r="H99" s="101"/>
      <c r="I99" s="97"/>
      <c r="J99" s="213" t="s">
        <v>1205</v>
      </c>
      <c r="L99" s="99" t="s">
        <v>124</v>
      </c>
      <c r="M99" s="103"/>
      <c r="N99" s="108"/>
      <c r="O99" s="108"/>
      <c r="P99" s="108"/>
      <c r="Q99" s="108"/>
      <c r="R99" s="209"/>
      <c r="S99" s="209">
        <f t="shared" ref="S99:AD99" si="74">R98-S98</f>
        <v>98.820465714514285</v>
      </c>
      <c r="T99" s="209">
        <f t="shared" si="74"/>
        <v>-5288.5555636732715</v>
      </c>
      <c r="U99" s="209">
        <f t="shared" si="74"/>
        <v>-6587.7913790146995</v>
      </c>
      <c r="V99" s="209">
        <f t="shared" si="74"/>
        <v>-8290.6893483710446</v>
      </c>
      <c r="W99" s="209">
        <f t="shared" si="74"/>
        <v>-10538.641394718659</v>
      </c>
      <c r="X99" s="209">
        <f t="shared" si="74"/>
        <v>-13525.012544717669</v>
      </c>
      <c r="Y99" s="209">
        <f t="shared" si="74"/>
        <v>-17514.579004265805</v>
      </c>
      <c r="Z99" s="209">
        <f t="shared" si="74"/>
        <v>-22870.279508435458</v>
      </c>
      <c r="AA99" s="209">
        <f t="shared" si="74"/>
        <v>-30090.036995610804</v>
      </c>
      <c r="AB99" s="209">
        <f t="shared" si="74"/>
        <v>-39857.447747050843</v>
      </c>
      <c r="AC99" s="209">
        <f t="shared" si="74"/>
        <v>-53111.567686140537</v>
      </c>
      <c r="AD99" s="209">
        <f t="shared" si="74"/>
        <v>-71142.998646614666</v>
      </c>
    </row>
    <row r="100" spans="1:30" s="32" customFormat="1" ht="12.6" x14ac:dyDescent="0.25">
      <c r="A100" s="160"/>
      <c r="B100" s="160"/>
      <c r="C100" s="160"/>
      <c r="D100" s="160"/>
      <c r="E100" s="160"/>
      <c r="F100" s="159"/>
      <c r="G100" s="160"/>
      <c r="H100" s="209"/>
      <c r="I100" s="160"/>
      <c r="J100" s="213"/>
      <c r="K100" s="160"/>
      <c r="L100" s="214"/>
      <c r="M100" s="209"/>
      <c r="N100" s="209"/>
      <c r="O100" s="209"/>
      <c r="P100" s="220"/>
      <c r="Q100" s="220"/>
      <c r="R100" s="220"/>
      <c r="S100" s="221"/>
      <c r="T100" s="221"/>
      <c r="U100" s="221"/>
      <c r="V100" s="221"/>
      <c r="W100" s="221"/>
      <c r="X100" s="220"/>
      <c r="Y100" s="220"/>
      <c r="Z100" s="220"/>
      <c r="AA100" s="220"/>
      <c r="AB100" s="220"/>
      <c r="AC100" s="220"/>
      <c r="AD100" s="220"/>
    </row>
    <row r="101" spans="1:30" s="32" customFormat="1" ht="13.2" thickBot="1" x14ac:dyDescent="0.3">
      <c r="A101" s="35"/>
      <c r="B101" s="35"/>
      <c r="E101" s="97"/>
      <c r="F101" s="97"/>
      <c r="G101" s="97"/>
      <c r="H101" s="101"/>
      <c r="I101" s="97"/>
      <c r="J101" s="98"/>
      <c r="L101" s="99"/>
      <c r="M101" s="103"/>
      <c r="N101" s="108"/>
      <c r="O101" s="108"/>
      <c r="P101" s="108"/>
      <c r="Q101" s="108"/>
      <c r="R101" s="108"/>
      <c r="S101" s="141"/>
      <c r="T101" s="141"/>
      <c r="U101" s="141"/>
      <c r="V101" s="141"/>
      <c r="W101" s="141"/>
      <c r="X101" s="141"/>
      <c r="Y101" s="141"/>
      <c r="Z101" s="141"/>
      <c r="AA101" s="141"/>
      <c r="AB101" s="141"/>
      <c r="AC101" s="141"/>
      <c r="AD101" s="141"/>
    </row>
    <row r="102" spans="1:30" ht="12.6" thickTop="1" x14ac:dyDescent="0.2">
      <c r="B102" s="20"/>
      <c r="C102" s="336" t="s">
        <v>27</v>
      </c>
      <c r="D102" s="337"/>
      <c r="E102" s="338"/>
      <c r="F102" s="338"/>
      <c r="G102" s="338"/>
      <c r="H102" s="338"/>
      <c r="I102" s="338"/>
      <c r="J102" s="340"/>
      <c r="K102" s="338"/>
      <c r="L102" s="342"/>
      <c r="M102" s="338"/>
      <c r="N102" s="343"/>
      <c r="O102" s="343"/>
      <c r="P102" s="343"/>
      <c r="Q102" s="343"/>
      <c r="R102" s="343"/>
      <c r="S102" s="343"/>
      <c r="T102" s="343"/>
      <c r="U102" s="343"/>
      <c r="V102" s="343"/>
      <c r="W102" s="343"/>
      <c r="X102" s="343"/>
      <c r="Y102" s="343"/>
      <c r="Z102" s="343"/>
      <c r="AA102" s="343"/>
      <c r="AB102" s="343"/>
      <c r="AC102" s="343"/>
      <c r="AD102" s="343"/>
    </row>
    <row r="103" spans="1:30" s="32" customFormat="1" ht="13.2" thickBot="1" x14ac:dyDescent="0.3">
      <c r="A103" s="35"/>
      <c r="B103" s="35"/>
      <c r="E103" s="97"/>
      <c r="G103" s="97"/>
      <c r="H103" s="101"/>
      <c r="I103" s="97"/>
      <c r="J103" s="98"/>
      <c r="L103" s="38"/>
      <c r="M103" s="103"/>
      <c r="N103" s="108"/>
      <c r="O103" s="108"/>
      <c r="P103" s="108"/>
      <c r="Q103" s="108"/>
      <c r="R103" s="108"/>
      <c r="S103" s="108"/>
      <c r="T103" s="108"/>
      <c r="U103" s="108"/>
      <c r="V103" s="108"/>
      <c r="W103" s="108"/>
      <c r="X103" s="108"/>
      <c r="Y103" s="108"/>
      <c r="Z103" s="108"/>
      <c r="AA103" s="108"/>
      <c r="AB103" s="108"/>
      <c r="AC103" s="108"/>
      <c r="AD103" s="108"/>
    </row>
    <row r="104" spans="1:30" ht="12.6" x14ac:dyDescent="0.25">
      <c r="B104" s="20"/>
      <c r="C104" s="20"/>
      <c r="D104" s="164" t="s">
        <v>1019</v>
      </c>
      <c r="E104" s="165"/>
      <c r="F104" s="165"/>
      <c r="G104" s="165"/>
      <c r="H104" s="166"/>
      <c r="I104" s="165"/>
      <c r="J104" s="167"/>
      <c r="K104" s="165"/>
      <c r="L104" s="168"/>
      <c r="M104" s="165"/>
      <c r="N104" s="169"/>
      <c r="O104" s="169"/>
      <c r="P104" s="169"/>
      <c r="Q104" s="169"/>
      <c r="R104" s="169"/>
      <c r="S104" s="169"/>
      <c r="T104" s="169"/>
      <c r="U104" s="169"/>
      <c r="V104" s="169"/>
      <c r="W104" s="169"/>
      <c r="X104" s="169"/>
      <c r="Y104" s="169"/>
      <c r="Z104" s="169"/>
      <c r="AA104" s="169"/>
      <c r="AB104" s="169"/>
      <c r="AC104" s="169"/>
      <c r="AD104" s="169"/>
    </row>
    <row r="105" spans="1:30" s="32" customFormat="1" ht="12.6" x14ac:dyDescent="0.25">
      <c r="A105" s="35"/>
      <c r="B105" s="35"/>
      <c r="E105" s="97"/>
      <c r="G105" s="97"/>
      <c r="H105" s="101"/>
      <c r="I105" s="97"/>
      <c r="J105" s="98"/>
      <c r="L105" s="38"/>
      <c r="M105" s="103"/>
      <c r="N105" s="108"/>
      <c r="O105" s="108"/>
      <c r="P105" s="108"/>
      <c r="Q105" s="108"/>
      <c r="R105" s="108"/>
      <c r="S105" s="108"/>
      <c r="T105" s="108"/>
      <c r="U105" s="108"/>
      <c r="V105" s="108"/>
      <c r="W105" s="108"/>
      <c r="X105" s="108"/>
      <c r="Y105" s="108"/>
      <c r="Z105" s="108"/>
      <c r="AA105" s="108"/>
      <c r="AB105" s="108"/>
      <c r="AC105" s="108"/>
      <c r="AD105" s="108"/>
    </row>
    <row r="106" spans="1:30" s="32" customFormat="1" ht="12.6" x14ac:dyDescent="0.25">
      <c r="A106" s="160"/>
      <c r="B106" s="160"/>
      <c r="C106" s="160"/>
      <c r="D106" s="160"/>
      <c r="E106" s="160"/>
      <c r="F106" s="160" t="s">
        <v>62</v>
      </c>
      <c r="G106" s="160"/>
      <c r="H106" s="209"/>
      <c r="I106" s="160"/>
      <c r="J106" s="213" t="s">
        <v>1205</v>
      </c>
      <c r="K106" s="160"/>
      <c r="L106" s="214"/>
      <c r="M106" s="209"/>
      <c r="N106" s="209"/>
      <c r="O106" s="209"/>
      <c r="P106" s="209"/>
      <c r="Q106" s="209">
        <f t="shared" ref="Q106:AD106" si="75">IS_Revenue</f>
        <v>446437</v>
      </c>
      <c r="R106" s="209">
        <f t="shared" si="75"/>
        <v>500924</v>
      </c>
      <c r="S106" s="209">
        <f t="shared" si="75"/>
        <v>583515.59155405359</v>
      </c>
      <c r="T106" s="209">
        <f t="shared" si="75"/>
        <v>685344.872080573</v>
      </c>
      <c r="U106" s="209">
        <f t="shared" si="75"/>
        <v>812190.4820599329</v>
      </c>
      <c r="V106" s="209">
        <f t="shared" si="75"/>
        <v>971824.79453884356</v>
      </c>
      <c r="W106" s="209">
        <f t="shared" si="75"/>
        <v>1174742.6343971477</v>
      </c>
      <c r="X106" s="209">
        <f t="shared" si="75"/>
        <v>1435162.002211099</v>
      </c>
      <c r="Y106" s="209">
        <f t="shared" si="75"/>
        <v>1772399.071436577</v>
      </c>
      <c r="Z106" s="209">
        <f t="shared" si="75"/>
        <v>2212758.2734427336</v>
      </c>
      <c r="AA106" s="209">
        <f t="shared" si="75"/>
        <v>2792131.3709527845</v>
      </c>
      <c r="AB106" s="209">
        <f t="shared" si="75"/>
        <v>3559572.5330697442</v>
      </c>
      <c r="AC106" s="209">
        <f t="shared" si="75"/>
        <v>4582217.1209917394</v>
      </c>
      <c r="AD106" s="209">
        <f t="shared" si="75"/>
        <v>5952050.5810853578</v>
      </c>
    </row>
    <row r="107" spans="1:30" s="32" customFormat="1" ht="12.6" x14ac:dyDescent="0.25">
      <c r="A107" s="160"/>
      <c r="B107" s="160"/>
      <c r="C107" s="160"/>
      <c r="D107" s="160"/>
      <c r="E107" s="160"/>
      <c r="F107" s="160" t="s">
        <v>18</v>
      </c>
      <c r="G107" s="160"/>
      <c r="H107" s="209"/>
      <c r="I107" s="160"/>
      <c r="J107" s="213" t="s">
        <v>1205</v>
      </c>
      <c r="K107" s="160"/>
      <c r="L107" s="214"/>
      <c r="M107" s="209"/>
      <c r="N107" s="209"/>
      <c r="O107" s="209"/>
      <c r="P107" s="209"/>
      <c r="Q107" s="101">
        <f t="shared" ref="Q107" si="76">Q108/Q106*365</f>
        <v>58.103282210031871</v>
      </c>
      <c r="R107" s="101">
        <f>R108/R106*365</f>
        <v>48.438695291102043</v>
      </c>
      <c r="S107" s="101">
        <f t="shared" ref="S107:AD107" si="77">Inputs_Contract_Current_Days</f>
        <v>53.270988750566957</v>
      </c>
      <c r="T107" s="101">
        <f t="shared" si="77"/>
        <v>53.270988750566957</v>
      </c>
      <c r="U107" s="101">
        <f t="shared" si="77"/>
        <v>53.270988750566957</v>
      </c>
      <c r="V107" s="101">
        <f t="shared" si="77"/>
        <v>53.270988750566957</v>
      </c>
      <c r="W107" s="101">
        <f t="shared" si="77"/>
        <v>53.270988750566957</v>
      </c>
      <c r="X107" s="101">
        <f t="shared" si="77"/>
        <v>53.270988750566957</v>
      </c>
      <c r="Y107" s="101">
        <f t="shared" si="77"/>
        <v>53.270988750566957</v>
      </c>
      <c r="Z107" s="101">
        <f t="shared" si="77"/>
        <v>53.270988750566957</v>
      </c>
      <c r="AA107" s="101">
        <f t="shared" si="77"/>
        <v>53.270988750566957</v>
      </c>
      <c r="AB107" s="101">
        <f t="shared" si="77"/>
        <v>53.270988750566957</v>
      </c>
      <c r="AC107" s="101">
        <f t="shared" si="77"/>
        <v>53.270988750566957</v>
      </c>
      <c r="AD107" s="101">
        <f t="shared" si="77"/>
        <v>53.270988750566957</v>
      </c>
    </row>
    <row r="108" spans="1:30" s="32" customFormat="1" ht="13.2" thickBot="1" x14ac:dyDescent="0.3">
      <c r="A108" s="160"/>
      <c r="B108" s="160"/>
      <c r="C108" s="160"/>
      <c r="D108" s="160"/>
      <c r="E108" s="160"/>
      <c r="F108" s="215" t="s">
        <v>95</v>
      </c>
      <c r="G108" s="161"/>
      <c r="H108" s="216"/>
      <c r="I108" s="161"/>
      <c r="J108" s="217" t="s">
        <v>1205</v>
      </c>
      <c r="K108" s="161"/>
      <c r="L108" s="218" t="s">
        <v>1017</v>
      </c>
      <c r="M108" s="216"/>
      <c r="N108" s="216"/>
      <c r="O108" s="216"/>
      <c r="P108" s="212"/>
      <c r="Q108" s="212">
        <f>BS_Contract_Liabilities_Current</f>
        <v>71067</v>
      </c>
      <c r="R108" s="212">
        <f>BS_Contract_Liabilities_Current</f>
        <v>66477</v>
      </c>
      <c r="S108" s="212">
        <f t="shared" ref="S108" si="78">(S106)*(S107/365)</f>
        <v>85162.883598510714</v>
      </c>
      <c r="T108" s="212">
        <f t="shared" ref="T108" si="79">(T106)*(T107/365)</f>
        <v>100024.65471469302</v>
      </c>
      <c r="U108" s="212">
        <f t="shared" ref="U108" si="80">(U106)*(U107/365)</f>
        <v>118537.50694008832</v>
      </c>
      <c r="V108" s="212">
        <f t="shared" ref="V108" si="81">(V106)*(V107/365)</f>
        <v>141835.80191068706</v>
      </c>
      <c r="W108" s="212">
        <f t="shared" ref="W108" si="82">(W106)*(W107/365)</f>
        <v>171451.23742953929</v>
      </c>
      <c r="X108" s="212">
        <f t="shared" ref="X108" si="83">(X106)*(X107/365)</f>
        <v>209458.90102747563</v>
      </c>
      <c r="Y108" s="212">
        <f t="shared" ref="Y108" si="84">(Y106)*(Y107/365)</f>
        <v>258677.94793428277</v>
      </c>
      <c r="Z108" s="212">
        <f t="shared" ref="Z108" si="85">(Z106)*(Z107/365)</f>
        <v>322947.45504737488</v>
      </c>
      <c r="AA108" s="212">
        <f t="shared" ref="AA108" si="86">(AA106)*(AA107/365)</f>
        <v>407505.75027981063</v>
      </c>
      <c r="AB108" s="212">
        <f t="shared" ref="AB108" si="87">(AB106)*(AB107/365)</f>
        <v>519512.18730406981</v>
      </c>
      <c r="AC108" s="212">
        <f t="shared" ref="AC108" si="88">(AC106)*(AC107/365)</f>
        <v>668765.03206851031</v>
      </c>
      <c r="AD108" s="212">
        <f t="shared" ref="AD108" si="89">(AD106)*(AD107/365)</f>
        <v>868689.36862411955</v>
      </c>
    </row>
    <row r="109" spans="1:30" s="32" customFormat="1" ht="12.6" x14ac:dyDescent="0.25">
      <c r="A109" s="35"/>
      <c r="B109" s="35"/>
      <c r="E109" s="97"/>
      <c r="F109" s="97" t="s">
        <v>1028</v>
      </c>
      <c r="G109" s="97"/>
      <c r="H109" s="101"/>
      <c r="I109" s="97"/>
      <c r="J109" s="213" t="s">
        <v>1205</v>
      </c>
      <c r="L109" s="99" t="s">
        <v>1018</v>
      </c>
      <c r="M109" s="103"/>
      <c r="N109" s="108"/>
      <c r="O109" s="108"/>
      <c r="P109" s="108"/>
      <c r="Q109" s="108"/>
      <c r="R109" s="209"/>
      <c r="S109" s="209">
        <f>S108-R108</f>
        <v>18685.883598510714</v>
      </c>
      <c r="T109" s="209">
        <f t="shared" ref="T109:AD109" si="90">T108-S108</f>
        <v>14861.77111618231</v>
      </c>
      <c r="U109" s="209">
        <f t="shared" si="90"/>
        <v>18512.852225395298</v>
      </c>
      <c r="V109" s="209">
        <f t="shared" si="90"/>
        <v>23298.294970598741</v>
      </c>
      <c r="W109" s="209">
        <f t="shared" si="90"/>
        <v>29615.435518852231</v>
      </c>
      <c r="X109" s="209">
        <f t="shared" si="90"/>
        <v>38007.663597936335</v>
      </c>
      <c r="Y109" s="209">
        <f t="shared" si="90"/>
        <v>49219.04690680714</v>
      </c>
      <c r="Z109" s="209">
        <f t="shared" si="90"/>
        <v>64269.507113092113</v>
      </c>
      <c r="AA109" s="209">
        <f t="shared" si="90"/>
        <v>84558.295232435747</v>
      </c>
      <c r="AB109" s="209">
        <f t="shared" si="90"/>
        <v>112006.43702425918</v>
      </c>
      <c r="AC109" s="209">
        <f t="shared" si="90"/>
        <v>149252.8447644405</v>
      </c>
      <c r="AD109" s="209">
        <f t="shared" si="90"/>
        <v>199924.33655560925</v>
      </c>
    </row>
    <row r="110" spans="1:30" s="32" customFormat="1" ht="13.2" thickBot="1" x14ac:dyDescent="0.3">
      <c r="A110" s="35"/>
      <c r="B110" s="35"/>
      <c r="E110" s="97"/>
      <c r="G110" s="97"/>
      <c r="H110" s="101"/>
      <c r="I110" s="97"/>
      <c r="J110" s="98"/>
      <c r="L110" s="38"/>
      <c r="M110" s="103"/>
      <c r="N110" s="108"/>
      <c r="O110" s="108"/>
      <c r="P110" s="108"/>
      <c r="Q110" s="108"/>
      <c r="R110" s="108"/>
      <c r="S110" s="108"/>
      <c r="T110" s="108"/>
      <c r="U110" s="108"/>
      <c r="V110" s="108"/>
      <c r="W110" s="108"/>
      <c r="X110" s="108"/>
      <c r="Y110" s="108"/>
      <c r="Z110" s="108"/>
      <c r="AA110" s="108"/>
      <c r="AB110" s="108"/>
      <c r="AC110" s="108"/>
      <c r="AD110" s="108"/>
    </row>
    <row r="111" spans="1:30" ht="12.6" x14ac:dyDescent="0.25">
      <c r="B111" s="20"/>
      <c r="C111" s="20"/>
      <c r="D111" s="164" t="s">
        <v>1021</v>
      </c>
      <c r="E111" s="165"/>
      <c r="F111" s="165"/>
      <c r="G111" s="165"/>
      <c r="H111" s="166"/>
      <c r="I111" s="165"/>
      <c r="J111" s="167"/>
      <c r="K111" s="165"/>
      <c r="L111" s="168"/>
      <c r="M111" s="165"/>
      <c r="N111" s="169"/>
      <c r="O111" s="169"/>
      <c r="P111" s="169"/>
      <c r="Q111" s="169"/>
      <c r="R111" s="169"/>
      <c r="S111" s="169"/>
      <c r="T111" s="169"/>
      <c r="U111" s="169"/>
      <c r="V111" s="169"/>
      <c r="W111" s="169"/>
      <c r="X111" s="169"/>
      <c r="Y111" s="169"/>
      <c r="Z111" s="169"/>
      <c r="AA111" s="169"/>
      <c r="AB111" s="169"/>
      <c r="AC111" s="169"/>
      <c r="AD111" s="169"/>
    </row>
    <row r="112" spans="1:30" s="32" customFormat="1" ht="12.6" x14ac:dyDescent="0.25">
      <c r="A112" s="35"/>
      <c r="B112" s="35"/>
      <c r="E112" s="97"/>
      <c r="G112" s="97"/>
      <c r="H112" s="101"/>
      <c r="I112" s="97"/>
      <c r="J112" s="98"/>
      <c r="L112" s="38"/>
      <c r="M112" s="103"/>
      <c r="N112" s="108"/>
      <c r="O112" s="108"/>
      <c r="P112" s="108"/>
      <c r="Q112" s="108"/>
      <c r="R112" s="108"/>
      <c r="S112" s="108"/>
      <c r="T112" s="108"/>
      <c r="U112" s="108"/>
      <c r="V112" s="108"/>
      <c r="W112" s="108"/>
      <c r="X112" s="108"/>
      <c r="Y112" s="108"/>
      <c r="Z112" s="108"/>
      <c r="AA112" s="108"/>
      <c r="AB112" s="108"/>
      <c r="AC112" s="108"/>
      <c r="AD112" s="108"/>
    </row>
    <row r="113" spans="1:30" s="32" customFormat="1" ht="12.6" x14ac:dyDescent="0.25">
      <c r="A113" s="160"/>
      <c r="B113" s="160"/>
      <c r="C113" s="160"/>
      <c r="D113" s="160"/>
      <c r="E113" s="160"/>
      <c r="F113" s="160" t="s">
        <v>62</v>
      </c>
      <c r="G113" s="160"/>
      <c r="H113" s="209"/>
      <c r="I113" s="160"/>
      <c r="J113" s="213" t="s">
        <v>1205</v>
      </c>
      <c r="K113" s="160"/>
      <c r="L113" s="214"/>
      <c r="M113" s="209"/>
      <c r="N113" s="209"/>
      <c r="O113" s="209"/>
      <c r="P113" s="209"/>
      <c r="Q113" s="209">
        <f t="shared" ref="Q113:AD113" si="91">IS_Revenue</f>
        <v>446437</v>
      </c>
      <c r="R113" s="209">
        <f t="shared" si="91"/>
        <v>500924</v>
      </c>
      <c r="S113" s="209">
        <f t="shared" si="91"/>
        <v>583515.59155405359</v>
      </c>
      <c r="T113" s="209">
        <f t="shared" si="91"/>
        <v>685344.872080573</v>
      </c>
      <c r="U113" s="209">
        <f t="shared" si="91"/>
        <v>812190.4820599329</v>
      </c>
      <c r="V113" s="209">
        <f t="shared" si="91"/>
        <v>971824.79453884356</v>
      </c>
      <c r="W113" s="209">
        <f t="shared" si="91"/>
        <v>1174742.6343971477</v>
      </c>
      <c r="X113" s="209">
        <f t="shared" si="91"/>
        <v>1435162.002211099</v>
      </c>
      <c r="Y113" s="209">
        <f t="shared" si="91"/>
        <v>1772399.071436577</v>
      </c>
      <c r="Z113" s="209">
        <f t="shared" si="91"/>
        <v>2212758.2734427336</v>
      </c>
      <c r="AA113" s="209">
        <f t="shared" si="91"/>
        <v>2792131.3709527845</v>
      </c>
      <c r="AB113" s="209">
        <f t="shared" si="91"/>
        <v>3559572.5330697442</v>
      </c>
      <c r="AC113" s="209">
        <f t="shared" si="91"/>
        <v>4582217.1209917394</v>
      </c>
      <c r="AD113" s="209">
        <f t="shared" si="91"/>
        <v>5952050.5810853578</v>
      </c>
    </row>
    <row r="114" spans="1:30" s="32" customFormat="1" ht="12.6" x14ac:dyDescent="0.25">
      <c r="A114" s="160"/>
      <c r="B114" s="160"/>
      <c r="C114" s="160"/>
      <c r="D114" s="160"/>
      <c r="E114" s="160"/>
      <c r="F114" s="160" t="s">
        <v>18</v>
      </c>
      <c r="G114" s="160"/>
      <c r="H114" s="209"/>
      <c r="I114" s="160"/>
      <c r="J114" s="213" t="s">
        <v>1205</v>
      </c>
      <c r="K114" s="160"/>
      <c r="L114" s="214"/>
      <c r="M114" s="209"/>
      <c r="N114" s="209"/>
      <c r="O114" s="209"/>
      <c r="P114" s="209"/>
      <c r="Q114" s="101">
        <f t="shared" ref="Q114" si="92">Q115/Q113*365</f>
        <v>27.622094494855936</v>
      </c>
      <c r="R114" s="101">
        <f>R115/R113*365</f>
        <v>16.348797422363475</v>
      </c>
      <c r="S114" s="101">
        <f>Inputs_Contract_Current_Days</f>
        <v>53.270988750566957</v>
      </c>
      <c r="T114" s="101">
        <f t="shared" ref="T114:AD114" si="93">Inputs_Contract_NonCurrent_Days</f>
        <v>21.985445958609706</v>
      </c>
      <c r="U114" s="101">
        <f t="shared" si="93"/>
        <v>21.985445958609706</v>
      </c>
      <c r="V114" s="101">
        <f t="shared" si="93"/>
        <v>21.985445958609706</v>
      </c>
      <c r="W114" s="101">
        <f t="shared" si="93"/>
        <v>21.985445958609706</v>
      </c>
      <c r="X114" s="101">
        <f t="shared" si="93"/>
        <v>21.985445958609706</v>
      </c>
      <c r="Y114" s="101">
        <f t="shared" si="93"/>
        <v>21.985445958609706</v>
      </c>
      <c r="Z114" s="101">
        <f t="shared" si="93"/>
        <v>21.985445958609706</v>
      </c>
      <c r="AA114" s="101">
        <f t="shared" si="93"/>
        <v>21.985445958609706</v>
      </c>
      <c r="AB114" s="101">
        <f t="shared" si="93"/>
        <v>21.985445958609706</v>
      </c>
      <c r="AC114" s="101">
        <f t="shared" si="93"/>
        <v>21.985445958609706</v>
      </c>
      <c r="AD114" s="101">
        <f t="shared" si="93"/>
        <v>21.985445958609706</v>
      </c>
    </row>
    <row r="115" spans="1:30" s="32" customFormat="1" ht="13.2" thickBot="1" x14ac:dyDescent="0.3">
      <c r="A115" s="160"/>
      <c r="B115" s="160"/>
      <c r="C115" s="160"/>
      <c r="D115" s="160"/>
      <c r="E115" s="160"/>
      <c r="F115" s="215" t="s">
        <v>95</v>
      </c>
      <c r="G115" s="161"/>
      <c r="H115" s="216"/>
      <c r="I115" s="161"/>
      <c r="J115" s="217" t="s">
        <v>1205</v>
      </c>
      <c r="K115" s="161"/>
      <c r="L115" s="218" t="s">
        <v>1022</v>
      </c>
      <c r="M115" s="216"/>
      <c r="N115" s="216"/>
      <c r="O115" s="216"/>
      <c r="P115" s="212"/>
      <c r="Q115" s="212">
        <f>BS_Contract_Liabilities_Non_Current</f>
        <v>33785</v>
      </c>
      <c r="R115" s="212">
        <f>BS_Contract_Liabilities_Non_Current</f>
        <v>22437</v>
      </c>
      <c r="S115" s="212">
        <f t="shared" ref="S115" si="94">(S113)*(S114/365)</f>
        <v>85162.883598510714</v>
      </c>
      <c r="T115" s="212">
        <f t="shared" ref="T115" si="95">(T113)*(T114/365)</f>
        <v>41281.130542843071</v>
      </c>
      <c r="U115" s="212">
        <f t="shared" ref="U115" si="96">(U113)*(U114/365)</f>
        <v>48921.561510755673</v>
      </c>
      <c r="V115" s="212">
        <f t="shared" ref="V115" si="97">(V113)*(V114/365)</f>
        <v>58536.990415262262</v>
      </c>
      <c r="W115" s="212">
        <f t="shared" ref="W115" si="98">(W113)*(W114/365)</f>
        <v>70759.563572091211</v>
      </c>
      <c r="X115" s="212">
        <f t="shared" ref="X115" si="99">(X113)*(X114/365)</f>
        <v>86445.689428663623</v>
      </c>
      <c r="Y115" s="212">
        <f t="shared" ref="Y115" si="100">(Y113)*(Y114/365)</f>
        <v>106758.86027988736</v>
      </c>
      <c r="Z115" s="212">
        <f t="shared" ref="Z115" si="101">(Z113)*(Z114/365)</f>
        <v>133283.49983627873</v>
      </c>
      <c r="AA115" s="212">
        <f t="shared" ref="AA115" si="102">(AA113)*(AA114/365)</f>
        <v>168181.51606964733</v>
      </c>
      <c r="AB115" s="212">
        <f t="shared" ref="AB115" si="103">(AB113)*(AB114/365)</f>
        <v>214407.64263440089</v>
      </c>
      <c r="AC115" s="212">
        <f t="shared" ref="AC115" si="104">(AC113)*(AC114/365)</f>
        <v>276005.71749090421</v>
      </c>
      <c r="AD115" s="212">
        <f t="shared" ref="AD115" si="105">(AD113)*(AD114/365)</f>
        <v>358516.40107770858</v>
      </c>
    </row>
    <row r="116" spans="1:30" s="32" customFormat="1" ht="12.6" x14ac:dyDescent="0.25">
      <c r="A116" s="35"/>
      <c r="B116" s="35"/>
      <c r="E116" s="97"/>
      <c r="F116" s="97" t="s">
        <v>1029</v>
      </c>
      <c r="G116" s="97"/>
      <c r="H116" s="101"/>
      <c r="I116" s="97"/>
      <c r="J116" s="213" t="s">
        <v>1205</v>
      </c>
      <c r="L116" s="99" t="s">
        <v>1023</v>
      </c>
      <c r="M116" s="103"/>
      <c r="N116" s="108"/>
      <c r="O116" s="108"/>
      <c r="P116" s="108"/>
      <c r="Q116" s="108"/>
      <c r="R116" s="209"/>
      <c r="S116" s="209">
        <f>S115-R115</f>
        <v>62725.883598510714</v>
      </c>
      <c r="T116" s="209">
        <f t="shared" ref="T116" si="106">T115-S115</f>
        <v>-43881.753055667643</v>
      </c>
      <c r="U116" s="209">
        <f t="shared" ref="U116" si="107">U115-T115</f>
        <v>7640.4309679126018</v>
      </c>
      <c r="V116" s="209">
        <f t="shared" ref="V116" si="108">V115-U115</f>
        <v>9615.4289045065889</v>
      </c>
      <c r="W116" s="209">
        <f t="shared" ref="W116" si="109">W115-V115</f>
        <v>12222.573156828948</v>
      </c>
      <c r="X116" s="209">
        <f t="shared" ref="X116" si="110">X115-W115</f>
        <v>15686.125856572413</v>
      </c>
      <c r="Y116" s="209">
        <f t="shared" ref="Y116" si="111">Y115-X115</f>
        <v>20313.170851223738</v>
      </c>
      <c r="Z116" s="209">
        <f t="shared" ref="Z116" si="112">Z115-Y115</f>
        <v>26524.639556391368</v>
      </c>
      <c r="AA116" s="209">
        <f t="shared" ref="AA116" si="113">AA115-Z115</f>
        <v>34898.016233368602</v>
      </c>
      <c r="AB116" s="209">
        <f t="shared" ref="AB116" si="114">AB115-AA115</f>
        <v>46226.126564753562</v>
      </c>
      <c r="AC116" s="209">
        <f t="shared" ref="AC116" si="115">AC115-AB115</f>
        <v>61598.074856503314</v>
      </c>
      <c r="AD116" s="209">
        <f t="shared" ref="AD116" si="116">AD115-AC115</f>
        <v>82510.683586804371</v>
      </c>
    </row>
    <row r="117" spans="1:30" s="32" customFormat="1" ht="13.2" thickBot="1" x14ac:dyDescent="0.3">
      <c r="A117" s="35"/>
      <c r="B117" s="35"/>
      <c r="E117" s="97"/>
      <c r="G117" s="97"/>
      <c r="H117" s="101"/>
      <c r="I117" s="97"/>
      <c r="J117" s="98"/>
      <c r="L117" s="38"/>
      <c r="M117" s="103"/>
      <c r="N117" s="108"/>
      <c r="O117" s="108"/>
      <c r="P117" s="108"/>
      <c r="Q117" s="108"/>
      <c r="R117" s="108"/>
      <c r="S117" s="108"/>
      <c r="T117" s="108"/>
      <c r="U117" s="108"/>
      <c r="V117" s="108"/>
      <c r="W117" s="108"/>
      <c r="X117" s="108"/>
      <c r="Y117" s="108"/>
      <c r="Z117" s="108"/>
      <c r="AA117" s="108"/>
      <c r="AB117" s="108"/>
      <c r="AC117" s="108"/>
      <c r="AD117" s="108"/>
    </row>
    <row r="118" spans="1:30" ht="12.6" x14ac:dyDescent="0.25">
      <c r="B118" s="20"/>
      <c r="C118" s="20"/>
      <c r="D118" s="164" t="s">
        <v>1026</v>
      </c>
      <c r="E118" s="165"/>
      <c r="F118" s="165"/>
      <c r="G118" s="165"/>
      <c r="H118" s="166"/>
      <c r="I118" s="165"/>
      <c r="J118" s="167"/>
      <c r="K118" s="165"/>
      <c r="L118" s="168"/>
      <c r="M118" s="165"/>
      <c r="N118" s="169"/>
      <c r="O118" s="169"/>
      <c r="P118" s="169"/>
      <c r="Q118" s="169"/>
      <c r="R118" s="169"/>
      <c r="S118" s="169"/>
      <c r="T118" s="169"/>
      <c r="U118" s="169"/>
      <c r="V118" s="169"/>
      <c r="W118" s="169"/>
      <c r="X118" s="169"/>
      <c r="Y118" s="169"/>
      <c r="Z118" s="169"/>
      <c r="AA118" s="169"/>
      <c r="AB118" s="169"/>
      <c r="AC118" s="169"/>
      <c r="AD118" s="169"/>
    </row>
    <row r="119" spans="1:30" s="32" customFormat="1" ht="12.6" x14ac:dyDescent="0.25">
      <c r="A119" s="35"/>
      <c r="B119" s="35"/>
      <c r="E119" s="97"/>
      <c r="G119" s="97"/>
      <c r="H119" s="101"/>
      <c r="I119" s="97"/>
      <c r="J119" s="98"/>
      <c r="L119" s="38"/>
      <c r="M119" s="103"/>
      <c r="N119" s="108"/>
      <c r="O119" s="108"/>
      <c r="P119" s="108"/>
      <c r="Q119" s="108"/>
      <c r="R119" s="108"/>
      <c r="S119" s="108"/>
      <c r="T119" s="108"/>
      <c r="U119" s="108"/>
      <c r="V119" s="108"/>
      <c r="W119" s="108"/>
      <c r="X119" s="108"/>
      <c r="Y119" s="108"/>
      <c r="Z119" s="108"/>
      <c r="AA119" s="108"/>
      <c r="AB119" s="108"/>
      <c r="AC119" s="108"/>
      <c r="AD119" s="108"/>
    </row>
    <row r="120" spans="1:30" s="32" customFormat="1" ht="12.6" x14ac:dyDescent="0.25">
      <c r="A120" s="35"/>
      <c r="B120" s="35"/>
      <c r="E120" s="47" t="s">
        <v>519</v>
      </c>
      <c r="G120" s="97"/>
      <c r="H120" s="101"/>
      <c r="I120" s="97"/>
      <c r="J120" s="98"/>
      <c r="L120" s="38"/>
      <c r="M120" s="103"/>
      <c r="N120" s="108"/>
      <c r="O120" s="108"/>
      <c r="P120" s="108"/>
      <c r="Q120" s="108"/>
      <c r="R120" s="108"/>
      <c r="S120" s="108"/>
      <c r="T120" s="108"/>
      <c r="U120" s="108"/>
      <c r="V120" s="108"/>
      <c r="W120" s="108"/>
      <c r="X120" s="108"/>
      <c r="Y120" s="108"/>
      <c r="Z120" s="108"/>
      <c r="AA120" s="108"/>
      <c r="AB120" s="108"/>
      <c r="AC120" s="108"/>
      <c r="AD120" s="108"/>
    </row>
    <row r="121" spans="1:30" s="32" customFormat="1" ht="12.6" x14ac:dyDescent="0.25">
      <c r="A121" s="160"/>
      <c r="B121" s="160"/>
      <c r="C121" s="160"/>
      <c r="D121" s="160"/>
      <c r="E121" s="160"/>
      <c r="F121" s="160" t="s">
        <v>121</v>
      </c>
      <c r="G121" s="160"/>
      <c r="H121" s="209"/>
      <c r="I121" s="160"/>
      <c r="J121" s="213" t="s">
        <v>1205</v>
      </c>
      <c r="K121" s="160"/>
      <c r="L121" s="214"/>
      <c r="M121" s="209"/>
      <c r="N121" s="209"/>
      <c r="O121" s="209"/>
      <c r="P121" s="209"/>
      <c r="Q121" s="209">
        <f t="shared" ref="Q121:AD121" si="117">-IS_Direct_Costs</f>
        <v>264741</v>
      </c>
      <c r="R121" s="209">
        <f t="shared" si="117"/>
        <v>319123</v>
      </c>
      <c r="S121" s="209">
        <f t="shared" si="117"/>
        <v>402912.56504650402</v>
      </c>
      <c r="T121" s="209">
        <f t="shared" si="117"/>
        <v>473224.81926495762</v>
      </c>
      <c r="U121" s="209">
        <f t="shared" si="117"/>
        <v>560810.63671596907</v>
      </c>
      <c r="V121" s="209">
        <f t="shared" si="117"/>
        <v>671036.77504248021</v>
      </c>
      <c r="W121" s="209">
        <f t="shared" si="117"/>
        <v>811149.82177917811</v>
      </c>
      <c r="X121" s="209">
        <f t="shared" si="117"/>
        <v>990967.18568930472</v>
      </c>
      <c r="Y121" s="209">
        <f t="shared" si="117"/>
        <v>1223826.520653306</v>
      </c>
      <c r="Z121" s="209">
        <f t="shared" si="117"/>
        <v>1527890.8133478679</v>
      </c>
      <c r="AA121" s="209">
        <f t="shared" si="117"/>
        <v>1927943.0214045718</v>
      </c>
      <c r="AB121" s="209">
        <f t="shared" si="117"/>
        <v>2457854.6323819291</v>
      </c>
      <c r="AC121" s="209">
        <f t="shared" si="117"/>
        <v>3163982.0435676635</v>
      </c>
      <c r="AD121" s="209">
        <f t="shared" si="117"/>
        <v>4109840.4252142156</v>
      </c>
    </row>
    <row r="122" spans="1:30" s="32" customFormat="1" ht="12.6" x14ac:dyDescent="0.25">
      <c r="A122" s="160"/>
      <c r="B122" s="160"/>
      <c r="C122" s="160"/>
      <c r="D122" s="160"/>
      <c r="E122" s="160"/>
      <c r="F122" s="160" t="s">
        <v>60</v>
      </c>
      <c r="G122" s="160"/>
      <c r="H122" s="209"/>
      <c r="I122" s="160"/>
      <c r="J122" s="213" t="s">
        <v>1205</v>
      </c>
      <c r="K122" s="160"/>
      <c r="L122" s="214"/>
      <c r="M122" s="209"/>
      <c r="N122" s="209"/>
      <c r="O122" s="209"/>
      <c r="P122" s="209"/>
      <c r="Q122" s="209">
        <f>Q123/Q121*365</f>
        <v>43.179692605225483</v>
      </c>
      <c r="R122" s="209">
        <f>R123/R121*365</f>
        <v>48.665827909614791</v>
      </c>
      <c r="S122" s="101">
        <f t="shared" ref="S122:AD122" si="118">Inputs_Payables_Days</f>
        <v>45.922760257420137</v>
      </c>
      <c r="T122" s="101">
        <f t="shared" si="118"/>
        <v>45.922760257420137</v>
      </c>
      <c r="U122" s="101">
        <f t="shared" si="118"/>
        <v>45.922760257420137</v>
      </c>
      <c r="V122" s="101">
        <f t="shared" si="118"/>
        <v>45.922760257420137</v>
      </c>
      <c r="W122" s="101">
        <f t="shared" si="118"/>
        <v>45.922760257420137</v>
      </c>
      <c r="X122" s="101">
        <f t="shared" si="118"/>
        <v>45.922760257420137</v>
      </c>
      <c r="Y122" s="101">
        <f t="shared" si="118"/>
        <v>45.922760257420137</v>
      </c>
      <c r="Z122" s="101">
        <f t="shared" si="118"/>
        <v>45.922760257420137</v>
      </c>
      <c r="AA122" s="101">
        <f t="shared" si="118"/>
        <v>45.922760257420137</v>
      </c>
      <c r="AB122" s="101">
        <f t="shared" si="118"/>
        <v>45.922760257420137</v>
      </c>
      <c r="AC122" s="101">
        <f t="shared" si="118"/>
        <v>45.922760257420137</v>
      </c>
      <c r="AD122" s="101">
        <f t="shared" si="118"/>
        <v>45.922760257420137</v>
      </c>
    </row>
    <row r="123" spans="1:30" s="32" customFormat="1" ht="13.2" thickBot="1" x14ac:dyDescent="0.3">
      <c r="A123" s="139"/>
      <c r="B123" s="139"/>
      <c r="C123" s="139"/>
      <c r="D123" s="139"/>
      <c r="E123" s="139"/>
      <c r="F123" s="151" t="s">
        <v>95</v>
      </c>
      <c r="G123" s="152"/>
      <c r="H123" s="153"/>
      <c r="I123" s="152"/>
      <c r="J123" s="154" t="s">
        <v>1205</v>
      </c>
      <c r="K123" s="152"/>
      <c r="L123" s="155" t="s">
        <v>125</v>
      </c>
      <c r="M123" s="153"/>
      <c r="N123" s="153"/>
      <c r="O123" s="153"/>
      <c r="P123" s="156"/>
      <c r="Q123" s="156">
        <f>Act_BS_Payables</f>
        <v>31319</v>
      </c>
      <c r="R123" s="156">
        <f>Act_BS_Payables</f>
        <v>42549</v>
      </c>
      <c r="S123" s="156">
        <f>(S121)*(S122/365)</f>
        <v>50692.759258446029</v>
      </c>
      <c r="T123" s="156">
        <f t="shared" ref="T123:AD123" si="119">(T121)*(T122/365)</f>
        <v>59539.150473878421</v>
      </c>
      <c r="U123" s="156">
        <f t="shared" si="119"/>
        <v>70558.828547174213</v>
      </c>
      <c r="V123" s="156">
        <f t="shared" si="119"/>
        <v>84427.016285447084</v>
      </c>
      <c r="W123" s="156">
        <f t="shared" si="119"/>
        <v>102055.44876277882</v>
      </c>
      <c r="X123" s="156">
        <f t="shared" si="119"/>
        <v>124679.31093528845</v>
      </c>
      <c r="Y123" s="156">
        <f t="shared" si="119"/>
        <v>153976.6901496833</v>
      </c>
      <c r="Z123" s="156">
        <f t="shared" si="119"/>
        <v>192232.77676955835</v>
      </c>
      <c r="AA123" s="156">
        <f t="shared" si="119"/>
        <v>242565.65797788595</v>
      </c>
      <c r="AB123" s="156">
        <f t="shared" si="119"/>
        <v>309236.90145332832</v>
      </c>
      <c r="AC123" s="156">
        <f t="shared" si="119"/>
        <v>398078.87354942475</v>
      </c>
      <c r="AD123" s="156">
        <f t="shared" si="119"/>
        <v>517082.78505031794</v>
      </c>
    </row>
    <row r="124" spans="1:30" s="32" customFormat="1" ht="12.6" x14ac:dyDescent="0.25">
      <c r="A124" s="35"/>
      <c r="B124" s="35"/>
      <c r="E124" s="97"/>
      <c r="F124" s="97" t="s">
        <v>122</v>
      </c>
      <c r="G124" s="97"/>
      <c r="H124" s="101"/>
      <c r="I124" s="97"/>
      <c r="J124" s="142" t="s">
        <v>1205</v>
      </c>
      <c r="L124" s="99" t="s">
        <v>126</v>
      </c>
      <c r="M124" s="103"/>
      <c r="N124" s="108"/>
      <c r="O124" s="108"/>
      <c r="P124" s="108"/>
      <c r="Q124" s="108"/>
      <c r="R124" s="141"/>
      <c r="S124" s="141">
        <f t="shared" ref="S124:AD124" si="120">S123-R123</f>
        <v>8143.759258446029</v>
      </c>
      <c r="T124" s="141">
        <f t="shared" si="120"/>
        <v>8846.3912154323916</v>
      </c>
      <c r="U124" s="141">
        <f t="shared" si="120"/>
        <v>11019.678073295792</v>
      </c>
      <c r="V124" s="141">
        <f t="shared" si="120"/>
        <v>13868.187738272871</v>
      </c>
      <c r="W124" s="141">
        <f t="shared" si="120"/>
        <v>17628.432477331735</v>
      </c>
      <c r="X124" s="141">
        <f t="shared" si="120"/>
        <v>22623.862172509631</v>
      </c>
      <c r="Y124" s="141">
        <f t="shared" si="120"/>
        <v>29297.379214394852</v>
      </c>
      <c r="Z124" s="141">
        <f t="shared" si="120"/>
        <v>38256.086619875045</v>
      </c>
      <c r="AA124" s="141">
        <f t="shared" si="120"/>
        <v>50332.881208327599</v>
      </c>
      <c r="AB124" s="141">
        <f t="shared" si="120"/>
        <v>66671.243475442374</v>
      </c>
      <c r="AC124" s="141">
        <f t="shared" si="120"/>
        <v>88841.972096096433</v>
      </c>
      <c r="AD124" s="141">
        <f t="shared" si="120"/>
        <v>119003.91150089318</v>
      </c>
    </row>
    <row r="125" spans="1:30" s="32" customFormat="1" ht="13.2" thickBot="1" x14ac:dyDescent="0.3">
      <c r="A125" s="35"/>
      <c r="B125" s="35"/>
      <c r="E125" s="97"/>
      <c r="G125" s="97"/>
      <c r="H125" s="101"/>
      <c r="I125" s="97"/>
      <c r="J125" s="98"/>
      <c r="L125" s="38"/>
      <c r="M125" s="103"/>
      <c r="N125" s="108"/>
      <c r="O125" s="108"/>
      <c r="P125" s="108"/>
      <c r="Q125" s="108"/>
      <c r="R125" s="108"/>
      <c r="S125" s="108"/>
      <c r="T125" s="108"/>
      <c r="U125" s="108"/>
      <c r="V125" s="108"/>
      <c r="W125" s="108"/>
      <c r="X125" s="108"/>
      <c r="Y125" s="108"/>
      <c r="Z125" s="108"/>
      <c r="AA125" s="108"/>
      <c r="AB125" s="108"/>
      <c r="AC125" s="108"/>
      <c r="AD125" s="108"/>
    </row>
    <row r="126" spans="1:30" ht="12.6" x14ac:dyDescent="0.25">
      <c r="B126" s="20"/>
      <c r="C126" s="20"/>
      <c r="D126" s="164" t="s">
        <v>1025</v>
      </c>
      <c r="E126" s="165"/>
      <c r="F126" s="165"/>
      <c r="G126" s="165"/>
      <c r="H126" s="166"/>
      <c r="I126" s="165"/>
      <c r="J126" s="167"/>
      <c r="K126" s="165"/>
      <c r="L126" s="168"/>
      <c r="M126" s="165"/>
      <c r="N126" s="169"/>
      <c r="O126" s="169"/>
      <c r="P126" s="169"/>
      <c r="Q126" s="169"/>
      <c r="R126" s="169"/>
      <c r="S126" s="169"/>
      <c r="T126" s="169"/>
      <c r="U126" s="169"/>
      <c r="V126" s="169"/>
      <c r="W126" s="169"/>
      <c r="X126" s="169"/>
      <c r="Y126" s="169"/>
      <c r="Z126" s="169"/>
      <c r="AA126" s="169"/>
      <c r="AB126" s="169"/>
      <c r="AC126" s="169"/>
      <c r="AD126" s="169"/>
    </row>
    <row r="127" spans="1:30" ht="12.6" x14ac:dyDescent="0.25">
      <c r="B127" s="20"/>
      <c r="C127" s="20"/>
      <c r="D127" s="32"/>
      <c r="E127" s="97"/>
      <c r="F127" s="97"/>
      <c r="G127" s="97"/>
      <c r="H127" s="101"/>
      <c r="I127" s="97"/>
      <c r="J127" s="98"/>
      <c r="K127" s="97"/>
      <c r="L127" s="99"/>
      <c r="M127" s="97"/>
      <c r="N127" s="21"/>
      <c r="O127" s="21"/>
      <c r="P127" s="21"/>
      <c r="Q127" s="21"/>
      <c r="R127" s="21"/>
      <c r="S127" s="21"/>
      <c r="T127" s="21"/>
      <c r="U127" s="21"/>
      <c r="V127" s="21"/>
      <c r="W127" s="21"/>
      <c r="X127" s="21"/>
      <c r="Y127" s="21"/>
      <c r="Z127" s="21"/>
      <c r="AA127" s="21"/>
      <c r="AB127" s="21"/>
      <c r="AC127" s="21"/>
      <c r="AD127" s="21"/>
    </row>
    <row r="128" spans="1:30" s="32" customFormat="1" ht="12.6" x14ac:dyDescent="0.25">
      <c r="A128" s="35"/>
      <c r="B128" s="35"/>
      <c r="E128" s="140" t="s">
        <v>1027</v>
      </c>
      <c r="F128" s="139"/>
      <c r="G128" s="139"/>
      <c r="H128" s="141"/>
      <c r="I128" s="139"/>
      <c r="J128" s="142"/>
      <c r="K128" s="139"/>
      <c r="L128" s="143"/>
      <c r="M128" s="141"/>
      <c r="N128" s="141"/>
      <c r="O128" s="141"/>
      <c r="P128" s="141"/>
      <c r="Q128" s="141"/>
      <c r="R128" s="141"/>
      <c r="S128" s="141"/>
      <c r="T128" s="141"/>
      <c r="U128" s="141"/>
      <c r="V128" s="141"/>
      <c r="W128" s="141"/>
      <c r="X128" s="141"/>
      <c r="Y128" s="141"/>
      <c r="Z128" s="141"/>
      <c r="AA128" s="141"/>
      <c r="AB128" s="141"/>
      <c r="AC128" s="141"/>
      <c r="AD128" s="141"/>
    </row>
    <row r="129" spans="1:35" s="32" customFormat="1" ht="12.6" x14ac:dyDescent="0.25">
      <c r="A129" s="35"/>
      <c r="B129" s="35"/>
      <c r="E129" s="139"/>
      <c r="F129" s="139" t="s">
        <v>10</v>
      </c>
      <c r="G129" s="139"/>
      <c r="H129" s="141"/>
      <c r="I129" s="139"/>
      <c r="J129" s="142" t="s">
        <v>1205</v>
      </c>
      <c r="K129" s="139"/>
      <c r="L129" s="143"/>
      <c r="M129" s="141"/>
      <c r="N129" s="141"/>
      <c r="O129" s="141"/>
      <c r="P129" s="141"/>
      <c r="Q129" s="209">
        <f t="shared" ref="Q129:AD129" si="121">IS_Revenue</f>
        <v>446437</v>
      </c>
      <c r="R129" s="209">
        <f t="shared" si="121"/>
        <v>500924</v>
      </c>
      <c r="S129" s="209">
        <f t="shared" si="121"/>
        <v>583515.59155405359</v>
      </c>
      <c r="T129" s="209">
        <f t="shared" si="121"/>
        <v>685344.872080573</v>
      </c>
      <c r="U129" s="209">
        <f t="shared" si="121"/>
        <v>812190.4820599329</v>
      </c>
      <c r="V129" s="209">
        <f t="shared" si="121"/>
        <v>971824.79453884356</v>
      </c>
      <c r="W129" s="209">
        <f t="shared" si="121"/>
        <v>1174742.6343971477</v>
      </c>
      <c r="X129" s="209">
        <f t="shared" si="121"/>
        <v>1435162.002211099</v>
      </c>
      <c r="Y129" s="209">
        <f t="shared" si="121"/>
        <v>1772399.071436577</v>
      </c>
      <c r="Z129" s="209">
        <f t="shared" si="121"/>
        <v>2212758.2734427336</v>
      </c>
      <c r="AA129" s="209">
        <f t="shared" si="121"/>
        <v>2792131.3709527845</v>
      </c>
      <c r="AB129" s="209">
        <f t="shared" si="121"/>
        <v>3559572.5330697442</v>
      </c>
      <c r="AC129" s="209">
        <f t="shared" si="121"/>
        <v>4582217.1209917394</v>
      </c>
      <c r="AD129" s="209">
        <f t="shared" si="121"/>
        <v>5952050.5810853578</v>
      </c>
    </row>
    <row r="130" spans="1:35" s="32" customFormat="1" ht="12.6" x14ac:dyDescent="0.25">
      <c r="A130" s="35"/>
      <c r="B130" s="35"/>
      <c r="E130" s="139"/>
      <c r="F130" s="139" t="s">
        <v>18</v>
      </c>
      <c r="G130" s="139"/>
      <c r="H130" s="141"/>
      <c r="I130" s="139"/>
      <c r="J130" s="142" t="s">
        <v>18</v>
      </c>
      <c r="K130" s="139"/>
      <c r="L130" s="143"/>
      <c r="M130" s="141"/>
      <c r="N130" s="141"/>
      <c r="O130" s="141"/>
      <c r="P130" s="209"/>
      <c r="Q130" s="209">
        <f>Q131/Q129*365</f>
        <v>10.510049570264114</v>
      </c>
      <c r="R130" s="209">
        <f>R131/R129*365</f>
        <v>14.604401066828501</v>
      </c>
      <c r="S130" s="245">
        <f t="shared" ref="S130:AD130" si="122">Inputs_OCL_Days</f>
        <v>12.557225318546308</v>
      </c>
      <c r="T130" s="245">
        <f t="shared" si="122"/>
        <v>12.557225318546308</v>
      </c>
      <c r="U130" s="245">
        <f t="shared" si="122"/>
        <v>12.557225318546308</v>
      </c>
      <c r="V130" s="245">
        <f t="shared" si="122"/>
        <v>12.557225318546308</v>
      </c>
      <c r="W130" s="245">
        <f t="shared" si="122"/>
        <v>12.557225318546308</v>
      </c>
      <c r="X130" s="245">
        <f t="shared" si="122"/>
        <v>12.557225318546308</v>
      </c>
      <c r="Y130" s="245">
        <f t="shared" si="122"/>
        <v>12.557225318546308</v>
      </c>
      <c r="Z130" s="245">
        <f t="shared" si="122"/>
        <v>12.557225318546308</v>
      </c>
      <c r="AA130" s="245">
        <f t="shared" si="122"/>
        <v>12.557225318546308</v>
      </c>
      <c r="AB130" s="245">
        <f t="shared" si="122"/>
        <v>12.557225318546308</v>
      </c>
      <c r="AC130" s="245">
        <f t="shared" si="122"/>
        <v>12.557225318546308</v>
      </c>
      <c r="AD130" s="245">
        <f t="shared" si="122"/>
        <v>12.557225318546308</v>
      </c>
    </row>
    <row r="131" spans="1:35" s="32" customFormat="1" ht="13.2" thickBot="1" x14ac:dyDescent="0.3">
      <c r="A131" s="35"/>
      <c r="B131" s="35"/>
      <c r="E131" s="139"/>
      <c r="F131" s="152" t="s">
        <v>95</v>
      </c>
      <c r="G131" s="152"/>
      <c r="H131" s="153"/>
      <c r="I131" s="152"/>
      <c r="J131" s="154" t="s">
        <v>1205</v>
      </c>
      <c r="K131" s="152"/>
      <c r="L131" s="155" t="s">
        <v>1031</v>
      </c>
      <c r="M131" s="153"/>
      <c r="N131" s="153"/>
      <c r="O131" s="153"/>
      <c r="P131" s="156"/>
      <c r="Q131" s="156">
        <f>BS_Other_NonCurrent_Liabilities</f>
        <v>12855</v>
      </c>
      <c r="R131" s="156">
        <f>BS_Other_NonCurrent_Liabilities</f>
        <v>20043</v>
      </c>
      <c r="S131" s="156">
        <f>(S129)*(S130/365)</f>
        <v>20074.895232956409</v>
      </c>
      <c r="T131" s="156">
        <f t="shared" ref="T131:AD131" si="123">(T129)*(T130/365)</f>
        <v>23578.164327742612</v>
      </c>
      <c r="U131" s="156">
        <f t="shared" si="123"/>
        <v>27942.079136452936</v>
      </c>
      <c r="V131" s="156">
        <f t="shared" si="123"/>
        <v>33434.035384038987</v>
      </c>
      <c r="W131" s="156">
        <f t="shared" si="123"/>
        <v>40415.090277883981</v>
      </c>
      <c r="X131" s="156">
        <f t="shared" si="123"/>
        <v>49374.390768166646</v>
      </c>
      <c r="Y131" s="156">
        <f t="shared" si="123"/>
        <v>60976.478066880423</v>
      </c>
      <c r="Z131" s="156">
        <f t="shared" si="123"/>
        <v>76126.312918076466</v>
      </c>
      <c r="AA131" s="156">
        <f t="shared" si="123"/>
        <v>96058.692449412934</v>
      </c>
      <c r="AB131" s="156">
        <f t="shared" si="123"/>
        <v>122461.24475469976</v>
      </c>
      <c r="AC131" s="156">
        <f t="shared" si="123"/>
        <v>157643.65163505165</v>
      </c>
      <c r="AD131" s="156">
        <f t="shared" si="123"/>
        <v>204770.5212440365</v>
      </c>
    </row>
    <row r="132" spans="1:35" s="32" customFormat="1" ht="12.6" x14ac:dyDescent="0.25">
      <c r="A132" s="35"/>
      <c r="B132" s="35"/>
      <c r="E132" s="97"/>
      <c r="F132" s="97" t="s">
        <v>1030</v>
      </c>
      <c r="G132" s="97"/>
      <c r="H132" s="101"/>
      <c r="I132" s="97"/>
      <c r="J132" s="142" t="s">
        <v>1205</v>
      </c>
      <c r="L132" s="99" t="s">
        <v>1032</v>
      </c>
      <c r="M132" s="103"/>
      <c r="N132" s="108"/>
      <c r="O132" s="108"/>
      <c r="P132" s="108"/>
      <c r="Q132" s="141"/>
      <c r="R132" s="141">
        <f t="shared" ref="R132:AD132" si="124">R131-Q131</f>
        <v>7188</v>
      </c>
      <c r="S132" s="141">
        <f t="shared" si="124"/>
        <v>31.895232956409018</v>
      </c>
      <c r="T132" s="141">
        <f t="shared" si="124"/>
        <v>3503.2690947862029</v>
      </c>
      <c r="U132" s="141">
        <f t="shared" si="124"/>
        <v>4363.914808710324</v>
      </c>
      <c r="V132" s="141">
        <f t="shared" si="124"/>
        <v>5491.9562475860512</v>
      </c>
      <c r="W132" s="141">
        <f t="shared" si="124"/>
        <v>6981.0548938449938</v>
      </c>
      <c r="X132" s="141">
        <f t="shared" si="124"/>
        <v>8959.3004902826651</v>
      </c>
      <c r="Y132" s="141">
        <f t="shared" si="124"/>
        <v>11602.087298713777</v>
      </c>
      <c r="Z132" s="141">
        <f t="shared" si="124"/>
        <v>15149.834851196043</v>
      </c>
      <c r="AA132" s="141">
        <f t="shared" si="124"/>
        <v>19932.379531336468</v>
      </c>
      <c r="AB132" s="141">
        <f t="shared" si="124"/>
        <v>26402.552305286823</v>
      </c>
      <c r="AC132" s="141">
        <f t="shared" si="124"/>
        <v>35182.406880351889</v>
      </c>
      <c r="AD132" s="141">
        <f t="shared" si="124"/>
        <v>47126.869608984853</v>
      </c>
    </row>
    <row r="133" spans="1:35" s="32" customFormat="1" ht="12.6" x14ac:dyDescent="0.25">
      <c r="A133" s="35"/>
      <c r="B133" s="35"/>
      <c r="E133" s="97"/>
      <c r="F133" s="97"/>
      <c r="G133" s="97"/>
      <c r="H133" s="101"/>
      <c r="I133" s="97"/>
      <c r="J133" s="98"/>
      <c r="L133" s="99"/>
      <c r="M133" s="103"/>
      <c r="N133" s="108"/>
      <c r="O133" s="108"/>
      <c r="P133" s="108"/>
      <c r="Q133" s="108"/>
      <c r="R133" s="141"/>
      <c r="S133" s="141"/>
      <c r="T133" s="141"/>
      <c r="U133" s="141"/>
      <c r="V133" s="141"/>
      <c r="W133" s="141"/>
      <c r="X133" s="141"/>
      <c r="Y133" s="141"/>
      <c r="Z133" s="141"/>
      <c r="AA133" s="141"/>
      <c r="AB133" s="141"/>
      <c r="AC133" s="141"/>
      <c r="AD133" s="141"/>
    </row>
    <row r="134" spans="1:35" s="32" customFormat="1" ht="13.2" thickBot="1" x14ac:dyDescent="0.3">
      <c r="A134" s="35"/>
      <c r="B134" s="35"/>
      <c r="H134" s="103"/>
      <c r="J134" s="37"/>
      <c r="L134" s="38"/>
      <c r="M134" s="103"/>
      <c r="N134" s="103"/>
      <c r="O134" s="103"/>
      <c r="P134" s="103"/>
      <c r="Q134" s="103"/>
      <c r="R134" s="103"/>
      <c r="S134" s="103"/>
      <c r="T134" s="103"/>
      <c r="U134" s="103"/>
      <c r="V134" s="103"/>
      <c r="W134" s="103"/>
      <c r="X134" s="103"/>
      <c r="Y134" s="103"/>
      <c r="Z134" s="103"/>
      <c r="AA134" s="103"/>
      <c r="AB134" s="103"/>
      <c r="AC134" s="103"/>
      <c r="AD134" s="103"/>
    </row>
    <row r="135" spans="1:35" s="97" customFormat="1" ht="13.2" thickTop="1" x14ac:dyDescent="0.25">
      <c r="A135" s="1"/>
      <c r="B135" s="39" t="s">
        <v>15</v>
      </c>
      <c r="C135" s="40"/>
      <c r="D135" s="40"/>
      <c r="E135" s="40"/>
      <c r="F135" s="41"/>
      <c r="G135" s="40"/>
      <c r="H135" s="40"/>
      <c r="I135" s="42"/>
      <c r="J135" s="42"/>
      <c r="K135" s="40"/>
      <c r="L135" s="43"/>
      <c r="M135" s="40"/>
      <c r="N135" s="42"/>
      <c r="O135" s="42"/>
      <c r="P135" s="42"/>
      <c r="Q135" s="42"/>
      <c r="R135" s="42"/>
      <c r="S135" s="42"/>
      <c r="T135" s="42"/>
      <c r="U135" s="42"/>
      <c r="V135" s="42"/>
      <c r="W135" s="42"/>
      <c r="X135" s="42"/>
      <c r="Y135" s="42"/>
      <c r="Z135" s="42"/>
      <c r="AA135" s="42"/>
      <c r="AB135" s="42"/>
      <c r="AC135" s="42"/>
      <c r="AD135" s="42"/>
      <c r="AE135" s="1"/>
    </row>
    <row r="136" spans="1:35" x14ac:dyDescent="0.2">
      <c r="A136" s="97"/>
      <c r="B136" s="97"/>
      <c r="C136" s="97"/>
      <c r="D136" s="97"/>
      <c r="E136" s="97"/>
      <c r="F136" s="97"/>
      <c r="N136" s="18"/>
    </row>
    <row r="137" spans="1:35" x14ac:dyDescent="0.2">
      <c r="A137" s="97"/>
      <c r="B137" s="97"/>
      <c r="C137" s="97"/>
      <c r="D137" s="97"/>
      <c r="E137" s="97"/>
      <c r="F137" s="97"/>
      <c r="N137" s="18"/>
    </row>
    <row r="138" spans="1:35" s="18" customFormat="1" x14ac:dyDescent="0.2">
      <c r="A138" s="97"/>
      <c r="B138" s="97"/>
      <c r="C138" s="97"/>
      <c r="D138" s="97"/>
      <c r="E138" s="97"/>
      <c r="F138" s="97"/>
      <c r="G138" s="1"/>
      <c r="H138" s="1"/>
      <c r="I138" s="1"/>
      <c r="J138" s="2"/>
      <c r="K138" s="1"/>
      <c r="L138" s="3"/>
      <c r="M138" s="1"/>
      <c r="AE138" s="1"/>
      <c r="AF138" s="1"/>
      <c r="AG138" s="1"/>
      <c r="AH138" s="1"/>
      <c r="AI138" s="1"/>
    </row>
    <row r="139" spans="1:35" s="18" customFormat="1" x14ac:dyDescent="0.2">
      <c r="A139" s="97"/>
      <c r="B139" s="97"/>
      <c r="C139" s="97"/>
      <c r="D139" s="97"/>
      <c r="E139" s="97"/>
      <c r="F139" s="97"/>
      <c r="G139" s="1"/>
      <c r="H139" s="1"/>
      <c r="I139" s="1"/>
      <c r="J139" s="2"/>
      <c r="K139" s="1"/>
      <c r="L139" s="3"/>
      <c r="M139" s="1"/>
      <c r="AE139" s="1"/>
      <c r="AF139" s="1"/>
      <c r="AG139" s="1"/>
      <c r="AH139" s="1"/>
      <c r="AI139" s="1"/>
    </row>
    <row r="140" spans="1:35" s="18" customFormat="1" x14ac:dyDescent="0.2">
      <c r="A140" s="97"/>
      <c r="B140" s="97"/>
      <c r="C140" s="97"/>
      <c r="D140" s="97"/>
      <c r="E140" s="97"/>
      <c r="F140" s="97"/>
      <c r="G140" s="1"/>
      <c r="H140" s="1"/>
      <c r="I140" s="1"/>
      <c r="J140" s="2"/>
      <c r="K140" s="1"/>
      <c r="L140" s="3"/>
      <c r="M140" s="1"/>
      <c r="AE140" s="1"/>
      <c r="AF140" s="1"/>
      <c r="AG140" s="1"/>
      <c r="AH140" s="1"/>
      <c r="AI140" s="1"/>
    </row>
    <row r="141" spans="1:35" s="18" customFormat="1" x14ac:dyDescent="0.2">
      <c r="A141" s="97"/>
      <c r="B141" s="97"/>
      <c r="C141" s="97"/>
      <c r="D141" s="97"/>
      <c r="E141" s="97"/>
      <c r="F141" s="97"/>
      <c r="G141" s="1"/>
      <c r="H141" s="1"/>
      <c r="I141" s="1"/>
      <c r="J141" s="2"/>
      <c r="K141" s="1"/>
      <c r="L141" s="3"/>
      <c r="M141" s="1"/>
      <c r="AE141" s="1"/>
      <c r="AF141" s="1"/>
      <c r="AG141" s="1"/>
      <c r="AH141" s="1"/>
      <c r="AI141" s="1"/>
    </row>
    <row r="142" spans="1:35" s="18" customFormat="1" x14ac:dyDescent="0.2">
      <c r="A142" s="97"/>
      <c r="B142" s="97"/>
      <c r="C142" s="97"/>
      <c r="D142" s="97"/>
      <c r="E142" s="97"/>
      <c r="F142" s="97"/>
      <c r="G142" s="1"/>
      <c r="H142" s="1"/>
      <c r="I142" s="1"/>
      <c r="J142" s="2"/>
      <c r="K142" s="1"/>
      <c r="L142" s="3"/>
      <c r="M142" s="1"/>
      <c r="AE142" s="1"/>
      <c r="AF142" s="1"/>
      <c r="AG142" s="1"/>
      <c r="AH142" s="1"/>
      <c r="AI142" s="1"/>
    </row>
    <row r="143" spans="1:35" s="18" customFormat="1" x14ac:dyDescent="0.2">
      <c r="A143" s="97"/>
      <c r="B143" s="97"/>
      <c r="C143" s="97"/>
      <c r="D143" s="97"/>
      <c r="E143" s="97"/>
      <c r="F143" s="97"/>
      <c r="G143" s="1"/>
      <c r="H143" s="1"/>
      <c r="I143" s="1"/>
      <c r="J143" s="2"/>
      <c r="K143" s="1"/>
      <c r="L143" s="3"/>
      <c r="M143" s="1"/>
      <c r="AE143" s="1"/>
      <c r="AF143" s="1"/>
      <c r="AG143" s="1"/>
      <c r="AH143" s="1"/>
      <c r="AI143" s="1"/>
    </row>
    <row r="144" spans="1:35" s="18" customFormat="1" x14ac:dyDescent="0.2">
      <c r="A144" s="97"/>
      <c r="B144" s="97"/>
      <c r="C144" s="97"/>
      <c r="D144" s="97"/>
      <c r="E144" s="97"/>
      <c r="F144" s="97"/>
      <c r="G144" s="1"/>
      <c r="H144" s="1"/>
      <c r="I144" s="1"/>
      <c r="J144" s="2"/>
      <c r="K144" s="1"/>
      <c r="L144" s="3"/>
      <c r="M144" s="1"/>
      <c r="AE144" s="1"/>
      <c r="AF144" s="1"/>
      <c r="AG144" s="1"/>
      <c r="AH144" s="1"/>
      <c r="AI144" s="1"/>
    </row>
    <row r="145" spans="1:35" s="18" customFormat="1" x14ac:dyDescent="0.2">
      <c r="A145" s="97"/>
      <c r="B145" s="97"/>
      <c r="C145" s="97"/>
      <c r="D145" s="97"/>
      <c r="E145" s="97"/>
      <c r="F145" s="97"/>
      <c r="G145" s="1"/>
      <c r="H145" s="1"/>
      <c r="I145" s="1"/>
      <c r="J145" s="2"/>
      <c r="K145" s="1"/>
      <c r="L145" s="3"/>
      <c r="M145" s="1"/>
      <c r="AE145" s="1"/>
      <c r="AF145" s="1"/>
      <c r="AG145" s="1"/>
      <c r="AH145" s="1"/>
      <c r="AI145" s="1"/>
    </row>
    <row r="146" spans="1:35" s="18" customFormat="1" x14ac:dyDescent="0.2">
      <c r="A146" s="97"/>
      <c r="B146" s="97"/>
      <c r="C146" s="97"/>
      <c r="D146" s="97"/>
      <c r="E146" s="97"/>
      <c r="F146" s="97"/>
      <c r="G146" s="1"/>
      <c r="H146" s="1"/>
      <c r="I146" s="1"/>
      <c r="J146" s="2"/>
      <c r="K146" s="1"/>
      <c r="L146" s="3"/>
      <c r="M146" s="1"/>
      <c r="AE146" s="1"/>
      <c r="AF146" s="1"/>
      <c r="AG146" s="1"/>
      <c r="AH146" s="1"/>
      <c r="AI146" s="1"/>
    </row>
    <row r="147" spans="1:35" s="18" customFormat="1" x14ac:dyDescent="0.2">
      <c r="A147" s="97"/>
      <c r="B147" s="97"/>
      <c r="C147" s="97"/>
      <c r="D147" s="97"/>
      <c r="E147" s="97"/>
      <c r="F147" s="97"/>
      <c r="G147" s="1"/>
      <c r="H147" s="1"/>
      <c r="I147" s="1"/>
      <c r="J147" s="2"/>
      <c r="K147" s="1"/>
      <c r="L147" s="3"/>
      <c r="M147" s="1"/>
      <c r="AE147" s="1"/>
      <c r="AF147" s="1"/>
      <c r="AG147" s="1"/>
      <c r="AH147" s="1"/>
      <c r="AI147" s="1"/>
    </row>
    <row r="148" spans="1:35" s="18" customFormat="1" x14ac:dyDescent="0.2">
      <c r="A148" s="97"/>
      <c r="B148" s="97"/>
      <c r="C148" s="97"/>
      <c r="D148" s="97"/>
      <c r="E148" s="97"/>
      <c r="F148" s="97"/>
      <c r="G148" s="1"/>
      <c r="H148" s="1"/>
      <c r="I148" s="1"/>
      <c r="J148" s="2"/>
      <c r="K148" s="1"/>
      <c r="L148" s="3"/>
      <c r="M148" s="1"/>
      <c r="AE148" s="1"/>
      <c r="AF148" s="1"/>
      <c r="AG148" s="1"/>
      <c r="AH148" s="1"/>
      <c r="AI148" s="1"/>
    </row>
    <row r="149" spans="1:35" s="18" customFormat="1" x14ac:dyDescent="0.2">
      <c r="A149" s="97"/>
      <c r="B149" s="97"/>
      <c r="C149" s="97"/>
      <c r="D149" s="97"/>
      <c r="E149" s="97"/>
      <c r="F149" s="97"/>
      <c r="G149" s="1"/>
      <c r="H149" s="1"/>
      <c r="I149" s="1"/>
      <c r="J149" s="2"/>
      <c r="K149" s="1"/>
      <c r="L149" s="3"/>
      <c r="M149" s="1"/>
      <c r="AE149" s="1"/>
      <c r="AF149" s="1"/>
      <c r="AG149" s="1"/>
      <c r="AH149" s="1"/>
      <c r="AI149" s="1"/>
    </row>
    <row r="150" spans="1:35" s="18" customFormat="1" x14ac:dyDescent="0.2">
      <c r="A150" s="97"/>
      <c r="B150" s="97"/>
      <c r="C150" s="97"/>
      <c r="D150" s="97"/>
      <c r="E150" s="97"/>
      <c r="F150" s="97"/>
      <c r="G150" s="1"/>
      <c r="H150" s="1"/>
      <c r="I150" s="1"/>
      <c r="J150" s="2"/>
      <c r="K150" s="1"/>
      <c r="L150" s="3"/>
      <c r="M150" s="1"/>
      <c r="AE150" s="1"/>
      <c r="AF150" s="1"/>
      <c r="AG150" s="1"/>
      <c r="AH150" s="1"/>
      <c r="AI150" s="1"/>
    </row>
    <row r="151" spans="1:35" s="18" customFormat="1" x14ac:dyDescent="0.2">
      <c r="A151" s="97"/>
      <c r="B151" s="97"/>
      <c r="C151" s="97"/>
      <c r="D151" s="97"/>
      <c r="E151" s="97"/>
      <c r="F151" s="97"/>
      <c r="G151" s="1"/>
      <c r="H151" s="1"/>
      <c r="I151" s="1"/>
      <c r="J151" s="2"/>
      <c r="K151" s="1"/>
      <c r="L151" s="3"/>
      <c r="M151" s="1"/>
      <c r="AE151" s="1"/>
      <c r="AF151" s="1"/>
      <c r="AG151" s="1"/>
      <c r="AH151" s="1"/>
      <c r="AI151" s="1"/>
    </row>
    <row r="152" spans="1:35" s="18" customFormat="1" x14ac:dyDescent="0.2">
      <c r="A152" s="97"/>
      <c r="B152" s="97"/>
      <c r="C152" s="97"/>
      <c r="D152" s="97"/>
      <c r="E152" s="97"/>
      <c r="F152" s="97"/>
      <c r="G152" s="1"/>
      <c r="H152" s="1"/>
      <c r="I152" s="1"/>
      <c r="J152" s="2"/>
      <c r="K152" s="1"/>
      <c r="L152" s="3"/>
      <c r="M152" s="1"/>
      <c r="AE152" s="1"/>
      <c r="AF152" s="1"/>
      <c r="AG152" s="1"/>
      <c r="AH152" s="1"/>
      <c r="AI152" s="1"/>
    </row>
    <row r="153" spans="1:35" s="18" customFormat="1" x14ac:dyDescent="0.2">
      <c r="A153" s="97"/>
      <c r="B153" s="97"/>
      <c r="C153" s="97"/>
      <c r="D153" s="97"/>
      <c r="E153" s="97"/>
      <c r="F153" s="97"/>
      <c r="G153" s="1"/>
      <c r="H153" s="1"/>
      <c r="I153" s="1"/>
      <c r="J153" s="2"/>
      <c r="K153" s="1"/>
      <c r="L153" s="3"/>
      <c r="M153" s="1"/>
      <c r="AE153" s="1"/>
      <c r="AF153" s="1"/>
      <c r="AG153" s="1"/>
      <c r="AH153" s="1"/>
      <c r="AI153" s="1"/>
    </row>
    <row r="154" spans="1:35" s="18" customFormat="1" x14ac:dyDescent="0.2">
      <c r="A154" s="97"/>
      <c r="B154" s="97"/>
      <c r="C154" s="97"/>
      <c r="D154" s="97"/>
      <c r="E154" s="97"/>
      <c r="F154" s="97"/>
      <c r="G154" s="1"/>
      <c r="H154" s="1"/>
      <c r="I154" s="1"/>
      <c r="J154" s="2"/>
      <c r="K154" s="1"/>
      <c r="L154" s="3"/>
      <c r="M154" s="1"/>
      <c r="AE154" s="1"/>
      <c r="AF154" s="1"/>
      <c r="AG154" s="1"/>
      <c r="AH154" s="1"/>
      <c r="AI154" s="1"/>
    </row>
    <row r="155" spans="1:35" s="18" customFormat="1" x14ac:dyDescent="0.2">
      <c r="A155" s="97"/>
      <c r="B155" s="97"/>
      <c r="C155" s="97"/>
      <c r="D155" s="97"/>
      <c r="E155" s="97"/>
      <c r="F155" s="97"/>
      <c r="G155" s="1"/>
      <c r="H155" s="1"/>
      <c r="I155" s="1"/>
      <c r="J155" s="2"/>
      <c r="K155" s="1"/>
      <c r="L155" s="3"/>
      <c r="M155" s="1"/>
      <c r="AE155" s="1"/>
      <c r="AF155" s="1"/>
      <c r="AG155" s="1"/>
      <c r="AH155" s="1"/>
      <c r="AI155" s="1"/>
    </row>
    <row r="156" spans="1:35" s="18" customFormat="1" x14ac:dyDescent="0.2">
      <c r="A156" s="97"/>
      <c r="B156" s="97"/>
      <c r="C156" s="97"/>
      <c r="D156" s="97"/>
      <c r="E156" s="97"/>
      <c r="F156" s="97"/>
      <c r="G156" s="1"/>
      <c r="H156" s="1"/>
      <c r="I156" s="1"/>
      <c r="J156" s="2"/>
      <c r="K156" s="1"/>
      <c r="L156" s="3"/>
      <c r="M156" s="1"/>
      <c r="AE156" s="1"/>
      <c r="AF156" s="1"/>
      <c r="AG156" s="1"/>
      <c r="AH156" s="1"/>
      <c r="AI156" s="1"/>
    </row>
    <row r="157" spans="1:35" s="18" customFormat="1" x14ac:dyDescent="0.2">
      <c r="A157" s="97"/>
      <c r="B157" s="97"/>
      <c r="C157" s="97"/>
      <c r="D157" s="97"/>
      <c r="E157" s="97"/>
      <c r="F157" s="97"/>
      <c r="G157" s="1"/>
      <c r="H157" s="1"/>
      <c r="I157" s="1"/>
      <c r="J157" s="2"/>
      <c r="K157" s="1"/>
      <c r="L157" s="3"/>
      <c r="M157" s="1"/>
      <c r="AE157" s="1"/>
      <c r="AF157" s="1"/>
      <c r="AG157" s="1"/>
      <c r="AH157" s="1"/>
      <c r="AI157" s="1"/>
    </row>
    <row r="158" spans="1:35" s="18" customFormat="1" x14ac:dyDescent="0.2">
      <c r="A158" s="97"/>
      <c r="B158" s="97"/>
      <c r="C158" s="97"/>
      <c r="D158" s="97"/>
      <c r="E158" s="97"/>
      <c r="F158" s="97"/>
      <c r="G158" s="1"/>
      <c r="H158" s="1"/>
      <c r="I158" s="1"/>
      <c r="J158" s="2"/>
      <c r="K158" s="1"/>
      <c r="L158" s="3"/>
      <c r="M158" s="1"/>
      <c r="AE158" s="1"/>
      <c r="AF158" s="1"/>
      <c r="AG158" s="1"/>
      <c r="AH158" s="1"/>
      <c r="AI158" s="1"/>
    </row>
    <row r="159" spans="1:35" s="18" customFormat="1" x14ac:dyDescent="0.2">
      <c r="A159" s="97"/>
      <c r="B159" s="97"/>
      <c r="C159" s="97"/>
      <c r="D159" s="97"/>
      <c r="E159" s="97"/>
      <c r="F159" s="97"/>
      <c r="G159" s="1"/>
      <c r="H159" s="1"/>
      <c r="I159" s="1"/>
      <c r="J159" s="2"/>
      <c r="K159" s="1"/>
      <c r="L159" s="3"/>
      <c r="M159" s="1"/>
      <c r="AE159" s="1"/>
      <c r="AF159" s="1"/>
      <c r="AG159" s="1"/>
      <c r="AH159" s="1"/>
      <c r="AI159" s="1"/>
    </row>
    <row r="160" spans="1:35" s="18" customFormat="1" x14ac:dyDescent="0.2">
      <c r="A160" s="97"/>
      <c r="B160" s="97"/>
      <c r="C160" s="97"/>
      <c r="D160" s="97"/>
      <c r="E160" s="97"/>
      <c r="F160" s="97"/>
      <c r="G160" s="1"/>
      <c r="H160" s="1"/>
      <c r="I160" s="1"/>
      <c r="J160" s="2"/>
      <c r="K160" s="1"/>
      <c r="L160" s="3"/>
      <c r="M160" s="1"/>
      <c r="AE160" s="1"/>
      <c r="AF160" s="1"/>
      <c r="AG160" s="1"/>
      <c r="AH160" s="1"/>
      <c r="AI160" s="1"/>
    </row>
    <row r="161" spans="1:35" s="18" customFormat="1" x14ac:dyDescent="0.2">
      <c r="A161" s="97"/>
      <c r="B161" s="97"/>
      <c r="C161" s="97"/>
      <c r="D161" s="97"/>
      <c r="E161" s="97"/>
      <c r="F161" s="97"/>
      <c r="G161" s="1"/>
      <c r="H161" s="1"/>
      <c r="I161" s="1"/>
      <c r="J161" s="2"/>
      <c r="K161" s="1"/>
      <c r="L161" s="3"/>
      <c r="M161" s="1"/>
      <c r="AE161" s="1"/>
      <c r="AF161" s="1"/>
      <c r="AG161" s="1"/>
      <c r="AH161" s="1"/>
      <c r="AI161" s="1"/>
    </row>
    <row r="162" spans="1:35" s="18" customFormat="1" x14ac:dyDescent="0.2">
      <c r="A162" s="97"/>
      <c r="B162" s="97"/>
      <c r="C162" s="97"/>
      <c r="D162" s="97"/>
      <c r="E162" s="97"/>
      <c r="F162" s="97"/>
      <c r="G162" s="1"/>
      <c r="H162" s="1"/>
      <c r="I162" s="1"/>
      <c r="J162" s="2"/>
      <c r="K162" s="1"/>
      <c r="L162" s="3"/>
      <c r="M162" s="1"/>
      <c r="AE162" s="1"/>
      <c r="AF162" s="1"/>
      <c r="AG162" s="1"/>
      <c r="AH162" s="1"/>
      <c r="AI162" s="1"/>
    </row>
    <row r="163" spans="1:35" s="18" customFormat="1" x14ac:dyDescent="0.2">
      <c r="A163" s="97"/>
      <c r="B163" s="97"/>
      <c r="C163" s="97"/>
      <c r="D163" s="97"/>
      <c r="E163" s="97"/>
      <c r="F163" s="97"/>
      <c r="G163" s="1"/>
      <c r="H163" s="1"/>
      <c r="I163" s="1"/>
      <c r="J163" s="2"/>
      <c r="K163" s="1"/>
      <c r="L163" s="3"/>
      <c r="M163" s="1"/>
      <c r="AE163" s="1"/>
      <c r="AF163" s="1"/>
      <c r="AG163" s="1"/>
      <c r="AH163" s="1"/>
      <c r="AI163" s="1"/>
    </row>
    <row r="164" spans="1:35" s="18" customFormat="1" x14ac:dyDescent="0.2">
      <c r="A164" s="97"/>
      <c r="B164" s="97"/>
      <c r="C164" s="97"/>
      <c r="D164" s="97"/>
      <c r="E164" s="97"/>
      <c r="F164" s="97"/>
      <c r="G164" s="1"/>
      <c r="H164" s="1"/>
      <c r="I164" s="1"/>
      <c r="J164" s="2"/>
      <c r="K164" s="1"/>
      <c r="L164" s="3"/>
      <c r="M164" s="1"/>
      <c r="AE164" s="1"/>
      <c r="AF164" s="1"/>
      <c r="AG164" s="1"/>
      <c r="AH164" s="1"/>
      <c r="AI164" s="1"/>
    </row>
    <row r="165" spans="1:35" s="18" customFormat="1" x14ac:dyDescent="0.2">
      <c r="A165" s="97"/>
      <c r="B165" s="97"/>
      <c r="C165" s="97"/>
      <c r="D165" s="97"/>
      <c r="E165" s="97"/>
      <c r="F165" s="97"/>
      <c r="G165" s="1"/>
      <c r="H165" s="1"/>
      <c r="I165" s="1"/>
      <c r="J165" s="2"/>
      <c r="K165" s="1"/>
      <c r="L165" s="3"/>
      <c r="M165" s="1"/>
      <c r="AE165" s="1"/>
      <c r="AF165" s="1"/>
      <c r="AG165" s="1"/>
      <c r="AH165" s="1"/>
      <c r="AI165" s="1"/>
    </row>
    <row r="166" spans="1:35" s="18" customFormat="1" x14ac:dyDescent="0.2">
      <c r="A166" s="97"/>
      <c r="B166" s="97"/>
      <c r="C166" s="97"/>
      <c r="D166" s="97"/>
      <c r="E166" s="97"/>
      <c r="F166" s="97"/>
      <c r="G166" s="1"/>
      <c r="H166" s="1"/>
      <c r="I166" s="1"/>
      <c r="J166" s="2"/>
      <c r="K166" s="1"/>
      <c r="L166" s="3"/>
      <c r="M166" s="1"/>
      <c r="AE166" s="1"/>
      <c r="AF166" s="1"/>
      <c r="AG166" s="1"/>
      <c r="AH166" s="1"/>
      <c r="AI166" s="1"/>
    </row>
    <row r="167" spans="1:35" s="18" customFormat="1" x14ac:dyDescent="0.2">
      <c r="A167" s="97"/>
      <c r="B167" s="97"/>
      <c r="C167" s="97"/>
      <c r="D167" s="97"/>
      <c r="E167" s="97"/>
      <c r="F167" s="97"/>
      <c r="G167" s="1"/>
      <c r="H167" s="1"/>
      <c r="I167" s="1"/>
      <c r="J167" s="2"/>
      <c r="K167" s="1"/>
      <c r="L167" s="3"/>
      <c r="M167" s="1"/>
      <c r="AE167" s="1"/>
      <c r="AF167" s="1"/>
      <c r="AG167" s="1"/>
      <c r="AH167" s="1"/>
      <c r="AI167" s="1"/>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x14ac:dyDescent="0.2">
      <c r="A183" s="97"/>
      <c r="B183" s="97"/>
      <c r="C183" s="97"/>
      <c r="D183" s="97"/>
      <c r="E183" s="97"/>
      <c r="F183" s="97"/>
      <c r="G183" s="1"/>
      <c r="H183" s="1"/>
      <c r="I183" s="1"/>
      <c r="J183" s="2"/>
      <c r="K183" s="1"/>
      <c r="L183" s="3"/>
      <c r="M183" s="1"/>
      <c r="AE183" s="1"/>
      <c r="AF183" s="1"/>
      <c r="AG183" s="1"/>
      <c r="AH183" s="1"/>
      <c r="AI183" s="1"/>
    </row>
    <row r="184" spans="1:35" s="18" customFormat="1" x14ac:dyDescent="0.2">
      <c r="A184" s="97"/>
      <c r="B184" s="97"/>
      <c r="C184" s="97"/>
      <c r="D184" s="97"/>
      <c r="E184" s="97"/>
      <c r="F184" s="97"/>
      <c r="G184" s="1"/>
      <c r="H184" s="1"/>
      <c r="I184" s="1"/>
      <c r="J184" s="2"/>
      <c r="K184" s="1"/>
      <c r="L184" s="3"/>
      <c r="M184" s="1"/>
      <c r="AE184" s="1"/>
      <c r="AF184" s="1"/>
      <c r="AG184" s="1"/>
      <c r="AH184" s="1"/>
      <c r="AI184" s="1"/>
    </row>
    <row r="185" spans="1:35" s="18" customFormat="1" x14ac:dyDescent="0.2">
      <c r="A185" s="97"/>
      <c r="B185" s="97"/>
      <c r="C185" s="97"/>
      <c r="D185" s="97"/>
      <c r="E185" s="97"/>
      <c r="F185" s="97"/>
      <c r="G185" s="1"/>
      <c r="H185" s="1"/>
      <c r="I185" s="1"/>
      <c r="J185" s="2"/>
      <c r="K185" s="1"/>
      <c r="L185" s="3"/>
      <c r="M185" s="1"/>
      <c r="AE185" s="1"/>
      <c r="AF185" s="1"/>
      <c r="AG185" s="1"/>
      <c r="AH185" s="1"/>
      <c r="AI185" s="1"/>
    </row>
    <row r="186" spans="1:35" s="18" customFormat="1" x14ac:dyDescent="0.2">
      <c r="A186" s="97"/>
      <c r="B186" s="97"/>
      <c r="C186" s="97"/>
      <c r="D186" s="97"/>
      <c r="E186" s="97"/>
      <c r="F186" s="97"/>
      <c r="G186" s="1"/>
      <c r="H186" s="1"/>
      <c r="I186" s="1"/>
      <c r="J186" s="2"/>
      <c r="K186" s="1"/>
      <c r="L186" s="3"/>
      <c r="M186" s="1"/>
      <c r="AE186" s="1"/>
      <c r="AF186" s="1"/>
      <c r="AG186" s="1"/>
      <c r="AH186" s="1"/>
      <c r="AI186" s="1"/>
    </row>
    <row r="187" spans="1:35" s="18" customFormat="1" x14ac:dyDescent="0.2">
      <c r="A187" s="97"/>
      <c r="B187" s="97"/>
      <c r="C187" s="97"/>
      <c r="D187" s="97"/>
      <c r="E187" s="97"/>
      <c r="F187" s="97"/>
      <c r="G187" s="1"/>
      <c r="H187" s="1"/>
      <c r="I187" s="1"/>
      <c r="J187" s="2"/>
      <c r="K187" s="1"/>
      <c r="L187" s="3"/>
      <c r="M187" s="1"/>
      <c r="AE187" s="1"/>
      <c r="AF187" s="1"/>
      <c r="AG187" s="1"/>
      <c r="AH187" s="1"/>
      <c r="AI187" s="1"/>
    </row>
    <row r="188" spans="1:35" s="18" customFormat="1" x14ac:dyDescent="0.2">
      <c r="A188" s="97"/>
      <c r="B188" s="97"/>
      <c r="C188" s="97"/>
      <c r="D188" s="97"/>
      <c r="E188" s="97"/>
      <c r="F188" s="97"/>
      <c r="G188" s="1"/>
      <c r="H188" s="1"/>
      <c r="I188" s="1"/>
      <c r="J188" s="2"/>
      <c r="K188" s="1"/>
      <c r="L188" s="3"/>
      <c r="M188" s="1"/>
      <c r="AE188" s="1"/>
      <c r="AF188" s="1"/>
      <c r="AG188" s="1"/>
      <c r="AH188" s="1"/>
      <c r="AI188" s="1"/>
    </row>
    <row r="189" spans="1:35" s="18" customFormat="1" x14ac:dyDescent="0.2">
      <c r="A189" s="97"/>
      <c r="B189" s="97"/>
      <c r="C189" s="97"/>
      <c r="D189" s="97"/>
      <c r="E189" s="97"/>
      <c r="F189" s="97"/>
      <c r="G189" s="1"/>
      <c r="H189" s="1"/>
      <c r="I189" s="1"/>
      <c r="J189" s="2"/>
      <c r="K189" s="1"/>
      <c r="L189" s="3"/>
      <c r="M189" s="1"/>
      <c r="AE189" s="1"/>
      <c r="AF189" s="1"/>
      <c r="AG189" s="1"/>
      <c r="AH189" s="1"/>
      <c r="AI189" s="1"/>
    </row>
    <row r="190" spans="1:35" s="18" customFormat="1" x14ac:dyDescent="0.2">
      <c r="A190" s="97"/>
      <c r="B190" s="97"/>
      <c r="C190" s="97"/>
      <c r="D190" s="97"/>
      <c r="E190" s="97"/>
      <c r="F190" s="97"/>
      <c r="G190" s="1"/>
      <c r="H190" s="1"/>
      <c r="I190" s="1"/>
      <c r="J190" s="2"/>
      <c r="K190" s="1"/>
      <c r="L190" s="3"/>
      <c r="M190" s="1"/>
      <c r="AE190" s="1"/>
      <c r="AF190" s="1"/>
      <c r="AG190" s="1"/>
      <c r="AH190" s="1"/>
      <c r="AI190" s="1"/>
    </row>
    <row r="191" spans="1:35" s="18" customFormat="1" x14ac:dyDescent="0.2">
      <c r="A191" s="97"/>
      <c r="B191" s="97"/>
      <c r="C191" s="97"/>
      <c r="D191" s="97"/>
      <c r="E191" s="97"/>
      <c r="F191" s="97"/>
      <c r="G191" s="1"/>
      <c r="H191" s="1"/>
      <c r="I191" s="1"/>
      <c r="J191" s="2"/>
      <c r="K191" s="1"/>
      <c r="L191" s="3"/>
      <c r="M191" s="1"/>
      <c r="AE191" s="1"/>
      <c r="AF191" s="1"/>
      <c r="AG191" s="1"/>
      <c r="AH191" s="1"/>
      <c r="AI191" s="1"/>
    </row>
    <row r="192" spans="1:35" s="18" customFormat="1" x14ac:dyDescent="0.2">
      <c r="A192" s="97"/>
      <c r="B192" s="97"/>
      <c r="C192" s="97"/>
      <c r="D192" s="97"/>
      <c r="E192" s="97"/>
      <c r="F192" s="97"/>
      <c r="G192" s="1"/>
      <c r="H192" s="1"/>
      <c r="I192" s="1"/>
      <c r="J192" s="2"/>
      <c r="K192" s="1"/>
      <c r="L192" s="3"/>
      <c r="M192" s="1"/>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AE241" s="1"/>
      <c r="AF241" s="1"/>
      <c r="AG241" s="1"/>
      <c r="AH241" s="1"/>
      <c r="AI241" s="1"/>
    </row>
    <row r="242" spans="1:35" s="18" customFormat="1" x14ac:dyDescent="0.2">
      <c r="A242" s="97"/>
      <c r="B242" s="97"/>
      <c r="C242" s="97"/>
      <c r="D242" s="97"/>
      <c r="E242" s="97"/>
      <c r="F242" s="97"/>
      <c r="G242" s="1"/>
      <c r="H242" s="1"/>
      <c r="I242" s="1"/>
      <c r="J242" s="2"/>
      <c r="K242" s="1"/>
      <c r="L242" s="3"/>
      <c r="M242" s="1"/>
      <c r="AE242" s="1"/>
      <c r="AF242" s="1"/>
      <c r="AG242" s="1"/>
      <c r="AH242" s="1"/>
      <c r="AI242" s="1"/>
    </row>
    <row r="243" spans="1:35" s="18" customFormat="1" x14ac:dyDescent="0.2">
      <c r="A243" s="97"/>
      <c r="B243" s="97"/>
      <c r="C243" s="97"/>
      <c r="D243" s="97"/>
      <c r="E243" s="97"/>
      <c r="F243" s="97"/>
      <c r="G243" s="1"/>
      <c r="H243" s="1"/>
      <c r="I243" s="1"/>
      <c r="J243" s="2"/>
      <c r="K243" s="1"/>
      <c r="L243" s="3"/>
      <c r="M243" s="1"/>
      <c r="AE243" s="1"/>
      <c r="AF243" s="1"/>
      <c r="AG243" s="1"/>
      <c r="AH243" s="1"/>
      <c r="AI243" s="1"/>
    </row>
    <row r="244" spans="1:35" s="18" customFormat="1" x14ac:dyDescent="0.2">
      <c r="A244" s="97"/>
      <c r="B244" s="97"/>
      <c r="C244" s="97"/>
      <c r="D244" s="97"/>
      <c r="E244" s="97"/>
      <c r="F244" s="97"/>
      <c r="G244" s="1"/>
      <c r="H244" s="1"/>
      <c r="I244" s="1"/>
      <c r="J244" s="2"/>
      <c r="K244" s="1"/>
      <c r="L244" s="3"/>
      <c r="M244" s="1"/>
      <c r="AE244" s="1"/>
      <c r="AF244" s="1"/>
      <c r="AG244" s="1"/>
      <c r="AH244" s="1"/>
      <c r="AI244" s="1"/>
    </row>
    <row r="245" spans="1:35" s="18" customFormat="1" x14ac:dyDescent="0.2">
      <c r="A245" s="97"/>
      <c r="B245" s="97"/>
      <c r="C245" s="97"/>
      <c r="D245" s="97"/>
      <c r="E245" s="97"/>
      <c r="F245" s="97"/>
      <c r="G245" s="1"/>
      <c r="H245" s="1"/>
      <c r="I245" s="1"/>
      <c r="J245" s="2"/>
      <c r="K245" s="1"/>
      <c r="L245" s="3"/>
      <c r="M245" s="1"/>
      <c r="AE245" s="1"/>
      <c r="AF245" s="1"/>
      <c r="AG245" s="1"/>
      <c r="AH245" s="1"/>
      <c r="AI245" s="1"/>
    </row>
    <row r="246" spans="1:35" s="18" customFormat="1" x14ac:dyDescent="0.2">
      <c r="A246" s="97"/>
      <c r="B246" s="97"/>
      <c r="C246" s="97"/>
      <c r="D246" s="97"/>
      <c r="E246" s="97"/>
      <c r="F246" s="97"/>
      <c r="G246" s="1"/>
      <c r="H246" s="1"/>
      <c r="I246" s="1"/>
      <c r="J246" s="2"/>
      <c r="K246" s="1"/>
      <c r="L246" s="3"/>
      <c r="M246" s="1"/>
      <c r="AE246" s="1"/>
      <c r="AF246" s="1"/>
      <c r="AG246" s="1"/>
      <c r="AH246" s="1"/>
      <c r="AI246" s="1"/>
    </row>
    <row r="247" spans="1:35" s="18" customFormat="1" x14ac:dyDescent="0.2">
      <c r="A247" s="97"/>
      <c r="B247" s="97"/>
      <c r="C247" s="97"/>
      <c r="D247" s="97"/>
      <c r="E247" s="97"/>
      <c r="F247" s="97"/>
      <c r="G247" s="1"/>
      <c r="H247" s="1"/>
      <c r="I247" s="1"/>
      <c r="J247" s="2"/>
      <c r="K247" s="1"/>
      <c r="L247" s="3"/>
      <c r="M247" s="1"/>
      <c r="AE247" s="1"/>
      <c r="AF247" s="1"/>
      <c r="AG247" s="1"/>
      <c r="AH247" s="1"/>
      <c r="AI247" s="1"/>
    </row>
    <row r="248" spans="1:35" s="18" customFormat="1" x14ac:dyDescent="0.2">
      <c r="A248" s="97"/>
      <c r="B248" s="97"/>
      <c r="C248" s="97"/>
      <c r="D248" s="97"/>
      <c r="E248" s="97"/>
      <c r="F248" s="97"/>
      <c r="G248" s="1"/>
      <c r="H248" s="1"/>
      <c r="I248" s="1"/>
      <c r="J248" s="2"/>
      <c r="K248" s="1"/>
      <c r="L248" s="3"/>
      <c r="M248" s="1"/>
      <c r="AE248" s="1"/>
      <c r="AF248" s="1"/>
      <c r="AG248" s="1"/>
      <c r="AH248" s="1"/>
      <c r="AI248" s="1"/>
    </row>
    <row r="249" spans="1:35" s="18" customFormat="1" x14ac:dyDescent="0.2">
      <c r="A249" s="97"/>
      <c r="B249" s="97"/>
      <c r="C249" s="97"/>
      <c r="D249" s="97"/>
      <c r="E249" s="97"/>
      <c r="F249" s="97"/>
      <c r="G249" s="1"/>
      <c r="H249" s="1"/>
      <c r="I249" s="1"/>
      <c r="J249" s="2"/>
      <c r="K249" s="1"/>
      <c r="L249" s="3"/>
      <c r="M249" s="1"/>
      <c r="AE249" s="1"/>
      <c r="AF249" s="1"/>
      <c r="AG249" s="1"/>
      <c r="AH249" s="1"/>
      <c r="AI249" s="1"/>
    </row>
    <row r="250" spans="1:35" s="18" customFormat="1" x14ac:dyDescent="0.2">
      <c r="A250" s="97"/>
      <c r="B250" s="97"/>
      <c r="C250" s="97"/>
      <c r="D250" s="97"/>
      <c r="E250" s="97"/>
      <c r="F250" s="97"/>
      <c r="G250" s="1"/>
      <c r="H250" s="1"/>
      <c r="I250" s="1"/>
      <c r="J250" s="2"/>
      <c r="K250" s="1"/>
      <c r="L250" s="3"/>
      <c r="M250" s="1"/>
      <c r="AE250" s="1"/>
      <c r="AF250" s="1"/>
      <c r="AG250" s="1"/>
      <c r="AH250" s="1"/>
      <c r="AI250" s="1"/>
    </row>
    <row r="251" spans="1:35" s="18" customFormat="1" x14ac:dyDescent="0.2">
      <c r="A251" s="97"/>
      <c r="B251" s="97"/>
      <c r="C251" s="97"/>
      <c r="D251" s="97"/>
      <c r="E251" s="97"/>
      <c r="F251" s="97"/>
      <c r="G251" s="1"/>
      <c r="H251" s="1"/>
      <c r="I251" s="1"/>
      <c r="J251" s="2"/>
      <c r="K251" s="1"/>
      <c r="L251" s="3"/>
      <c r="M251" s="1"/>
      <c r="AE251" s="1"/>
      <c r="AF251" s="1"/>
      <c r="AG251" s="1"/>
      <c r="AH251" s="1"/>
      <c r="AI251" s="1"/>
    </row>
    <row r="252" spans="1:35" s="18" customFormat="1" x14ac:dyDescent="0.2">
      <c r="A252" s="97"/>
      <c r="B252" s="97"/>
      <c r="C252" s="97"/>
      <c r="D252" s="97"/>
      <c r="E252" s="97"/>
      <c r="F252" s="97"/>
      <c r="G252" s="1"/>
      <c r="H252" s="1"/>
      <c r="I252" s="1"/>
      <c r="J252" s="2"/>
      <c r="K252" s="1"/>
      <c r="L252" s="3"/>
      <c r="M252" s="1"/>
      <c r="AE252" s="1"/>
      <c r="AF252" s="1"/>
      <c r="AG252" s="1"/>
      <c r="AH252" s="1"/>
      <c r="AI252" s="1"/>
    </row>
    <row r="253" spans="1:35" s="18" customFormat="1" x14ac:dyDescent="0.2">
      <c r="A253" s="97"/>
      <c r="B253" s="97"/>
      <c r="C253" s="97"/>
      <c r="D253" s="97"/>
      <c r="E253" s="97"/>
      <c r="F253" s="97"/>
      <c r="G253" s="1"/>
      <c r="H253" s="1"/>
      <c r="I253" s="1"/>
      <c r="J253" s="2"/>
      <c r="K253" s="1"/>
      <c r="L253" s="3"/>
      <c r="M253" s="1"/>
      <c r="AE253" s="1"/>
      <c r="AF253" s="1"/>
      <c r="AG253" s="1"/>
      <c r="AH253" s="1"/>
      <c r="AI253" s="1"/>
    </row>
    <row r="254" spans="1:35" s="18" customFormat="1" x14ac:dyDescent="0.2">
      <c r="A254" s="97"/>
      <c r="B254" s="97"/>
      <c r="C254" s="97"/>
      <c r="D254" s="97"/>
      <c r="E254" s="97"/>
      <c r="F254" s="97"/>
      <c r="G254" s="1"/>
      <c r="H254" s="1"/>
      <c r="I254" s="1"/>
      <c r="J254" s="2"/>
      <c r="K254" s="1"/>
      <c r="L254" s="3"/>
      <c r="M254" s="1"/>
      <c r="AE254" s="1"/>
      <c r="AF254" s="1"/>
      <c r="AG254" s="1"/>
      <c r="AH254" s="1"/>
      <c r="AI254" s="1"/>
    </row>
    <row r="255" spans="1:35" s="18" customFormat="1" x14ac:dyDescent="0.2">
      <c r="A255" s="97"/>
      <c r="B255" s="97"/>
      <c r="C255" s="97"/>
      <c r="D255" s="97"/>
      <c r="E255" s="97"/>
      <c r="F255" s="97"/>
      <c r="G255" s="1"/>
      <c r="H255" s="1"/>
      <c r="I255" s="1"/>
      <c r="J255" s="2"/>
      <c r="K255" s="1"/>
      <c r="L255" s="3"/>
      <c r="M255" s="1"/>
      <c r="AE255" s="1"/>
      <c r="AF255" s="1"/>
      <c r="AG255" s="1"/>
      <c r="AH255" s="1"/>
      <c r="AI255" s="1"/>
    </row>
    <row r="256" spans="1:35" s="18" customFormat="1" x14ac:dyDescent="0.2">
      <c r="A256" s="97"/>
      <c r="B256" s="97"/>
      <c r="C256" s="97"/>
      <c r="D256" s="97"/>
      <c r="E256" s="97"/>
      <c r="F256" s="97"/>
      <c r="G256" s="1"/>
      <c r="H256" s="1"/>
      <c r="I256" s="1"/>
      <c r="J256" s="2"/>
      <c r="K256" s="1"/>
      <c r="L256" s="3"/>
      <c r="M256" s="1"/>
      <c r="AE256" s="1"/>
      <c r="AF256" s="1"/>
      <c r="AG256" s="1"/>
      <c r="AH256" s="1"/>
      <c r="AI256" s="1"/>
    </row>
    <row r="257" spans="1:35" s="18" customFormat="1" x14ac:dyDescent="0.2">
      <c r="A257" s="97"/>
      <c r="B257" s="97"/>
      <c r="C257" s="97"/>
      <c r="D257" s="97"/>
      <c r="E257" s="97"/>
      <c r="F257" s="97"/>
      <c r="G257" s="1"/>
      <c r="H257" s="1"/>
      <c r="I257" s="1"/>
      <c r="J257" s="2"/>
      <c r="K257" s="1"/>
      <c r="L257" s="3"/>
      <c r="M257" s="1"/>
      <c r="AE257" s="1"/>
      <c r="AF257" s="1"/>
      <c r="AG257" s="1"/>
      <c r="AH257" s="1"/>
      <c r="AI257" s="1"/>
    </row>
    <row r="258" spans="1:35" s="18" customFormat="1" x14ac:dyDescent="0.2">
      <c r="A258" s="97"/>
      <c r="B258" s="97"/>
      <c r="C258" s="97"/>
      <c r="D258" s="97"/>
      <c r="E258" s="97"/>
      <c r="F258" s="97"/>
      <c r="G258" s="1"/>
      <c r="H258" s="1"/>
      <c r="I258" s="1"/>
      <c r="J258" s="2"/>
      <c r="K258" s="1"/>
      <c r="L258" s="3"/>
      <c r="M258" s="1"/>
      <c r="AE258" s="1"/>
      <c r="AF258" s="1"/>
      <c r="AG258" s="1"/>
      <c r="AH258" s="1"/>
      <c r="AI258" s="1"/>
    </row>
    <row r="259" spans="1:35" s="18" customFormat="1" x14ac:dyDescent="0.2">
      <c r="A259" s="97"/>
      <c r="B259" s="97"/>
      <c r="C259" s="97"/>
      <c r="D259" s="97"/>
      <c r="E259" s="97"/>
      <c r="F259" s="97"/>
      <c r="G259" s="1"/>
      <c r="H259" s="1"/>
      <c r="I259" s="1"/>
      <c r="J259" s="2"/>
      <c r="K259" s="1"/>
      <c r="L259" s="3"/>
      <c r="M259" s="1"/>
      <c r="AE259" s="1"/>
      <c r="AF259" s="1"/>
      <c r="AG259" s="1"/>
      <c r="AH259" s="1"/>
      <c r="AI259" s="1"/>
    </row>
    <row r="260" spans="1:35" s="18" customFormat="1" x14ac:dyDescent="0.2">
      <c r="A260" s="97"/>
      <c r="B260" s="97"/>
      <c r="C260" s="97"/>
      <c r="D260" s="97"/>
      <c r="E260" s="97"/>
      <c r="F260" s="97"/>
      <c r="G260" s="1"/>
      <c r="H260" s="1"/>
      <c r="I260" s="1"/>
      <c r="J260" s="2"/>
      <c r="K260" s="1"/>
      <c r="L260" s="3"/>
      <c r="M260" s="1"/>
      <c r="AE260" s="1"/>
      <c r="AF260" s="1"/>
      <c r="AG260" s="1"/>
      <c r="AH260" s="1"/>
      <c r="AI260" s="1"/>
    </row>
    <row r="261" spans="1:35" s="18" customFormat="1" x14ac:dyDescent="0.2">
      <c r="A261" s="97"/>
      <c r="B261" s="97"/>
      <c r="C261" s="97"/>
      <c r="D261" s="97"/>
      <c r="E261" s="97"/>
      <c r="F261" s="97"/>
      <c r="G261" s="1"/>
      <c r="H261" s="1"/>
      <c r="I261" s="1"/>
      <c r="J261" s="2"/>
      <c r="K261" s="1"/>
      <c r="L261" s="3"/>
      <c r="M261" s="1"/>
      <c r="AE261" s="1"/>
      <c r="AF261" s="1"/>
      <c r="AG261" s="1"/>
      <c r="AH261" s="1"/>
      <c r="AI261" s="1"/>
    </row>
    <row r="262" spans="1:35" s="18" customFormat="1" x14ac:dyDescent="0.2">
      <c r="A262" s="97"/>
      <c r="B262" s="97"/>
      <c r="C262" s="97"/>
      <c r="D262" s="97"/>
      <c r="E262" s="97"/>
      <c r="F262" s="97"/>
      <c r="G262" s="1"/>
      <c r="H262" s="1"/>
      <c r="I262" s="1"/>
      <c r="J262" s="2"/>
      <c r="K262" s="1"/>
      <c r="L262" s="3"/>
      <c r="M262" s="1"/>
      <c r="AE262" s="1"/>
      <c r="AF262" s="1"/>
      <c r="AG262" s="1"/>
      <c r="AH262" s="1"/>
      <c r="AI262" s="1"/>
    </row>
    <row r="263" spans="1:35" s="18" customFormat="1" x14ac:dyDescent="0.2">
      <c r="A263" s="97"/>
      <c r="B263" s="97"/>
      <c r="C263" s="97"/>
      <c r="D263" s="97"/>
      <c r="E263" s="97"/>
      <c r="F263" s="97"/>
      <c r="G263" s="1"/>
      <c r="H263" s="1"/>
      <c r="I263" s="1"/>
      <c r="J263" s="2"/>
      <c r="K263" s="1"/>
      <c r="L263" s="3"/>
      <c r="M263" s="1"/>
      <c r="AE263" s="1"/>
      <c r="AF263" s="1"/>
      <c r="AG263" s="1"/>
      <c r="AH263" s="1"/>
      <c r="AI263" s="1"/>
    </row>
    <row r="264" spans="1:35" s="18" customFormat="1" x14ac:dyDescent="0.2">
      <c r="A264" s="97"/>
      <c r="B264" s="97"/>
      <c r="C264" s="97"/>
      <c r="D264" s="97"/>
      <c r="E264" s="97"/>
      <c r="F264" s="97"/>
      <c r="G264" s="1"/>
      <c r="H264" s="1"/>
      <c r="I264" s="1"/>
      <c r="J264" s="2"/>
      <c r="K264" s="1"/>
      <c r="L264" s="3"/>
      <c r="M264" s="1"/>
      <c r="AE264" s="1"/>
      <c r="AF264" s="1"/>
      <c r="AG264" s="1"/>
      <c r="AH264" s="1"/>
      <c r="AI264" s="1"/>
    </row>
    <row r="265" spans="1:35" s="18" customFormat="1" x14ac:dyDescent="0.2">
      <c r="A265" s="97"/>
      <c r="B265" s="97"/>
      <c r="C265" s="97"/>
      <c r="D265" s="97"/>
      <c r="E265" s="97"/>
      <c r="F265" s="97"/>
      <c r="G265" s="1"/>
      <c r="H265" s="1"/>
      <c r="I265" s="1"/>
      <c r="J265" s="2"/>
      <c r="K265" s="1"/>
      <c r="L265" s="3"/>
      <c r="M265" s="1"/>
      <c r="AE265" s="1"/>
      <c r="AF265" s="1"/>
      <c r="AG265" s="1"/>
      <c r="AH265" s="1"/>
      <c r="AI265" s="1"/>
    </row>
    <row r="266" spans="1:35" s="18" customFormat="1" x14ac:dyDescent="0.2">
      <c r="A266" s="97"/>
      <c r="B266" s="97"/>
      <c r="C266" s="97"/>
      <c r="D266" s="97"/>
      <c r="E266" s="97"/>
      <c r="F266" s="97"/>
      <c r="G266" s="1"/>
      <c r="H266" s="1"/>
      <c r="I266" s="1"/>
      <c r="J266" s="2"/>
      <c r="K266" s="1"/>
      <c r="L266" s="3"/>
      <c r="M266" s="1"/>
      <c r="AE266" s="1"/>
      <c r="AF266" s="1"/>
      <c r="AG266" s="1"/>
      <c r="AH266" s="1"/>
      <c r="AI266" s="1"/>
    </row>
    <row r="267" spans="1:35" s="18" customFormat="1" x14ac:dyDescent="0.2">
      <c r="A267" s="97"/>
      <c r="B267" s="97"/>
      <c r="C267" s="97"/>
      <c r="D267" s="97"/>
      <c r="E267" s="97"/>
      <c r="F267" s="97"/>
      <c r="G267" s="1"/>
      <c r="H267" s="1"/>
      <c r="I267" s="1"/>
      <c r="J267" s="2"/>
      <c r="K267" s="1"/>
      <c r="L267" s="3"/>
      <c r="M267" s="1"/>
      <c r="AE267" s="1"/>
      <c r="AF267" s="1"/>
      <c r="AG267" s="1"/>
      <c r="AH267" s="1"/>
      <c r="AI267" s="1"/>
    </row>
    <row r="268" spans="1:35" s="18" customFormat="1" x14ac:dyDescent="0.2">
      <c r="A268" s="97"/>
      <c r="B268" s="97"/>
      <c r="C268" s="97"/>
      <c r="D268" s="97"/>
      <c r="E268" s="97"/>
      <c r="F268" s="97"/>
      <c r="G268" s="1"/>
      <c r="H268" s="1"/>
      <c r="I268" s="1"/>
      <c r="J268" s="2"/>
      <c r="K268" s="1"/>
      <c r="L268" s="3"/>
      <c r="M268" s="1"/>
      <c r="AE268" s="1"/>
      <c r="AF268" s="1"/>
      <c r="AG268" s="1"/>
      <c r="AH268" s="1"/>
      <c r="AI268" s="1"/>
    </row>
    <row r="269" spans="1:35" s="18" customFormat="1" x14ac:dyDescent="0.2">
      <c r="A269" s="97"/>
      <c r="B269" s="97"/>
      <c r="C269" s="97"/>
      <c r="D269" s="97"/>
      <c r="E269" s="97"/>
      <c r="F269" s="97"/>
      <c r="G269" s="1"/>
      <c r="H269" s="1"/>
      <c r="I269" s="1"/>
      <c r="J269" s="2"/>
      <c r="K269" s="1"/>
      <c r="L269" s="3"/>
      <c r="M269" s="1"/>
      <c r="AE269" s="1"/>
      <c r="AF269" s="1"/>
      <c r="AG269" s="1"/>
      <c r="AH269" s="1"/>
      <c r="AI269" s="1"/>
    </row>
    <row r="270" spans="1:35" s="18" customFormat="1" x14ac:dyDescent="0.2">
      <c r="A270" s="97"/>
      <c r="B270" s="97"/>
      <c r="C270" s="97"/>
      <c r="D270" s="97"/>
      <c r="E270" s="97"/>
      <c r="F270" s="97"/>
      <c r="G270" s="1"/>
      <c r="H270" s="1"/>
      <c r="I270" s="1"/>
      <c r="J270" s="2"/>
      <c r="K270" s="1"/>
      <c r="L270" s="3"/>
      <c r="M270" s="1"/>
      <c r="AE270" s="1"/>
      <c r="AF270" s="1"/>
      <c r="AG270" s="1"/>
      <c r="AH270" s="1"/>
      <c r="AI270" s="1"/>
    </row>
    <row r="271" spans="1:35" s="18" customFormat="1" x14ac:dyDescent="0.2">
      <c r="A271" s="97"/>
      <c r="B271" s="97"/>
      <c r="C271" s="97"/>
      <c r="D271" s="97"/>
      <c r="E271" s="97"/>
      <c r="F271" s="97"/>
      <c r="G271" s="1"/>
      <c r="H271" s="1"/>
      <c r="I271" s="1"/>
      <c r="J271" s="2"/>
      <c r="K271" s="1"/>
      <c r="L271" s="3"/>
      <c r="M271" s="1"/>
      <c r="AE271" s="1"/>
      <c r="AF271" s="1"/>
      <c r="AG271" s="1"/>
      <c r="AH271" s="1"/>
      <c r="AI271" s="1"/>
    </row>
    <row r="272" spans="1:35" s="18" customFormat="1" x14ac:dyDescent="0.2">
      <c r="A272" s="97"/>
      <c r="B272" s="97"/>
      <c r="C272" s="97"/>
      <c r="D272" s="97"/>
      <c r="E272" s="97"/>
      <c r="F272" s="97"/>
      <c r="G272" s="1"/>
      <c r="H272" s="1"/>
      <c r="I272" s="1"/>
      <c r="J272" s="2"/>
      <c r="K272" s="1"/>
      <c r="L272" s="3"/>
      <c r="M272" s="1"/>
      <c r="AE272" s="1"/>
      <c r="AF272" s="1"/>
      <c r="AG272" s="1"/>
      <c r="AH272" s="1"/>
      <c r="AI272" s="1"/>
    </row>
    <row r="273" spans="1:35" s="18" customFormat="1" x14ac:dyDescent="0.2">
      <c r="A273" s="97"/>
      <c r="B273" s="97"/>
      <c r="C273" s="97"/>
      <c r="D273" s="97"/>
      <c r="E273" s="97"/>
      <c r="F273" s="97"/>
      <c r="G273" s="1"/>
      <c r="H273" s="1"/>
      <c r="I273" s="1"/>
      <c r="J273" s="2"/>
      <c r="K273" s="1"/>
      <c r="L273" s="3"/>
      <c r="M273" s="1"/>
      <c r="AE273" s="1"/>
      <c r="AF273" s="1"/>
      <c r="AG273" s="1"/>
      <c r="AH273" s="1"/>
      <c r="AI273" s="1"/>
    </row>
    <row r="274" spans="1:35" s="18" customFormat="1" x14ac:dyDescent="0.2">
      <c r="A274" s="97"/>
      <c r="B274" s="97"/>
      <c r="C274" s="97"/>
      <c r="D274" s="97"/>
      <c r="E274" s="97"/>
      <c r="F274" s="97"/>
      <c r="G274" s="1"/>
      <c r="H274" s="1"/>
      <c r="I274" s="1"/>
      <c r="J274" s="2"/>
      <c r="K274" s="1"/>
      <c r="L274" s="3"/>
      <c r="M274" s="1"/>
      <c r="AE274" s="1"/>
      <c r="AF274" s="1"/>
      <c r="AG274" s="1"/>
      <c r="AH274" s="1"/>
      <c r="AI274" s="1"/>
    </row>
    <row r="275" spans="1:35" s="18" customFormat="1" x14ac:dyDescent="0.2">
      <c r="A275" s="97"/>
      <c r="B275" s="97"/>
      <c r="C275" s="97"/>
      <c r="D275" s="97"/>
      <c r="E275" s="97"/>
      <c r="F275" s="97"/>
      <c r="G275" s="1"/>
      <c r="H275" s="1"/>
      <c r="I275" s="1"/>
      <c r="J275" s="2"/>
      <c r="K275" s="1"/>
      <c r="L275" s="3"/>
      <c r="M275" s="1"/>
      <c r="AE275" s="1"/>
      <c r="AF275" s="1"/>
      <c r="AG275" s="1"/>
      <c r="AH275" s="1"/>
      <c r="AI275" s="1"/>
    </row>
    <row r="276" spans="1:35" s="18" customFormat="1" x14ac:dyDescent="0.2">
      <c r="A276" s="97"/>
      <c r="B276" s="97"/>
      <c r="C276" s="97"/>
      <c r="D276" s="97"/>
      <c r="E276" s="97"/>
      <c r="F276" s="97"/>
      <c r="G276" s="1"/>
      <c r="H276" s="1"/>
      <c r="I276" s="1"/>
      <c r="J276" s="2"/>
      <c r="K276" s="1"/>
      <c r="L276" s="3"/>
      <c r="M276" s="1"/>
      <c r="AE276" s="1"/>
      <c r="AF276" s="1"/>
      <c r="AG276" s="1"/>
      <c r="AH276" s="1"/>
      <c r="AI276" s="1"/>
    </row>
    <row r="277" spans="1:35" s="18" customFormat="1" x14ac:dyDescent="0.2">
      <c r="A277" s="97"/>
      <c r="B277" s="97"/>
      <c r="C277" s="97"/>
      <c r="D277" s="97"/>
      <c r="E277" s="97"/>
      <c r="F277" s="97"/>
      <c r="G277" s="1"/>
      <c r="H277" s="1"/>
      <c r="I277" s="1"/>
      <c r="J277" s="2"/>
      <c r="K277" s="1"/>
      <c r="L277" s="3"/>
      <c r="M277" s="1"/>
      <c r="AE277" s="1"/>
      <c r="AF277" s="1"/>
      <c r="AG277" s="1"/>
      <c r="AH277" s="1"/>
      <c r="AI277" s="1"/>
    </row>
    <row r="278" spans="1:35" s="18" customFormat="1" x14ac:dyDescent="0.2">
      <c r="A278" s="97"/>
      <c r="B278" s="97"/>
      <c r="C278" s="97"/>
      <c r="D278" s="97"/>
      <c r="E278" s="97"/>
      <c r="F278" s="97"/>
      <c r="G278" s="1"/>
      <c r="H278" s="1"/>
      <c r="I278" s="1"/>
      <c r="J278" s="2"/>
      <c r="K278" s="1"/>
      <c r="L278" s="3"/>
      <c r="M278" s="1"/>
      <c r="AE278" s="1"/>
      <c r="AF278" s="1"/>
      <c r="AG278" s="1"/>
      <c r="AH278" s="1"/>
      <c r="AI278" s="1"/>
    </row>
    <row r="279" spans="1:35" s="18" customFormat="1" x14ac:dyDescent="0.2">
      <c r="A279" s="97"/>
      <c r="B279" s="97"/>
      <c r="C279" s="97"/>
      <c r="D279" s="97"/>
      <c r="E279" s="97"/>
      <c r="F279" s="97"/>
      <c r="G279" s="1"/>
      <c r="H279" s="1"/>
      <c r="I279" s="1"/>
      <c r="J279" s="2"/>
      <c r="K279" s="1"/>
      <c r="L279" s="3"/>
      <c r="M279" s="1"/>
      <c r="AE279" s="1"/>
      <c r="AF279" s="1"/>
      <c r="AG279" s="1"/>
      <c r="AH279" s="1"/>
      <c r="AI279" s="1"/>
    </row>
    <row r="280" spans="1:35" s="18" customFormat="1" x14ac:dyDescent="0.2">
      <c r="A280" s="97"/>
      <c r="B280" s="97"/>
      <c r="C280" s="97"/>
      <c r="D280" s="97"/>
      <c r="E280" s="97"/>
      <c r="F280" s="97"/>
      <c r="G280" s="1"/>
      <c r="H280" s="1"/>
      <c r="I280" s="1"/>
      <c r="J280" s="2"/>
      <c r="K280" s="1"/>
      <c r="L280" s="3"/>
      <c r="M280" s="1"/>
      <c r="AE280" s="1"/>
      <c r="AF280" s="1"/>
      <c r="AG280" s="1"/>
      <c r="AH280" s="1"/>
      <c r="AI280" s="1"/>
    </row>
    <row r="281" spans="1:35" s="18" customFormat="1" x14ac:dyDescent="0.2">
      <c r="A281" s="97"/>
      <c r="B281" s="97"/>
      <c r="C281" s="97"/>
      <c r="D281" s="97"/>
      <c r="E281" s="97"/>
      <c r="F281" s="97"/>
      <c r="G281" s="1"/>
      <c r="H281" s="1"/>
      <c r="I281" s="1"/>
      <c r="J281" s="2"/>
      <c r="K281" s="1"/>
      <c r="L281" s="3"/>
      <c r="M281" s="1"/>
      <c r="AE281" s="1"/>
      <c r="AF281" s="1"/>
      <c r="AG281" s="1"/>
      <c r="AH281" s="1"/>
      <c r="AI281" s="1"/>
    </row>
    <row r="282" spans="1:35" s="18" customFormat="1" x14ac:dyDescent="0.2">
      <c r="A282" s="97"/>
      <c r="B282" s="97"/>
      <c r="C282" s="97"/>
      <c r="D282" s="97"/>
      <c r="E282" s="97"/>
      <c r="F282" s="97"/>
      <c r="G282" s="1"/>
      <c r="H282" s="1"/>
      <c r="I282" s="1"/>
      <c r="J282" s="2"/>
      <c r="K282" s="1"/>
      <c r="L282" s="3"/>
      <c r="M282" s="1"/>
      <c r="AE282" s="1"/>
      <c r="AF282" s="1"/>
      <c r="AG282" s="1"/>
      <c r="AH282" s="1"/>
      <c r="AI282" s="1"/>
    </row>
    <row r="283" spans="1:35" s="18" customFormat="1" x14ac:dyDescent="0.2">
      <c r="A283" s="97"/>
      <c r="B283" s="97"/>
      <c r="C283" s="97"/>
      <c r="D283" s="97"/>
      <c r="E283" s="97"/>
      <c r="F283" s="97"/>
      <c r="G283" s="1"/>
      <c r="H283" s="1"/>
      <c r="I283" s="1"/>
      <c r="J283" s="2"/>
      <c r="K283" s="1"/>
      <c r="L283" s="3"/>
      <c r="M283" s="1"/>
      <c r="AE283" s="1"/>
      <c r="AF283" s="1"/>
      <c r="AG283" s="1"/>
      <c r="AH283" s="1"/>
      <c r="AI283" s="1"/>
    </row>
    <row r="284" spans="1:35" s="18" customFormat="1" x14ac:dyDescent="0.2">
      <c r="A284" s="97"/>
      <c r="B284" s="97"/>
      <c r="C284" s="97"/>
      <c r="D284" s="97"/>
      <c r="E284" s="97"/>
      <c r="F284" s="97"/>
      <c r="G284" s="1"/>
      <c r="H284" s="1"/>
      <c r="I284" s="1"/>
      <c r="J284" s="2"/>
      <c r="K284" s="1"/>
      <c r="L284" s="3"/>
      <c r="M284" s="1"/>
      <c r="AE284" s="1"/>
      <c r="AF284" s="1"/>
      <c r="AG284" s="1"/>
      <c r="AH284" s="1"/>
      <c r="AI284" s="1"/>
    </row>
    <row r="285" spans="1:35" s="18" customFormat="1" x14ac:dyDescent="0.2">
      <c r="A285" s="97"/>
      <c r="B285" s="97"/>
      <c r="C285" s="97"/>
      <c r="D285" s="97"/>
      <c r="E285" s="97"/>
      <c r="F285" s="97"/>
      <c r="G285" s="1"/>
      <c r="H285" s="1"/>
      <c r="I285" s="1"/>
      <c r="J285" s="2"/>
      <c r="K285" s="1"/>
      <c r="L285" s="3"/>
      <c r="M285" s="1"/>
      <c r="AE285" s="1"/>
      <c r="AF285" s="1"/>
      <c r="AG285" s="1"/>
      <c r="AH285" s="1"/>
      <c r="AI285" s="1"/>
    </row>
    <row r="286" spans="1:35" s="18" customFormat="1" x14ac:dyDescent="0.2">
      <c r="A286" s="97"/>
      <c r="B286" s="97"/>
      <c r="C286" s="97"/>
      <c r="D286" s="97"/>
      <c r="E286" s="97"/>
      <c r="F286" s="97"/>
      <c r="G286" s="1"/>
      <c r="H286" s="1"/>
      <c r="I286" s="1"/>
      <c r="J286" s="2"/>
      <c r="K286" s="1"/>
      <c r="L286" s="3"/>
      <c r="M286" s="1"/>
      <c r="AE286" s="1"/>
      <c r="AF286" s="1"/>
      <c r="AG286" s="1"/>
      <c r="AH286" s="1"/>
      <c r="AI286" s="1"/>
    </row>
    <row r="287" spans="1:35" s="18" customFormat="1" x14ac:dyDescent="0.2">
      <c r="A287" s="97"/>
      <c r="B287" s="97"/>
      <c r="C287" s="97"/>
      <c r="D287" s="97"/>
      <c r="E287" s="97"/>
      <c r="F287" s="97"/>
      <c r="G287" s="1"/>
      <c r="H287" s="1"/>
      <c r="I287" s="1"/>
      <c r="J287" s="2"/>
      <c r="K287" s="1"/>
      <c r="L287" s="3"/>
      <c r="M287" s="1"/>
      <c r="AE287" s="1"/>
      <c r="AF287" s="1"/>
      <c r="AG287" s="1"/>
      <c r="AH287" s="1"/>
      <c r="AI287" s="1"/>
    </row>
    <row r="288" spans="1:35" s="18" customFormat="1" x14ac:dyDescent="0.2">
      <c r="A288" s="97"/>
      <c r="B288" s="97"/>
      <c r="C288" s="97"/>
      <c r="D288" s="97"/>
      <c r="E288" s="97"/>
      <c r="F288" s="97"/>
      <c r="G288" s="1"/>
      <c r="H288" s="1"/>
      <c r="I288" s="1"/>
      <c r="J288" s="2"/>
      <c r="K288" s="1"/>
      <c r="L288" s="3"/>
      <c r="M288" s="1"/>
      <c r="AE288" s="1"/>
      <c r="AF288" s="1"/>
      <c r="AG288" s="1"/>
      <c r="AH288" s="1"/>
      <c r="AI288" s="1"/>
    </row>
    <row r="289" spans="1:35" s="18" customFormat="1" x14ac:dyDescent="0.2">
      <c r="A289" s="97"/>
      <c r="B289" s="97"/>
      <c r="C289" s="97"/>
      <c r="D289" s="97"/>
      <c r="E289" s="97"/>
      <c r="F289" s="97"/>
      <c r="G289" s="1"/>
      <c r="H289" s="1"/>
      <c r="I289" s="1"/>
      <c r="J289" s="2"/>
      <c r="K289" s="1"/>
      <c r="L289" s="3"/>
      <c r="M289" s="1"/>
      <c r="AE289" s="1"/>
      <c r="AF289" s="1"/>
      <c r="AG289" s="1"/>
      <c r="AH289" s="1"/>
      <c r="AI289" s="1"/>
    </row>
    <row r="290" spans="1:35" s="18" customFormat="1" x14ac:dyDescent="0.2">
      <c r="A290" s="97"/>
      <c r="B290" s="97"/>
      <c r="C290" s="97"/>
      <c r="D290" s="97"/>
      <c r="E290" s="97"/>
      <c r="F290" s="97"/>
      <c r="G290" s="1"/>
      <c r="H290" s="1"/>
      <c r="I290" s="1"/>
      <c r="J290" s="2"/>
      <c r="K290" s="1"/>
      <c r="L290" s="3"/>
      <c r="M290" s="1"/>
      <c r="AE290" s="1"/>
      <c r="AF290" s="1"/>
      <c r="AG290" s="1"/>
      <c r="AH290" s="1"/>
      <c r="AI290" s="1"/>
    </row>
    <row r="291" spans="1:35" s="18" customFormat="1" x14ac:dyDescent="0.2">
      <c r="A291" s="97"/>
      <c r="B291" s="97"/>
      <c r="C291" s="97"/>
      <c r="D291" s="97"/>
      <c r="E291" s="97"/>
      <c r="F291" s="97"/>
      <c r="G291" s="1"/>
      <c r="H291" s="1"/>
      <c r="I291" s="1"/>
      <c r="J291" s="2"/>
      <c r="K291" s="1"/>
      <c r="L291" s="3"/>
      <c r="M291" s="1"/>
      <c r="AE291" s="1"/>
      <c r="AF291" s="1"/>
      <c r="AG291" s="1"/>
      <c r="AH291" s="1"/>
      <c r="AI291" s="1"/>
    </row>
    <row r="292" spans="1:35" s="18" customFormat="1" x14ac:dyDescent="0.2">
      <c r="A292" s="97"/>
      <c r="B292" s="97"/>
      <c r="C292" s="97"/>
      <c r="D292" s="97"/>
      <c r="E292" s="97"/>
      <c r="F292" s="97"/>
      <c r="G292" s="1"/>
      <c r="H292" s="1"/>
      <c r="I292" s="1"/>
      <c r="J292" s="2"/>
      <c r="K292" s="1"/>
      <c r="L292" s="3"/>
      <c r="M292" s="1"/>
      <c r="AE292" s="1"/>
      <c r="AF292" s="1"/>
      <c r="AG292" s="1"/>
      <c r="AH292" s="1"/>
      <c r="AI292" s="1"/>
    </row>
    <row r="293" spans="1:35" s="18" customFormat="1" x14ac:dyDescent="0.2">
      <c r="A293" s="97"/>
      <c r="B293" s="97"/>
      <c r="C293" s="97"/>
      <c r="D293" s="97"/>
      <c r="E293" s="97"/>
      <c r="F293" s="97"/>
      <c r="G293" s="1"/>
      <c r="H293" s="1"/>
      <c r="I293" s="1"/>
      <c r="J293" s="2"/>
      <c r="K293" s="1"/>
      <c r="L293" s="3"/>
      <c r="M293" s="1"/>
      <c r="AE293" s="1"/>
      <c r="AF293" s="1"/>
      <c r="AG293" s="1"/>
      <c r="AH293" s="1"/>
      <c r="AI293" s="1"/>
    </row>
    <row r="294" spans="1:35" s="18" customFormat="1" x14ac:dyDescent="0.2">
      <c r="A294" s="97"/>
      <c r="B294" s="97"/>
      <c r="C294" s="97"/>
      <c r="D294" s="97"/>
      <c r="E294" s="97"/>
      <c r="F294" s="97"/>
      <c r="G294" s="1"/>
      <c r="H294" s="1"/>
      <c r="I294" s="1"/>
      <c r="J294" s="2"/>
      <c r="K294" s="1"/>
      <c r="L294" s="3"/>
      <c r="M294" s="1"/>
      <c r="AE294" s="1"/>
      <c r="AF294" s="1"/>
      <c r="AG294" s="1"/>
      <c r="AH294" s="1"/>
      <c r="AI294" s="1"/>
    </row>
    <row r="295" spans="1:35" s="18" customFormat="1" x14ac:dyDescent="0.2">
      <c r="A295" s="97"/>
      <c r="B295" s="97"/>
      <c r="C295" s="97"/>
      <c r="D295" s="97"/>
      <c r="E295" s="97"/>
      <c r="F295" s="97"/>
      <c r="G295" s="1"/>
      <c r="H295" s="1"/>
      <c r="I295" s="1"/>
      <c r="J295" s="2"/>
      <c r="K295" s="1"/>
      <c r="L295" s="3"/>
      <c r="M295" s="1"/>
      <c r="AE295" s="1"/>
      <c r="AF295" s="1"/>
      <c r="AG295" s="1"/>
      <c r="AH295" s="1"/>
      <c r="AI295" s="1"/>
    </row>
    <row r="296" spans="1:35" s="18" customFormat="1" x14ac:dyDescent="0.2">
      <c r="A296" s="97"/>
      <c r="B296" s="97"/>
      <c r="C296" s="97"/>
      <c r="D296" s="97"/>
      <c r="E296" s="97"/>
      <c r="F296" s="97"/>
      <c r="G296" s="1"/>
      <c r="H296" s="1"/>
      <c r="I296" s="1"/>
      <c r="J296" s="2"/>
      <c r="K296" s="1"/>
      <c r="L296" s="3"/>
      <c r="M296" s="1"/>
      <c r="AE296" s="1"/>
      <c r="AF296" s="1"/>
      <c r="AG296" s="1"/>
      <c r="AH296" s="1"/>
      <c r="AI296" s="1"/>
    </row>
    <row r="297" spans="1:35" s="18" customFormat="1" x14ac:dyDescent="0.2">
      <c r="A297" s="97"/>
      <c r="B297" s="97"/>
      <c r="C297" s="97"/>
      <c r="D297" s="97"/>
      <c r="E297" s="97"/>
      <c r="F297" s="97"/>
      <c r="G297" s="1"/>
      <c r="H297" s="1"/>
      <c r="I297" s="1"/>
      <c r="J297" s="2"/>
      <c r="K297" s="1"/>
      <c r="L297" s="3"/>
      <c r="M297" s="1"/>
      <c r="AE297" s="1"/>
      <c r="AF297" s="1"/>
      <c r="AG297" s="1"/>
      <c r="AH297" s="1"/>
      <c r="AI297" s="1"/>
    </row>
    <row r="298" spans="1:35" s="18" customFormat="1" x14ac:dyDescent="0.2">
      <c r="A298" s="97"/>
      <c r="B298" s="97"/>
      <c r="C298" s="97"/>
      <c r="D298" s="97"/>
      <c r="E298" s="97"/>
      <c r="F298" s="97"/>
      <c r="G298" s="1"/>
      <c r="H298" s="1"/>
      <c r="I298" s="1"/>
      <c r="J298" s="2"/>
      <c r="K298" s="1"/>
      <c r="L298" s="3"/>
      <c r="M298" s="1"/>
      <c r="AE298" s="1"/>
      <c r="AF298" s="1"/>
      <c r="AG298" s="1"/>
      <c r="AH298" s="1"/>
      <c r="AI298" s="1"/>
    </row>
    <row r="299" spans="1:35" s="18" customFormat="1" x14ac:dyDescent="0.2">
      <c r="A299" s="97"/>
      <c r="B299" s="97"/>
      <c r="C299" s="97"/>
      <c r="D299" s="97"/>
      <c r="E299" s="97"/>
      <c r="F299" s="97"/>
      <c r="G299" s="1"/>
      <c r="H299" s="1"/>
      <c r="I299" s="1"/>
      <c r="J299" s="2"/>
      <c r="K299" s="1"/>
      <c r="L299" s="3"/>
      <c r="M299" s="1"/>
      <c r="AE299" s="1"/>
      <c r="AF299" s="1"/>
      <c r="AG299" s="1"/>
      <c r="AH299" s="1"/>
      <c r="AI299" s="1"/>
    </row>
    <row r="300" spans="1:35" s="18" customFormat="1" x14ac:dyDescent="0.2">
      <c r="A300" s="97"/>
      <c r="B300" s="97"/>
      <c r="C300" s="97"/>
      <c r="D300" s="97"/>
      <c r="E300" s="97"/>
      <c r="F300" s="97"/>
      <c r="G300" s="1"/>
      <c r="H300" s="1"/>
      <c r="I300" s="1"/>
      <c r="J300" s="2"/>
      <c r="K300" s="1"/>
      <c r="L300" s="3"/>
      <c r="M300" s="1"/>
      <c r="AE300" s="1"/>
      <c r="AF300" s="1"/>
      <c r="AG300" s="1"/>
      <c r="AH300" s="1"/>
      <c r="AI300" s="1"/>
    </row>
    <row r="301" spans="1:35" s="18" customFormat="1" x14ac:dyDescent="0.2">
      <c r="A301" s="97"/>
      <c r="B301" s="97"/>
      <c r="C301" s="97"/>
      <c r="D301" s="97"/>
      <c r="E301" s="97"/>
      <c r="F301" s="97"/>
      <c r="G301" s="1"/>
      <c r="H301" s="1"/>
      <c r="I301" s="1"/>
      <c r="J301" s="2"/>
      <c r="K301" s="1"/>
      <c r="L301" s="3"/>
      <c r="M301" s="1"/>
      <c r="AE301" s="1"/>
      <c r="AF301" s="1"/>
      <c r="AG301" s="1"/>
      <c r="AH301" s="1"/>
      <c r="AI301" s="1"/>
    </row>
    <row r="302" spans="1:35" s="18" customFormat="1" x14ac:dyDescent="0.2">
      <c r="A302" s="97"/>
      <c r="B302" s="97"/>
      <c r="C302" s="97"/>
      <c r="D302" s="97"/>
      <c r="E302" s="97"/>
      <c r="F302" s="97"/>
      <c r="G302" s="1"/>
      <c r="H302" s="1"/>
      <c r="I302" s="1"/>
      <c r="J302" s="2"/>
      <c r="K302" s="1"/>
      <c r="L302" s="3"/>
      <c r="M302" s="1"/>
      <c r="AE302" s="1"/>
      <c r="AF302" s="1"/>
      <c r="AG302" s="1"/>
      <c r="AH302" s="1"/>
      <c r="AI302" s="1"/>
    </row>
    <row r="303" spans="1:35" s="18" customFormat="1" x14ac:dyDescent="0.2">
      <c r="A303" s="97"/>
      <c r="B303" s="97"/>
      <c r="C303" s="97"/>
      <c r="D303" s="97"/>
      <c r="E303" s="97"/>
      <c r="F303" s="97"/>
      <c r="G303" s="1"/>
      <c r="H303" s="1"/>
      <c r="I303" s="1"/>
      <c r="J303" s="2"/>
      <c r="K303" s="1"/>
      <c r="L303" s="3"/>
      <c r="M303" s="1"/>
      <c r="AE303" s="1"/>
      <c r="AF303" s="1"/>
      <c r="AG303" s="1"/>
      <c r="AH303" s="1"/>
      <c r="AI303" s="1"/>
    </row>
    <row r="304" spans="1:35" s="18" customFormat="1" x14ac:dyDescent="0.2">
      <c r="A304" s="97"/>
      <c r="B304" s="97"/>
      <c r="C304" s="97"/>
      <c r="D304" s="97"/>
      <c r="E304" s="97"/>
      <c r="F304" s="97"/>
      <c r="G304" s="1"/>
      <c r="H304" s="1"/>
      <c r="I304" s="1"/>
      <c r="J304" s="2"/>
      <c r="K304" s="1"/>
      <c r="L304" s="3"/>
      <c r="M304" s="1"/>
      <c r="AE304" s="1"/>
      <c r="AF304" s="1"/>
      <c r="AG304" s="1"/>
      <c r="AH304" s="1"/>
      <c r="AI304" s="1"/>
    </row>
    <row r="305" spans="1:35" s="18" customFormat="1" x14ac:dyDescent="0.2">
      <c r="A305" s="97"/>
      <c r="B305" s="97"/>
      <c r="C305" s="97"/>
      <c r="D305" s="97"/>
      <c r="E305" s="97"/>
      <c r="F305" s="97"/>
      <c r="G305" s="1"/>
      <c r="H305" s="1"/>
      <c r="I305" s="1"/>
      <c r="J305" s="2"/>
      <c r="K305" s="1"/>
      <c r="L305" s="3"/>
      <c r="M305" s="1"/>
      <c r="AE305" s="1"/>
      <c r="AF305" s="1"/>
      <c r="AG305" s="1"/>
      <c r="AH305" s="1"/>
      <c r="AI305" s="1"/>
    </row>
    <row r="306" spans="1:35" s="18" customFormat="1" x14ac:dyDescent="0.2">
      <c r="A306" s="97"/>
      <c r="B306" s="97"/>
      <c r="C306" s="97"/>
      <c r="D306" s="97"/>
      <c r="E306" s="97"/>
      <c r="F306" s="97"/>
      <c r="G306" s="1"/>
      <c r="H306" s="1"/>
      <c r="I306" s="1"/>
      <c r="J306" s="2"/>
      <c r="K306" s="1"/>
      <c r="L306" s="3"/>
      <c r="M306" s="1"/>
      <c r="AE306" s="1"/>
      <c r="AF306" s="1"/>
      <c r="AG306" s="1"/>
      <c r="AH306" s="1"/>
      <c r="AI306" s="1"/>
    </row>
    <row r="307" spans="1:35" s="18" customFormat="1" x14ac:dyDescent="0.2">
      <c r="A307" s="97"/>
      <c r="B307" s="97"/>
      <c r="C307" s="97"/>
      <c r="D307" s="97"/>
      <c r="E307" s="97"/>
      <c r="F307" s="97"/>
      <c r="G307" s="1"/>
      <c r="H307" s="1"/>
      <c r="I307" s="1"/>
      <c r="J307" s="2"/>
      <c r="K307" s="1"/>
      <c r="L307" s="3"/>
      <c r="M307" s="1"/>
      <c r="AE307" s="1"/>
      <c r="AF307" s="1"/>
      <c r="AG307" s="1"/>
      <c r="AH307" s="1"/>
      <c r="AI307" s="1"/>
    </row>
    <row r="308" spans="1:35" s="18" customFormat="1" x14ac:dyDescent="0.2">
      <c r="A308" s="97"/>
      <c r="B308" s="97"/>
      <c r="C308" s="97"/>
      <c r="D308" s="97"/>
      <c r="E308" s="97"/>
      <c r="F308" s="97"/>
      <c r="G308" s="1"/>
      <c r="H308" s="1"/>
      <c r="I308" s="1"/>
      <c r="J308" s="2"/>
      <c r="K308" s="1"/>
      <c r="L308" s="3"/>
      <c r="M308" s="1"/>
      <c r="AE308" s="1"/>
      <c r="AF308" s="1"/>
      <c r="AG308" s="1"/>
      <c r="AH308" s="1"/>
      <c r="AI308" s="1"/>
    </row>
    <row r="309" spans="1:35" s="18" customFormat="1" x14ac:dyDescent="0.2">
      <c r="A309" s="97"/>
      <c r="B309" s="97"/>
      <c r="C309" s="97"/>
      <c r="D309" s="97"/>
      <c r="E309" s="97"/>
      <c r="F309" s="97"/>
      <c r="G309" s="1"/>
      <c r="H309" s="1"/>
      <c r="I309" s="1"/>
      <c r="J309" s="2"/>
      <c r="K309" s="1"/>
      <c r="L309" s="3"/>
      <c r="M309" s="1"/>
      <c r="AE309" s="1"/>
      <c r="AF309" s="1"/>
      <c r="AG309" s="1"/>
      <c r="AH309" s="1"/>
      <c r="AI309" s="1"/>
    </row>
    <row r="310" spans="1:35" s="18" customFormat="1" x14ac:dyDescent="0.2">
      <c r="A310" s="97"/>
      <c r="B310" s="97"/>
      <c r="C310" s="97"/>
      <c r="D310" s="97"/>
      <c r="E310" s="97"/>
      <c r="F310" s="97"/>
      <c r="G310" s="1"/>
      <c r="H310" s="1"/>
      <c r="I310" s="1"/>
      <c r="J310" s="2"/>
      <c r="K310" s="1"/>
      <c r="L310" s="3"/>
      <c r="M310" s="1"/>
      <c r="AE310" s="1"/>
      <c r="AF310" s="1"/>
      <c r="AG310" s="1"/>
      <c r="AH310" s="1"/>
      <c r="AI310" s="1"/>
    </row>
    <row r="311" spans="1:35" s="18" customFormat="1" x14ac:dyDescent="0.2">
      <c r="A311" s="97"/>
      <c r="B311" s="97"/>
      <c r="C311" s="97"/>
      <c r="D311" s="97"/>
      <c r="E311" s="97"/>
      <c r="F311" s="97"/>
      <c r="G311" s="1"/>
      <c r="H311" s="1"/>
      <c r="I311" s="1"/>
      <c r="J311" s="2"/>
      <c r="K311" s="1"/>
      <c r="L311" s="3"/>
      <c r="M311" s="1"/>
      <c r="AE311" s="1"/>
      <c r="AF311" s="1"/>
      <c r="AG311" s="1"/>
      <c r="AH311" s="1"/>
      <c r="AI311" s="1"/>
    </row>
    <row r="312" spans="1:35" s="18" customFormat="1" x14ac:dyDescent="0.2">
      <c r="A312" s="97"/>
      <c r="B312" s="97"/>
      <c r="C312" s="97"/>
      <c r="D312" s="97"/>
      <c r="E312" s="97"/>
      <c r="F312" s="97"/>
      <c r="G312" s="1"/>
      <c r="H312" s="1"/>
      <c r="I312" s="1"/>
      <c r="J312" s="2"/>
      <c r="K312" s="1"/>
      <c r="L312" s="3"/>
      <c r="M312" s="1"/>
      <c r="AE312" s="1"/>
      <c r="AF312" s="1"/>
      <c r="AG312" s="1"/>
      <c r="AH312" s="1"/>
      <c r="AI312" s="1"/>
    </row>
    <row r="313" spans="1:35" s="18" customFormat="1" x14ac:dyDescent="0.2">
      <c r="A313" s="97"/>
      <c r="B313" s="97"/>
      <c r="C313" s="97"/>
      <c r="D313" s="97"/>
      <c r="E313" s="97"/>
      <c r="F313" s="97"/>
      <c r="G313" s="1"/>
      <c r="H313" s="1"/>
      <c r="I313" s="1"/>
      <c r="J313" s="2"/>
      <c r="K313" s="1"/>
      <c r="L313" s="3"/>
      <c r="M313" s="1"/>
      <c r="AE313" s="1"/>
      <c r="AF313" s="1"/>
      <c r="AG313" s="1"/>
      <c r="AH313" s="1"/>
      <c r="AI313" s="1"/>
    </row>
    <row r="314" spans="1:35" s="18" customFormat="1" x14ac:dyDescent="0.2">
      <c r="A314" s="97"/>
      <c r="B314" s="97"/>
      <c r="C314" s="97"/>
      <c r="D314" s="97"/>
      <c r="E314" s="97"/>
      <c r="F314" s="97"/>
      <c r="G314" s="1"/>
      <c r="H314" s="1"/>
      <c r="I314" s="1"/>
      <c r="J314" s="2"/>
      <c r="K314" s="1"/>
      <c r="L314" s="3"/>
      <c r="M314" s="1"/>
      <c r="AE314" s="1"/>
      <c r="AF314" s="1"/>
      <c r="AG314" s="1"/>
      <c r="AH314" s="1"/>
      <c r="AI314" s="1"/>
    </row>
    <row r="315" spans="1:35" s="18" customFormat="1" x14ac:dyDescent="0.2">
      <c r="A315" s="97"/>
      <c r="B315" s="97"/>
      <c r="C315" s="97"/>
      <c r="D315" s="97"/>
      <c r="E315" s="97"/>
      <c r="F315" s="97"/>
      <c r="G315" s="1"/>
      <c r="H315" s="1"/>
      <c r="I315" s="1"/>
      <c r="J315" s="2"/>
      <c r="K315" s="1"/>
      <c r="L315" s="3"/>
      <c r="M315" s="1"/>
      <c r="AE315" s="1"/>
      <c r="AF315" s="1"/>
      <c r="AG315" s="1"/>
      <c r="AH315" s="1"/>
      <c r="AI315" s="1"/>
    </row>
    <row r="316" spans="1:35" s="18" customFormat="1" x14ac:dyDescent="0.2">
      <c r="A316" s="97"/>
      <c r="B316" s="97"/>
      <c r="C316" s="97"/>
      <c r="D316" s="97"/>
      <c r="E316" s="97"/>
      <c r="F316" s="97"/>
      <c r="G316" s="1"/>
      <c r="H316" s="1"/>
      <c r="I316" s="1"/>
      <c r="J316" s="2"/>
      <c r="K316" s="1"/>
      <c r="L316" s="3"/>
      <c r="M316" s="1"/>
      <c r="AE316" s="1"/>
      <c r="AF316" s="1"/>
      <c r="AG316" s="1"/>
      <c r="AH316" s="1"/>
      <c r="AI316" s="1"/>
    </row>
    <row r="317" spans="1:35" s="18" customFormat="1" x14ac:dyDescent="0.2">
      <c r="A317" s="97"/>
      <c r="B317" s="97"/>
      <c r="C317" s="97"/>
      <c r="D317" s="97"/>
      <c r="E317" s="97"/>
      <c r="F317" s="97"/>
      <c r="G317" s="1"/>
      <c r="H317" s="1"/>
      <c r="I317" s="1"/>
      <c r="J317" s="2"/>
      <c r="K317" s="1"/>
      <c r="L317" s="3"/>
      <c r="M317" s="1"/>
      <c r="AE317" s="1"/>
      <c r="AF317" s="1"/>
      <c r="AG317" s="1"/>
      <c r="AH317" s="1"/>
      <c r="AI317" s="1"/>
    </row>
    <row r="318" spans="1:35" s="18" customFormat="1" x14ac:dyDescent="0.2">
      <c r="A318" s="97"/>
      <c r="B318" s="97"/>
      <c r="C318" s="97"/>
      <c r="D318" s="97"/>
      <c r="E318" s="97"/>
      <c r="F318" s="97"/>
      <c r="G318" s="1"/>
      <c r="H318" s="1"/>
      <c r="I318" s="1"/>
      <c r="J318" s="2"/>
      <c r="K318" s="1"/>
      <c r="L318" s="3"/>
      <c r="M318" s="1"/>
      <c r="AE318" s="1"/>
      <c r="AF318" s="1"/>
      <c r="AG318" s="1"/>
      <c r="AH318" s="1"/>
      <c r="AI318" s="1"/>
    </row>
    <row r="319" spans="1:35" s="18" customFormat="1" x14ac:dyDescent="0.2">
      <c r="A319" s="97"/>
      <c r="B319" s="97"/>
      <c r="C319" s="97"/>
      <c r="D319" s="97"/>
      <c r="E319" s="97"/>
      <c r="F319" s="97"/>
      <c r="G319" s="1"/>
      <c r="H319" s="1"/>
      <c r="I319" s="1"/>
      <c r="J319" s="2"/>
      <c r="K319" s="1"/>
      <c r="L319" s="3"/>
      <c r="M319" s="1"/>
      <c r="AE319" s="1"/>
      <c r="AF319" s="1"/>
      <c r="AG319" s="1"/>
      <c r="AH319" s="1"/>
      <c r="AI319" s="1"/>
    </row>
    <row r="320" spans="1:35" s="18" customFormat="1" x14ac:dyDescent="0.2">
      <c r="A320" s="97"/>
      <c r="B320" s="97"/>
      <c r="C320" s="97"/>
      <c r="D320" s="97"/>
      <c r="E320" s="97"/>
      <c r="F320" s="97"/>
      <c r="G320" s="1"/>
      <c r="H320" s="1"/>
      <c r="I320" s="1"/>
      <c r="J320" s="2"/>
      <c r="K320" s="1"/>
      <c r="L320" s="3"/>
      <c r="M320" s="1"/>
      <c r="AE320" s="1"/>
      <c r="AF320" s="1"/>
      <c r="AG320" s="1"/>
      <c r="AH320" s="1"/>
      <c r="AI320" s="1"/>
    </row>
    <row r="321" spans="1:35" s="18" customFormat="1" x14ac:dyDescent="0.2">
      <c r="A321" s="97"/>
      <c r="B321" s="97"/>
      <c r="C321" s="97"/>
      <c r="D321" s="97"/>
      <c r="E321" s="97"/>
      <c r="F321" s="97"/>
      <c r="G321" s="1"/>
      <c r="H321" s="1"/>
      <c r="I321" s="1"/>
      <c r="J321" s="2"/>
      <c r="K321" s="1"/>
      <c r="L321" s="3"/>
      <c r="M321" s="1"/>
      <c r="AE321" s="1"/>
      <c r="AF321" s="1"/>
      <c r="AG321" s="1"/>
      <c r="AH321" s="1"/>
      <c r="AI321" s="1"/>
    </row>
    <row r="322" spans="1:35" s="18" customFormat="1" x14ac:dyDescent="0.2">
      <c r="A322" s="97"/>
      <c r="B322" s="97"/>
      <c r="C322" s="97"/>
      <c r="D322" s="97"/>
      <c r="E322" s="97"/>
      <c r="F322" s="97"/>
      <c r="G322" s="1"/>
      <c r="H322" s="1"/>
      <c r="I322" s="1"/>
      <c r="J322" s="2"/>
      <c r="K322" s="1"/>
      <c r="L322" s="3"/>
      <c r="M322" s="1"/>
      <c r="AE322" s="1"/>
      <c r="AF322" s="1"/>
      <c r="AG322" s="1"/>
      <c r="AH322" s="1"/>
      <c r="AI322" s="1"/>
    </row>
    <row r="323" spans="1:35" s="18" customFormat="1" x14ac:dyDescent="0.2">
      <c r="A323" s="97"/>
      <c r="B323" s="97"/>
      <c r="C323" s="97"/>
      <c r="D323" s="97"/>
      <c r="E323" s="97"/>
      <c r="F323" s="97"/>
      <c r="G323" s="1"/>
      <c r="H323" s="1"/>
      <c r="I323" s="1"/>
      <c r="J323" s="2"/>
      <c r="K323" s="1"/>
      <c r="L323" s="3"/>
      <c r="M323" s="1"/>
      <c r="AE323" s="1"/>
      <c r="AF323" s="1"/>
      <c r="AG323" s="1"/>
      <c r="AH323" s="1"/>
      <c r="AI323" s="1"/>
    </row>
    <row r="324" spans="1:35" s="18" customFormat="1" x14ac:dyDescent="0.2">
      <c r="A324" s="97"/>
      <c r="B324" s="97"/>
      <c r="C324" s="97"/>
      <c r="D324" s="97"/>
      <c r="E324" s="97"/>
      <c r="F324" s="97"/>
      <c r="G324" s="1"/>
      <c r="H324" s="1"/>
      <c r="I324" s="1"/>
      <c r="J324" s="2"/>
      <c r="K324" s="1"/>
      <c r="L324" s="3"/>
      <c r="M324" s="1"/>
      <c r="AE324" s="1"/>
      <c r="AF324" s="1"/>
      <c r="AG324" s="1"/>
      <c r="AH324" s="1"/>
      <c r="AI324" s="1"/>
    </row>
    <row r="325" spans="1:35" s="18" customFormat="1" x14ac:dyDescent="0.2">
      <c r="A325" s="97"/>
      <c r="B325" s="97"/>
      <c r="C325" s="97"/>
      <c r="D325" s="97"/>
      <c r="E325" s="97"/>
      <c r="F325" s="97"/>
      <c r="G325" s="1"/>
      <c r="H325" s="1"/>
      <c r="I325" s="1"/>
      <c r="J325" s="2"/>
      <c r="K325" s="1"/>
      <c r="L325" s="3"/>
      <c r="M325" s="1"/>
      <c r="N325" s="1"/>
      <c r="AE325" s="1"/>
      <c r="AF325" s="1"/>
      <c r="AG325" s="1"/>
      <c r="AH325" s="1"/>
      <c r="AI325" s="1"/>
    </row>
    <row r="326" spans="1:35" s="18" customFormat="1" x14ac:dyDescent="0.2">
      <c r="A326" s="97"/>
      <c r="B326" s="97"/>
      <c r="C326" s="97"/>
      <c r="D326" s="97"/>
      <c r="E326" s="97"/>
      <c r="F326" s="97"/>
      <c r="G326" s="1"/>
      <c r="H326" s="1"/>
      <c r="I326" s="1"/>
      <c r="J326" s="2"/>
      <c r="K326" s="1"/>
      <c r="L326" s="3"/>
      <c r="M326" s="1"/>
      <c r="N326" s="1"/>
      <c r="AE326" s="1"/>
      <c r="AF326" s="1"/>
      <c r="AG326" s="1"/>
      <c r="AH326" s="1"/>
      <c r="AI326" s="1"/>
    </row>
  </sheetData>
  <conditionalFormatting sqref="N34:AD35 N133:AD134 N83:AD83 N14:AD17 N63:AD64 N58:AD61 N69:AD70 N94:AD95 N109:AD109 N67:AD67 N37:AD56 N91:AD92 N105:AD106 N117:AD117">
    <cfRule type="cellIs" dxfId="339" priority="208" operator="lessThan">
      <formula>0</formula>
    </cfRule>
  </conditionalFormatting>
  <conditionalFormatting sqref="N18:R18 N19:AD33">
    <cfRule type="cellIs" dxfId="338" priority="207" operator="lessThan">
      <formula>0</formula>
    </cfRule>
  </conditionalFormatting>
  <conditionalFormatting sqref="N62:AD62">
    <cfRule type="cellIs" dxfId="337" priority="193" operator="lessThan">
      <formula>0</formula>
    </cfRule>
  </conditionalFormatting>
  <conditionalFormatting sqref="N108:R108">
    <cfRule type="cellIs" dxfId="336" priority="182" operator="lessThan">
      <formula>0</formula>
    </cfRule>
  </conditionalFormatting>
  <conditionalFormatting sqref="N107:P107">
    <cfRule type="cellIs" dxfId="335" priority="184" operator="lessThan">
      <formula>0</formula>
    </cfRule>
  </conditionalFormatting>
  <conditionalFormatting sqref="S107:AD107">
    <cfRule type="cellIs" dxfId="334" priority="183" operator="lessThan">
      <formula>0</formula>
    </cfRule>
  </conditionalFormatting>
  <conditionalFormatting sqref="N72:AD72 N71:R71">
    <cfRule type="cellIs" dxfId="333" priority="181" operator="lessThan">
      <formula>0</formula>
    </cfRule>
  </conditionalFormatting>
  <conditionalFormatting sqref="N96:O96 N101:AD101">
    <cfRule type="cellIs" dxfId="332" priority="177" operator="lessThan">
      <formula>0</formula>
    </cfRule>
  </conditionalFormatting>
  <conditionalFormatting sqref="N100:AD100 N98:R98">
    <cfRule type="cellIs" dxfId="331" priority="174" operator="lessThan">
      <formula>0</formula>
    </cfRule>
  </conditionalFormatting>
  <conditionalFormatting sqref="N97:P97">
    <cfRule type="cellIs" dxfId="330" priority="176" operator="lessThan">
      <formula>0</formula>
    </cfRule>
  </conditionalFormatting>
  <conditionalFormatting sqref="S97:AD97">
    <cfRule type="cellIs" dxfId="329" priority="175" operator="lessThan">
      <formula>0</formula>
    </cfRule>
  </conditionalFormatting>
  <conditionalFormatting sqref="N121:O121 N124:R124 N119:AD119 N103:AD106 N107:P107 N109:AD110 S107:AD107 N108:R108">
    <cfRule type="cellIs" dxfId="328" priority="173" operator="lessThan">
      <formula>0</formula>
    </cfRule>
  </conditionalFormatting>
  <conditionalFormatting sqref="N123:O123">
    <cfRule type="cellIs" dxfId="327" priority="170" operator="lessThan">
      <formula>0</formula>
    </cfRule>
  </conditionalFormatting>
  <conditionalFormatting sqref="N122:R122">
    <cfRule type="cellIs" dxfId="326" priority="172" operator="lessThan">
      <formula>0</formula>
    </cfRule>
  </conditionalFormatting>
  <conditionalFormatting sqref="S122:AD122">
    <cfRule type="cellIs" dxfId="325" priority="171" operator="lessThan">
      <formula>0</formula>
    </cfRule>
  </conditionalFormatting>
  <conditionalFormatting sqref="P123:AD123">
    <cfRule type="cellIs" dxfId="324" priority="169" operator="lessThan">
      <formula>0</formula>
    </cfRule>
  </conditionalFormatting>
  <conditionalFormatting sqref="N99:AD99">
    <cfRule type="cellIs" dxfId="323" priority="161" operator="lessThan">
      <formula>0</formula>
    </cfRule>
  </conditionalFormatting>
  <conditionalFormatting sqref="N65:AD65">
    <cfRule type="cellIs" dxfId="322" priority="160" operator="lessThan">
      <formula>0</formula>
    </cfRule>
  </conditionalFormatting>
  <conditionalFormatting sqref="N132:R132">
    <cfRule type="cellIs" dxfId="321" priority="111" operator="lessThan">
      <formula>0</formula>
    </cfRule>
  </conditionalFormatting>
  <conditionalFormatting sqref="N128:AD128 N130:O130 S130:AD130">
    <cfRule type="cellIs" dxfId="320" priority="114" operator="lessThan">
      <formula>0</formula>
    </cfRule>
  </conditionalFormatting>
  <conditionalFormatting sqref="S130:AD130">
    <cfRule type="cellIs" dxfId="319" priority="113" operator="lessThan">
      <formula>0</formula>
    </cfRule>
  </conditionalFormatting>
  <conditionalFormatting sqref="T131:AD131 N131:R131">
    <cfRule type="cellIs" dxfId="318" priority="112" operator="lessThan">
      <formula>0</formula>
    </cfRule>
  </conditionalFormatting>
  <conditionalFormatting sqref="N129:P129 S129:AD129">
    <cfRule type="cellIs" dxfId="317" priority="98" operator="lessThan">
      <formula>0</formula>
    </cfRule>
  </conditionalFormatting>
  <conditionalFormatting sqref="P121:AD121">
    <cfRule type="cellIs" dxfId="316" priority="97" operator="lessThan">
      <formula>0</formula>
    </cfRule>
  </conditionalFormatting>
  <conditionalFormatting sqref="P129 S129:AD129">
    <cfRule type="cellIs" dxfId="315" priority="96" operator="lessThan">
      <formula>0</formula>
    </cfRule>
  </conditionalFormatting>
  <conditionalFormatting sqref="Q132:AD132">
    <cfRule type="cellIs" dxfId="314" priority="83" operator="lessThan">
      <formula>0</formula>
    </cfRule>
  </conditionalFormatting>
  <conditionalFormatting sqref="S124:AD124">
    <cfRule type="cellIs" dxfId="313" priority="78" operator="lessThan">
      <formula>0</formula>
    </cfRule>
  </conditionalFormatting>
  <conditionalFormatting sqref="P96:AD96">
    <cfRule type="cellIs" dxfId="312" priority="77" operator="lessThan">
      <formula>0</formula>
    </cfRule>
  </conditionalFormatting>
  <conditionalFormatting sqref="P121:AD121">
    <cfRule type="cellIs" dxfId="311" priority="76" operator="lessThan">
      <formula>0</formula>
    </cfRule>
  </conditionalFormatting>
  <conditionalFormatting sqref="N73:O73">
    <cfRule type="cellIs" dxfId="310" priority="74" operator="lessThan">
      <formula>0</formula>
    </cfRule>
  </conditionalFormatting>
  <conditionalFormatting sqref="S71:AD71">
    <cfRule type="cellIs" dxfId="309" priority="73" operator="lessThan">
      <formula>0</formula>
    </cfRule>
  </conditionalFormatting>
  <conditionalFormatting sqref="S71:AD71">
    <cfRule type="cellIs" dxfId="308" priority="72" operator="lessThan">
      <formula>0</formula>
    </cfRule>
  </conditionalFormatting>
  <conditionalFormatting sqref="S73:AD73">
    <cfRule type="cellIs" dxfId="307" priority="71" operator="lessThan">
      <formula>0</formula>
    </cfRule>
  </conditionalFormatting>
  <conditionalFormatting sqref="P73:R73">
    <cfRule type="cellIs" dxfId="306" priority="62" operator="lessThan">
      <formula>0</formula>
    </cfRule>
  </conditionalFormatting>
  <conditionalFormatting sqref="N120:AD120">
    <cfRule type="cellIs" dxfId="305" priority="58" operator="lessThan">
      <formula>0</formula>
    </cfRule>
  </conditionalFormatting>
  <conditionalFormatting sqref="P130:R130">
    <cfRule type="cellIs" dxfId="304" priority="44" operator="lessThan">
      <formula>0</formula>
    </cfRule>
  </conditionalFormatting>
  <conditionalFormatting sqref="S131:AD131">
    <cfRule type="cellIs" dxfId="303" priority="43" operator="lessThan">
      <formula>0</formula>
    </cfRule>
  </conditionalFormatting>
  <conditionalFormatting sqref="N125:AD125">
    <cfRule type="cellIs" dxfId="302" priority="31" operator="lessThan">
      <formula>0</formula>
    </cfRule>
  </conditionalFormatting>
  <conditionalFormatting sqref="N74:AD75">
    <cfRule type="cellIs" dxfId="301" priority="30" operator="lessThan">
      <formula>0</formula>
    </cfRule>
  </conditionalFormatting>
  <conditionalFormatting sqref="N77:AD78">
    <cfRule type="cellIs" dxfId="300" priority="29" operator="lessThan">
      <formula>0</formula>
    </cfRule>
  </conditionalFormatting>
  <conditionalFormatting sqref="N79:AD80">
    <cfRule type="cellIs" dxfId="299" priority="28" operator="lessThan">
      <formula>0</formula>
    </cfRule>
  </conditionalFormatting>
  <conditionalFormatting sqref="N81:O81">
    <cfRule type="cellIs" dxfId="298" priority="27" operator="lessThan">
      <formula>0</formula>
    </cfRule>
  </conditionalFormatting>
  <conditionalFormatting sqref="S79:AD79">
    <cfRule type="cellIs" dxfId="297" priority="26" operator="lessThan">
      <formula>0</formula>
    </cfRule>
  </conditionalFormatting>
  <conditionalFormatting sqref="S79:AD79">
    <cfRule type="cellIs" dxfId="296" priority="25" operator="lessThan">
      <formula>0</formula>
    </cfRule>
  </conditionalFormatting>
  <conditionalFormatting sqref="S81:AD81">
    <cfRule type="cellIs" dxfId="295" priority="24" operator="lessThan">
      <formula>0</formula>
    </cfRule>
  </conditionalFormatting>
  <conditionalFormatting sqref="P81:R81">
    <cfRule type="cellIs" dxfId="294" priority="23" operator="lessThan">
      <formula>0</formula>
    </cfRule>
  </conditionalFormatting>
  <conditionalFormatting sqref="N82:AD82">
    <cfRule type="cellIs" dxfId="293" priority="22" operator="lessThan">
      <formula>0</formula>
    </cfRule>
  </conditionalFormatting>
  <conditionalFormatting sqref="N85:AD86">
    <cfRule type="cellIs" dxfId="292" priority="21" operator="lessThan">
      <formula>0</formula>
    </cfRule>
  </conditionalFormatting>
  <conditionalFormatting sqref="N87:R87 N88:AD88">
    <cfRule type="cellIs" dxfId="291" priority="20" operator="lessThan">
      <formula>0</formula>
    </cfRule>
  </conditionalFormatting>
  <conditionalFormatting sqref="N89:O89">
    <cfRule type="cellIs" dxfId="290" priority="19" operator="lessThan">
      <formula>0</formula>
    </cfRule>
  </conditionalFormatting>
  <conditionalFormatting sqref="S87:AD87">
    <cfRule type="cellIs" dxfId="289" priority="18" operator="lessThan">
      <formula>0</formula>
    </cfRule>
  </conditionalFormatting>
  <conditionalFormatting sqref="S87:AD87">
    <cfRule type="cellIs" dxfId="288" priority="17" operator="lessThan">
      <formula>0</formula>
    </cfRule>
  </conditionalFormatting>
  <conditionalFormatting sqref="S89:AD89">
    <cfRule type="cellIs" dxfId="287" priority="16" operator="lessThan">
      <formula>0</formula>
    </cfRule>
  </conditionalFormatting>
  <conditionalFormatting sqref="P89:R89">
    <cfRule type="cellIs" dxfId="286" priority="15" operator="lessThan">
      <formula>0</formula>
    </cfRule>
  </conditionalFormatting>
  <conditionalFormatting sqref="N90:AD90">
    <cfRule type="cellIs" dxfId="285" priority="14" operator="lessThan">
      <formula>0</formula>
    </cfRule>
  </conditionalFormatting>
  <conditionalFormatting sqref="Q97:R97">
    <cfRule type="cellIs" dxfId="284" priority="13" operator="lessThan">
      <formula>0</formula>
    </cfRule>
  </conditionalFormatting>
  <conditionalFormatting sqref="S98:AD98">
    <cfRule type="cellIs" dxfId="283" priority="12" operator="lessThan">
      <formula>0</formula>
    </cfRule>
  </conditionalFormatting>
  <conditionalFormatting sqref="Q107:R107">
    <cfRule type="cellIs" dxfId="282" priority="11" operator="lessThan">
      <formula>0</formula>
    </cfRule>
  </conditionalFormatting>
  <conditionalFormatting sqref="S108:AD108">
    <cfRule type="cellIs" dxfId="281" priority="10" operator="lessThan">
      <formula>0</formula>
    </cfRule>
  </conditionalFormatting>
  <conditionalFormatting sqref="N116:AD116 N112:AD113">
    <cfRule type="cellIs" dxfId="280" priority="9" operator="lessThan">
      <formula>0</formula>
    </cfRule>
  </conditionalFormatting>
  <conditionalFormatting sqref="N115:R115">
    <cfRule type="cellIs" dxfId="279" priority="6" operator="lessThan">
      <formula>0</formula>
    </cfRule>
  </conditionalFormatting>
  <conditionalFormatting sqref="N114:P114">
    <cfRule type="cellIs" dxfId="278" priority="8" operator="lessThan">
      <formula>0</formula>
    </cfRule>
  </conditionalFormatting>
  <conditionalFormatting sqref="S114:AD114">
    <cfRule type="cellIs" dxfId="277" priority="7" operator="lessThan">
      <formula>0</formula>
    </cfRule>
  </conditionalFormatting>
  <conditionalFormatting sqref="N111:AD113 N114:P114 N116:AD116 N115:R115 S114:AD114">
    <cfRule type="cellIs" dxfId="276" priority="5" operator="lessThan">
      <formula>0</formula>
    </cfRule>
  </conditionalFormatting>
  <conditionalFormatting sqref="Q114:R114">
    <cfRule type="cellIs" dxfId="275" priority="4" operator="lessThan">
      <formula>0</formula>
    </cfRule>
  </conditionalFormatting>
  <conditionalFormatting sqref="S115:AD115">
    <cfRule type="cellIs" dxfId="274" priority="3" operator="lessThan">
      <formula>0</formula>
    </cfRule>
  </conditionalFormatting>
  <conditionalFormatting sqref="Q129:AD129">
    <cfRule type="cellIs" dxfId="273" priority="2" operator="lessThan">
      <formula>0</formula>
    </cfRule>
  </conditionalFormatting>
  <conditionalFormatting sqref="Q129:AD129">
    <cfRule type="cellIs" dxfId="272" priority="1" operator="lessThan">
      <formula>0</formula>
    </cfRule>
  </conditionalFormatting>
  <pageMargins left="0.7" right="0.7" top="0.75" bottom="0.75" header="0.3" footer="0.3"/>
  <pageSetup paperSize="9" fitToWidth="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2C3AD"/>
  </sheetPr>
  <dimension ref="A1:BA46"/>
  <sheetViews>
    <sheetView zoomScale="85" zoomScaleNormal="85" workbookViewId="0">
      <pane xSplit="10" ySplit="6" topLeftCell="M7" activePane="bottomRight" state="frozen"/>
      <selection activeCell="AA47" sqref="AA47"/>
      <selection pane="topRight" activeCell="AA47" sqref="AA47"/>
      <selection pane="bottomLeft" activeCell="AA47" sqref="AA47"/>
      <selection pane="bottomRight" activeCell="P18" sqref="P18"/>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11.44140625" style="1" bestFit="1" customWidth="1"/>
    <col min="12" max="12" width="36" style="3" hidden="1" customWidth="1" outlineLevel="1"/>
    <col min="13" max="13" width="2.6640625" style="1" customWidth="1" collapsed="1"/>
    <col min="14" max="14" width="17.109375" style="1" hidden="1" customWidth="1" outlineLevel="1"/>
    <col min="15" max="15" width="16" style="18" hidden="1" customWidth="1" outlineLevel="1"/>
    <col min="16" max="16" width="16" style="18" customWidth="1" collapsed="1"/>
    <col min="17"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10</v>
      </c>
      <c r="O3" s="1"/>
      <c r="P3" s="1"/>
      <c r="Q3" s="1"/>
      <c r="R3" s="1"/>
      <c r="S3" s="1"/>
      <c r="T3" s="1"/>
      <c r="U3" s="1"/>
      <c r="V3" s="1"/>
      <c r="W3" s="1"/>
      <c r="X3" s="1"/>
      <c r="Y3" s="1"/>
      <c r="Z3" s="1"/>
      <c r="AA3" s="1"/>
      <c r="AB3" s="1"/>
      <c r="AC3" s="1"/>
      <c r="AD3" s="1"/>
    </row>
    <row r="4" spans="1:32" x14ac:dyDescent="0.2">
      <c r="F4" s="5"/>
      <c r="N4" s="6" t="str">
        <f t="shared" ref="N4:AD4" si="0">Range</f>
        <v>Actual</v>
      </c>
      <c r="O4" s="7" t="str">
        <f t="shared" si="0"/>
        <v>Actual</v>
      </c>
      <c r="P4" s="7" t="str">
        <f t="shared" si="0"/>
        <v>Actual</v>
      </c>
      <c r="Q4" s="7" t="str">
        <f t="shared" si="0"/>
        <v>Actual</v>
      </c>
      <c r="R4" s="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Revenue</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400</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thickBot="1" x14ac:dyDescent="0.25">
      <c r="B11" s="20"/>
      <c r="C11" s="20"/>
      <c r="D11" s="20"/>
      <c r="E11" s="97"/>
      <c r="F11" s="97"/>
      <c r="G11" s="97"/>
      <c r="H11" s="97"/>
      <c r="I11" s="97"/>
      <c r="J11" s="98"/>
      <c r="K11" s="97"/>
      <c r="L11" s="99"/>
      <c r="M11" s="97"/>
      <c r="N11" s="21"/>
      <c r="O11" s="21"/>
      <c r="P11" s="21"/>
      <c r="Q11" s="21"/>
      <c r="R11" s="21"/>
      <c r="S11" s="21"/>
      <c r="T11" s="21"/>
      <c r="U11" s="21"/>
      <c r="V11" s="21"/>
      <c r="W11" s="21"/>
      <c r="X11" s="21"/>
      <c r="Y11" s="21"/>
      <c r="Z11" s="21"/>
      <c r="AA11" s="21"/>
      <c r="AB11" s="21"/>
      <c r="AC11" s="21"/>
      <c r="AD11" s="21"/>
    </row>
    <row r="12" spans="1:32" ht="12.6" x14ac:dyDescent="0.25">
      <c r="B12" s="20"/>
      <c r="C12" s="20"/>
      <c r="D12" s="164" t="s">
        <v>70</v>
      </c>
      <c r="E12" s="165"/>
      <c r="F12" s="165"/>
      <c r="G12" s="165"/>
      <c r="H12" s="166"/>
      <c r="I12" s="165"/>
      <c r="J12" s="167"/>
      <c r="K12" s="165"/>
      <c r="L12" s="168"/>
      <c r="M12" s="165"/>
      <c r="N12" s="169"/>
      <c r="O12" s="169"/>
      <c r="P12" s="169"/>
      <c r="Q12" s="169"/>
      <c r="R12" s="169"/>
      <c r="S12" s="169"/>
      <c r="T12" s="169"/>
      <c r="U12" s="169"/>
      <c r="V12" s="169"/>
      <c r="W12" s="169"/>
      <c r="X12" s="169"/>
      <c r="Y12" s="169"/>
      <c r="Z12" s="169"/>
      <c r="AA12" s="169"/>
      <c r="AB12" s="169"/>
      <c r="AC12" s="169"/>
      <c r="AD12" s="169"/>
    </row>
    <row r="13" spans="1:32" s="97" customFormat="1" ht="13.2" thickBot="1" x14ac:dyDescent="0.3">
      <c r="A13" s="1"/>
      <c r="B13" s="20"/>
      <c r="C13" s="20"/>
      <c r="D13" s="32"/>
      <c r="H13" s="101"/>
      <c r="J13" s="98"/>
      <c r="L13" s="99"/>
      <c r="N13" s="21"/>
      <c r="O13" s="21"/>
      <c r="P13" s="21"/>
      <c r="Q13" s="21"/>
      <c r="R13" s="21"/>
      <c r="S13" s="21"/>
      <c r="T13" s="21"/>
      <c r="U13" s="21"/>
      <c r="V13" s="21"/>
      <c r="W13" s="21"/>
      <c r="X13" s="21"/>
      <c r="Y13" s="21"/>
      <c r="Z13" s="21"/>
      <c r="AA13" s="21"/>
      <c r="AB13" s="21"/>
      <c r="AC13" s="21"/>
      <c r="AD13" s="21"/>
    </row>
    <row r="14" spans="1:32" s="32" customFormat="1" ht="12.6" x14ac:dyDescent="0.25">
      <c r="A14" s="35"/>
      <c r="B14" s="35"/>
      <c r="D14" s="97"/>
      <c r="E14" s="667" t="s">
        <v>953</v>
      </c>
      <c r="F14" s="667"/>
      <c r="G14" s="668"/>
      <c r="H14" s="669"/>
      <c r="I14" s="670"/>
      <c r="J14" s="670"/>
      <c r="K14" s="667"/>
      <c r="L14" s="671"/>
      <c r="M14" s="672"/>
      <c r="N14" s="673"/>
      <c r="O14" s="673"/>
      <c r="P14" s="673"/>
      <c r="Q14" s="673"/>
      <c r="R14" s="673"/>
      <c r="S14" s="667"/>
      <c r="T14" s="667"/>
      <c r="U14" s="667"/>
      <c r="V14" s="667"/>
      <c r="W14" s="667"/>
      <c r="X14" s="673"/>
      <c r="Y14" s="673"/>
      <c r="Z14" s="673"/>
      <c r="AA14" s="673"/>
      <c r="AB14" s="673"/>
      <c r="AC14" s="673"/>
      <c r="AD14" s="673"/>
    </row>
    <row r="15" spans="1:32" s="32" customFormat="1" ht="12.6" x14ac:dyDescent="0.25">
      <c r="A15" s="35"/>
      <c r="B15" s="35"/>
      <c r="D15" s="97"/>
      <c r="F15" s="77" t="s">
        <v>954</v>
      </c>
      <c r="G15" s="97"/>
      <c r="H15" s="101"/>
      <c r="J15" s="98" t="s">
        <v>1205</v>
      </c>
      <c r="K15" s="101"/>
      <c r="L15" s="38"/>
      <c r="M15" s="103"/>
      <c r="N15" s="101"/>
      <c r="O15" s="101"/>
      <c r="P15" s="91">
        <v>289087</v>
      </c>
      <c r="Q15" s="91">
        <v>329500</v>
      </c>
      <c r="R15" s="91">
        <v>366946</v>
      </c>
      <c r="S15" s="101">
        <f t="shared" ref="S15:AD15" si="2">R15*(1+Inputs_Rev_Exc_FTE)</f>
        <v>413417.59455951193</v>
      </c>
      <c r="T15" s="101">
        <f t="shared" si="2"/>
        <v>465774.54854766908</v>
      </c>
      <c r="U15" s="101">
        <f t="shared" si="2"/>
        <v>524762.20879262872</v>
      </c>
      <c r="V15" s="101">
        <f t="shared" si="2"/>
        <v>591220.31599958823</v>
      </c>
      <c r="W15" s="101">
        <f t="shared" si="2"/>
        <v>666094.95919090079</v>
      </c>
      <c r="X15" s="101">
        <f t="shared" si="2"/>
        <v>750452.04410708509</v>
      </c>
      <c r="Y15" s="101">
        <f t="shared" si="2"/>
        <v>845492.46730314498</v>
      </c>
      <c r="Z15" s="101">
        <f t="shared" si="2"/>
        <v>952569.21195667202</v>
      </c>
      <c r="AA15" s="101">
        <f t="shared" si="2"/>
        <v>1073206.6087614449</v>
      </c>
      <c r="AB15" s="101">
        <f t="shared" si="2"/>
        <v>1209122.036102118</v>
      </c>
      <c r="AC15" s="101">
        <f t="shared" si="2"/>
        <v>1362250.3684308778</v>
      </c>
      <c r="AD15" s="101">
        <f t="shared" si="2"/>
        <v>1534771.5208900012</v>
      </c>
    </row>
    <row r="16" spans="1:32" s="32" customFormat="1" ht="12.6" x14ac:dyDescent="0.25">
      <c r="A16" s="35"/>
      <c r="B16" s="35"/>
      <c r="D16" s="97"/>
      <c r="F16" s="77" t="s">
        <v>955</v>
      </c>
      <c r="G16" s="97"/>
      <c r="H16" s="101"/>
      <c r="J16" s="98" t="s">
        <v>1205</v>
      </c>
      <c r="L16" s="38"/>
      <c r="M16" s="103"/>
      <c r="N16" s="108"/>
      <c r="O16" s="109"/>
      <c r="P16" s="91">
        <v>0</v>
      </c>
      <c r="Q16" s="91">
        <v>0</v>
      </c>
      <c r="R16" s="91">
        <v>0</v>
      </c>
      <c r="S16" s="101">
        <f t="shared" ref="S16:AD16" si="3">R16*(1+Inputs_Rev_Exc_Recharges)</f>
        <v>0</v>
      </c>
      <c r="T16" s="101">
        <f t="shared" si="3"/>
        <v>0</v>
      </c>
      <c r="U16" s="101">
        <f t="shared" si="3"/>
        <v>0</v>
      </c>
      <c r="V16" s="101">
        <f t="shared" si="3"/>
        <v>0</v>
      </c>
      <c r="W16" s="101">
        <f t="shared" si="3"/>
        <v>0</v>
      </c>
      <c r="X16" s="101">
        <f t="shared" si="3"/>
        <v>0</v>
      </c>
      <c r="Y16" s="101">
        <f t="shared" si="3"/>
        <v>0</v>
      </c>
      <c r="Z16" s="101">
        <f t="shared" si="3"/>
        <v>0</v>
      </c>
      <c r="AA16" s="101">
        <f t="shared" si="3"/>
        <v>0</v>
      </c>
      <c r="AB16" s="101">
        <f t="shared" si="3"/>
        <v>0</v>
      </c>
      <c r="AC16" s="101">
        <f t="shared" si="3"/>
        <v>0</v>
      </c>
      <c r="AD16" s="101">
        <f t="shared" si="3"/>
        <v>0</v>
      </c>
    </row>
    <row r="17" spans="1:30" s="32" customFormat="1" ht="12.6" x14ac:dyDescent="0.25">
      <c r="A17" s="35"/>
      <c r="B17" s="35"/>
      <c r="D17" s="97"/>
      <c r="F17" s="77" t="s">
        <v>956</v>
      </c>
      <c r="G17" s="97"/>
      <c r="H17" s="101"/>
      <c r="J17" s="98" t="s">
        <v>1205</v>
      </c>
      <c r="L17" s="38"/>
      <c r="M17" s="103"/>
      <c r="N17" s="108"/>
      <c r="O17" s="109"/>
      <c r="P17" s="91">
        <v>0</v>
      </c>
      <c r="Q17" s="91">
        <v>1019</v>
      </c>
      <c r="R17" s="91">
        <v>1361</v>
      </c>
      <c r="S17" s="101">
        <f t="shared" ref="S17:AD17" si="4">R17*(1+Inputs_Rev_Exc_Tech)</f>
        <v>1361</v>
      </c>
      <c r="T17" s="101">
        <f t="shared" si="4"/>
        <v>1361</v>
      </c>
      <c r="U17" s="101">
        <f t="shared" si="4"/>
        <v>1361</v>
      </c>
      <c r="V17" s="101">
        <f t="shared" si="4"/>
        <v>1361</v>
      </c>
      <c r="W17" s="101">
        <f t="shared" si="4"/>
        <v>1361</v>
      </c>
      <c r="X17" s="101">
        <f t="shared" si="4"/>
        <v>1361</v>
      </c>
      <c r="Y17" s="101">
        <f t="shared" si="4"/>
        <v>1361</v>
      </c>
      <c r="Z17" s="101">
        <f t="shared" si="4"/>
        <v>1361</v>
      </c>
      <c r="AA17" s="101">
        <f t="shared" si="4"/>
        <v>1361</v>
      </c>
      <c r="AB17" s="101">
        <f t="shared" si="4"/>
        <v>1361</v>
      </c>
      <c r="AC17" s="101">
        <f t="shared" si="4"/>
        <v>1361</v>
      </c>
      <c r="AD17" s="101">
        <f t="shared" si="4"/>
        <v>1361</v>
      </c>
    </row>
    <row r="18" spans="1:30" s="32" customFormat="1" ht="12.6" x14ac:dyDescent="0.25">
      <c r="A18" s="35"/>
      <c r="B18" s="35"/>
      <c r="D18" s="97"/>
      <c r="F18" s="77" t="s">
        <v>957</v>
      </c>
      <c r="G18" s="97"/>
      <c r="H18" s="101"/>
      <c r="J18" s="98" t="s">
        <v>1205</v>
      </c>
      <c r="L18" s="38"/>
      <c r="M18" s="103"/>
      <c r="N18" s="108"/>
      <c r="O18" s="109"/>
      <c r="P18" s="91">
        <v>6000</v>
      </c>
      <c r="Q18" s="91">
        <v>5234</v>
      </c>
      <c r="R18" s="91">
        <v>5059</v>
      </c>
      <c r="S18" s="101">
        <f t="shared" ref="S18:AD18" si="5">R18*(1+Inputs_Rev_Exc_Milestone)</f>
        <v>5160.18</v>
      </c>
      <c r="T18" s="101">
        <f t="shared" si="5"/>
        <v>5263.3836000000001</v>
      </c>
      <c r="U18" s="101">
        <f t="shared" si="5"/>
        <v>5368.6512720000001</v>
      </c>
      <c r="V18" s="101">
        <f t="shared" si="5"/>
        <v>5476.0242974399998</v>
      </c>
      <c r="W18" s="101">
        <f t="shared" si="5"/>
        <v>5585.5447833888002</v>
      </c>
      <c r="X18" s="101">
        <f t="shared" si="5"/>
        <v>5697.2556790565759</v>
      </c>
      <c r="Y18" s="101">
        <f t="shared" si="5"/>
        <v>5811.2007926377073</v>
      </c>
      <c r="Z18" s="101">
        <f t="shared" si="5"/>
        <v>5927.4248084904611</v>
      </c>
      <c r="AA18" s="101">
        <f t="shared" si="5"/>
        <v>6045.9733046602705</v>
      </c>
      <c r="AB18" s="101">
        <f t="shared" si="5"/>
        <v>6166.8927707534758</v>
      </c>
      <c r="AC18" s="101">
        <f t="shared" si="5"/>
        <v>6290.2306261685453</v>
      </c>
      <c r="AD18" s="101">
        <f t="shared" si="5"/>
        <v>6416.0352386919167</v>
      </c>
    </row>
    <row r="19" spans="1:30" s="32" customFormat="1" ht="12.6" x14ac:dyDescent="0.25">
      <c r="A19" s="35"/>
      <c r="B19" s="35"/>
      <c r="D19" s="97"/>
      <c r="F19" s="77" t="s">
        <v>958</v>
      </c>
      <c r="G19" s="97"/>
      <c r="H19" s="101"/>
      <c r="J19" s="98" t="s">
        <v>1205</v>
      </c>
      <c r="L19" s="38"/>
      <c r="M19" s="103"/>
      <c r="N19" s="108"/>
      <c r="O19" s="109"/>
      <c r="P19" s="91">
        <v>0</v>
      </c>
      <c r="Q19" s="91">
        <v>1852</v>
      </c>
      <c r="R19" s="91">
        <v>0</v>
      </c>
      <c r="S19" s="101">
        <f t="shared" ref="S19:AD19" si="6">R19*(1+Inputs_Rev_Exc_Licence)</f>
        <v>0</v>
      </c>
      <c r="T19" s="101">
        <f t="shared" si="6"/>
        <v>0</v>
      </c>
      <c r="U19" s="101">
        <f t="shared" si="6"/>
        <v>0</v>
      </c>
      <c r="V19" s="101">
        <f t="shared" si="6"/>
        <v>0</v>
      </c>
      <c r="W19" s="101">
        <f t="shared" si="6"/>
        <v>0</v>
      </c>
      <c r="X19" s="101">
        <f t="shared" si="6"/>
        <v>0</v>
      </c>
      <c r="Y19" s="101">
        <f t="shared" si="6"/>
        <v>0</v>
      </c>
      <c r="Z19" s="101">
        <f t="shared" si="6"/>
        <v>0</v>
      </c>
      <c r="AA19" s="101">
        <f t="shared" si="6"/>
        <v>0</v>
      </c>
      <c r="AB19" s="101">
        <f t="shared" si="6"/>
        <v>0</v>
      </c>
      <c r="AC19" s="101">
        <f t="shared" si="6"/>
        <v>0</v>
      </c>
      <c r="AD19" s="101">
        <f t="shared" si="6"/>
        <v>0</v>
      </c>
    </row>
    <row r="20" spans="1:30" s="32" customFormat="1" ht="12.6" x14ac:dyDescent="0.25">
      <c r="A20" s="35"/>
      <c r="B20" s="35"/>
      <c r="D20" s="97"/>
      <c r="F20" s="27" t="s">
        <v>959</v>
      </c>
      <c r="G20" s="28"/>
      <c r="H20" s="100"/>
      <c r="I20" s="27"/>
      <c r="J20" s="29" t="s">
        <v>1205</v>
      </c>
      <c r="K20" s="27"/>
      <c r="L20" s="83"/>
      <c r="M20" s="66"/>
      <c r="N20" s="244"/>
      <c r="O20" s="66"/>
      <c r="P20" s="66">
        <f t="shared" ref="P20:Q20" si="7">SUM(P15:P19)</f>
        <v>295087</v>
      </c>
      <c r="Q20" s="66">
        <f t="shared" si="7"/>
        <v>337605</v>
      </c>
      <c r="R20" s="66">
        <f>SUM(R15:R19)</f>
        <v>373366</v>
      </c>
      <c r="S20" s="66">
        <f t="shared" ref="S20:AD20" si="8">SUM(S15:S19)</f>
        <v>419938.77455951192</v>
      </c>
      <c r="T20" s="66">
        <f t="shared" si="8"/>
        <v>472398.93214766908</v>
      </c>
      <c r="U20" s="66">
        <f t="shared" si="8"/>
        <v>531491.86006462877</v>
      </c>
      <c r="V20" s="66">
        <f t="shared" si="8"/>
        <v>598057.34029702819</v>
      </c>
      <c r="W20" s="66">
        <f t="shared" si="8"/>
        <v>673041.50397428963</v>
      </c>
      <c r="X20" s="66">
        <f t="shared" si="8"/>
        <v>757510.29978614172</v>
      </c>
      <c r="Y20" s="66">
        <f t="shared" si="8"/>
        <v>852664.66809578263</v>
      </c>
      <c r="Z20" s="66">
        <f t="shared" si="8"/>
        <v>959857.63676516246</v>
      </c>
      <c r="AA20" s="66">
        <f t="shared" si="8"/>
        <v>1080613.5820661052</v>
      </c>
      <c r="AB20" s="66">
        <f t="shared" si="8"/>
        <v>1216649.9288728714</v>
      </c>
      <c r="AC20" s="66">
        <f t="shared" si="8"/>
        <v>1369901.5990570465</v>
      </c>
      <c r="AD20" s="66">
        <f t="shared" si="8"/>
        <v>1542548.556128693</v>
      </c>
    </row>
    <row r="21" spans="1:30" s="32" customFormat="1" ht="13.2" thickBot="1" x14ac:dyDescent="0.3">
      <c r="A21" s="35"/>
      <c r="B21" s="35"/>
      <c r="D21" s="97"/>
      <c r="G21" s="97"/>
      <c r="H21" s="101"/>
      <c r="J21" s="98"/>
      <c r="L21" s="38"/>
      <c r="M21" s="103"/>
      <c r="N21" s="108"/>
      <c r="O21" s="103"/>
      <c r="P21" s="103"/>
      <c r="Q21" s="103"/>
      <c r="R21" s="103"/>
      <c r="S21" s="103"/>
      <c r="T21" s="103"/>
      <c r="U21" s="103"/>
      <c r="V21" s="103"/>
      <c r="W21" s="103"/>
      <c r="X21" s="103"/>
      <c r="Y21" s="103"/>
      <c r="Z21" s="103"/>
      <c r="AA21" s="103"/>
      <c r="AB21" s="103"/>
      <c r="AC21" s="103"/>
      <c r="AD21" s="103"/>
    </row>
    <row r="22" spans="1:30" s="32" customFormat="1" ht="12.6" x14ac:dyDescent="0.25">
      <c r="A22" s="35"/>
      <c r="B22" s="35"/>
      <c r="D22" s="97"/>
      <c r="E22" s="667" t="s">
        <v>960</v>
      </c>
      <c r="F22" s="667"/>
      <c r="G22" s="668"/>
      <c r="H22" s="669"/>
      <c r="I22" s="670"/>
      <c r="J22" s="670"/>
      <c r="K22" s="667"/>
      <c r="L22" s="671"/>
      <c r="M22" s="672"/>
      <c r="N22" s="673"/>
      <c r="O22" s="673"/>
      <c r="P22" s="673"/>
      <c r="Q22" s="673"/>
      <c r="R22" s="673"/>
      <c r="S22" s="667"/>
      <c r="T22" s="667"/>
      <c r="U22" s="667"/>
      <c r="V22" s="667"/>
      <c r="W22" s="667"/>
      <c r="X22" s="673"/>
      <c r="Y22" s="673"/>
      <c r="Z22" s="673"/>
      <c r="AA22" s="673"/>
      <c r="AB22" s="673"/>
      <c r="AC22" s="673"/>
      <c r="AD22" s="673"/>
    </row>
    <row r="23" spans="1:30" s="32" customFormat="1" ht="12.6" x14ac:dyDescent="0.25">
      <c r="A23" s="35"/>
      <c r="B23" s="35"/>
      <c r="D23" s="97"/>
      <c r="F23" s="77" t="s">
        <v>954</v>
      </c>
      <c r="G23" s="97"/>
      <c r="H23" s="101"/>
      <c r="J23" s="98" t="s">
        <v>1205</v>
      </c>
      <c r="K23" s="101"/>
      <c r="L23" s="38"/>
      <c r="M23" s="103"/>
      <c r="N23" s="101"/>
      <c r="O23" s="101"/>
      <c r="P23" s="91">
        <v>49362</v>
      </c>
      <c r="Q23" s="91">
        <v>69081</v>
      </c>
      <c r="R23" s="91">
        <v>93648</v>
      </c>
      <c r="S23" s="101">
        <f t="shared" ref="S23:AD23" si="9">R23*(1+Inputs_Rev_Inno_FTE)</f>
        <v>128988.61699454174</v>
      </c>
      <c r="T23" s="101">
        <f t="shared" si="9"/>
        <v>177665.97593290388</v>
      </c>
      <c r="U23" s="101">
        <f t="shared" si="9"/>
        <v>244713.05871530421</v>
      </c>
      <c r="V23" s="101">
        <f t="shared" si="9"/>
        <v>337062.17969621543</v>
      </c>
      <c r="W23" s="101">
        <f t="shared" si="9"/>
        <v>464261.75038634607</v>
      </c>
      <c r="X23" s="101">
        <f t="shared" si="9"/>
        <v>639463.53478771506</v>
      </c>
      <c r="Y23" s="101">
        <f t="shared" si="9"/>
        <v>880782.47235080728</v>
      </c>
      <c r="Z23" s="101">
        <f t="shared" si="9"/>
        <v>1213169.6670677839</v>
      </c>
      <c r="AA23" s="101">
        <f t="shared" si="9"/>
        <v>1670992.1998846969</v>
      </c>
      <c r="AB23" s="101">
        <f t="shared" si="9"/>
        <v>2301586.5034148502</v>
      </c>
      <c r="AC23" s="101">
        <f t="shared" si="9"/>
        <v>3170152.6991370306</v>
      </c>
      <c r="AD23" s="101">
        <f t="shared" si="9"/>
        <v>4366495.9457030492</v>
      </c>
    </row>
    <row r="24" spans="1:30" s="32" customFormat="1" ht="12.6" x14ac:dyDescent="0.25">
      <c r="A24" s="35"/>
      <c r="B24" s="35"/>
      <c r="D24" s="97"/>
      <c r="F24" s="77" t="s">
        <v>955</v>
      </c>
      <c r="G24" s="97"/>
      <c r="H24" s="101"/>
      <c r="J24" s="98" t="s">
        <v>1205</v>
      </c>
      <c r="L24" s="38"/>
      <c r="M24" s="103"/>
      <c r="N24" s="108"/>
      <c r="O24" s="109"/>
      <c r="P24" s="91">
        <v>0</v>
      </c>
      <c r="Q24" s="91">
        <v>0</v>
      </c>
      <c r="R24" s="91">
        <v>0</v>
      </c>
      <c r="S24" s="101">
        <f t="shared" ref="S24:AD24" si="10">R24*(1+Inputs_Rev_Inno_Recharges)</f>
        <v>0</v>
      </c>
      <c r="T24" s="101">
        <f t="shared" si="10"/>
        <v>0</v>
      </c>
      <c r="U24" s="101">
        <f t="shared" si="10"/>
        <v>0</v>
      </c>
      <c r="V24" s="101">
        <f t="shared" si="10"/>
        <v>0</v>
      </c>
      <c r="W24" s="101">
        <f t="shared" si="10"/>
        <v>0</v>
      </c>
      <c r="X24" s="101">
        <f t="shared" si="10"/>
        <v>0</v>
      </c>
      <c r="Y24" s="101">
        <f t="shared" si="10"/>
        <v>0</v>
      </c>
      <c r="Z24" s="101">
        <f t="shared" si="10"/>
        <v>0</v>
      </c>
      <c r="AA24" s="101">
        <f t="shared" si="10"/>
        <v>0</v>
      </c>
      <c r="AB24" s="101">
        <f t="shared" si="10"/>
        <v>0</v>
      </c>
      <c r="AC24" s="101">
        <f t="shared" si="10"/>
        <v>0</v>
      </c>
      <c r="AD24" s="101">
        <f t="shared" si="10"/>
        <v>0</v>
      </c>
    </row>
    <row r="25" spans="1:30" s="32" customFormat="1" ht="12.6" x14ac:dyDescent="0.25">
      <c r="A25" s="35"/>
      <c r="B25" s="35"/>
      <c r="D25" s="97"/>
      <c r="F25" s="77" t="s">
        <v>956</v>
      </c>
      <c r="G25" s="97"/>
      <c r="H25" s="101"/>
      <c r="J25" s="98" t="s">
        <v>1205</v>
      </c>
      <c r="L25" s="38"/>
      <c r="M25" s="103"/>
      <c r="N25" s="108"/>
      <c r="O25" s="109"/>
      <c r="P25" s="91">
        <v>1857</v>
      </c>
      <c r="Q25" s="91">
        <v>0</v>
      </c>
      <c r="R25" s="91">
        <v>0</v>
      </c>
      <c r="S25" s="101">
        <f t="shared" ref="S25:AD25" si="11">R25*(1+Inputs_Rev_Inno_Tech)</f>
        <v>0</v>
      </c>
      <c r="T25" s="101">
        <f t="shared" si="11"/>
        <v>0</v>
      </c>
      <c r="U25" s="101">
        <f t="shared" si="11"/>
        <v>0</v>
      </c>
      <c r="V25" s="101">
        <f t="shared" si="11"/>
        <v>0</v>
      </c>
      <c r="W25" s="101">
        <f t="shared" si="11"/>
        <v>0</v>
      </c>
      <c r="X25" s="101">
        <f t="shared" si="11"/>
        <v>0</v>
      </c>
      <c r="Y25" s="101">
        <f t="shared" si="11"/>
        <v>0</v>
      </c>
      <c r="Z25" s="101">
        <f t="shared" si="11"/>
        <v>0</v>
      </c>
      <c r="AA25" s="101">
        <f t="shared" si="11"/>
        <v>0</v>
      </c>
      <c r="AB25" s="101">
        <f t="shared" si="11"/>
        <v>0</v>
      </c>
      <c r="AC25" s="101">
        <f t="shared" si="11"/>
        <v>0</v>
      </c>
      <c r="AD25" s="101">
        <f t="shared" si="11"/>
        <v>0</v>
      </c>
    </row>
    <row r="26" spans="1:30" s="32" customFormat="1" ht="12.6" x14ac:dyDescent="0.25">
      <c r="A26" s="35"/>
      <c r="B26" s="35"/>
      <c r="D26" s="97"/>
      <c r="F26" s="77" t="s">
        <v>957</v>
      </c>
      <c r="G26" s="97"/>
      <c r="H26" s="101"/>
      <c r="J26" s="98" t="s">
        <v>1205</v>
      </c>
      <c r="L26" s="38"/>
      <c r="M26" s="103"/>
      <c r="N26" s="108"/>
      <c r="O26" s="109"/>
      <c r="P26" s="91">
        <v>17630</v>
      </c>
      <c r="Q26" s="91">
        <v>25202</v>
      </c>
      <c r="R26" s="91">
        <v>12033</v>
      </c>
      <c r="S26" s="101">
        <f t="shared" ref="S26:AD26" si="12">R26*(1+Inputs_Rev_Inno_Milestone)</f>
        <v>12273.66</v>
      </c>
      <c r="T26" s="101">
        <f t="shared" si="12"/>
        <v>12519.1332</v>
      </c>
      <c r="U26" s="101">
        <f t="shared" si="12"/>
        <v>12769.515864000001</v>
      </c>
      <c r="V26" s="101">
        <f t="shared" si="12"/>
        <v>13024.906181280001</v>
      </c>
      <c r="W26" s="101">
        <f t="shared" si="12"/>
        <v>13285.404304905602</v>
      </c>
      <c r="X26" s="101">
        <f t="shared" si="12"/>
        <v>13551.112391003713</v>
      </c>
      <c r="Y26" s="101">
        <f t="shared" si="12"/>
        <v>13822.134638823787</v>
      </c>
      <c r="Z26" s="101">
        <f t="shared" si="12"/>
        <v>14098.577331600263</v>
      </c>
      <c r="AA26" s="101">
        <f t="shared" si="12"/>
        <v>14380.548878232268</v>
      </c>
      <c r="AB26" s="101">
        <f t="shared" si="12"/>
        <v>14668.159855796914</v>
      </c>
      <c r="AC26" s="101">
        <f t="shared" si="12"/>
        <v>14961.523052912853</v>
      </c>
      <c r="AD26" s="101">
        <f t="shared" si="12"/>
        <v>15260.753513971111</v>
      </c>
    </row>
    <row r="27" spans="1:30" s="32" customFormat="1" ht="12.6" x14ac:dyDescent="0.25">
      <c r="A27" s="35"/>
      <c r="B27" s="35"/>
      <c r="D27" s="97"/>
      <c r="F27" s="77" t="s">
        <v>958</v>
      </c>
      <c r="G27" s="97"/>
      <c r="H27" s="101"/>
      <c r="J27" s="98" t="s">
        <v>1205</v>
      </c>
      <c r="L27" s="38"/>
      <c r="M27" s="103"/>
      <c r="N27" s="108"/>
      <c r="O27" s="109"/>
      <c r="P27" s="91">
        <v>44</v>
      </c>
      <c r="Q27" s="91">
        <v>46</v>
      </c>
      <c r="R27" s="91">
        <v>42</v>
      </c>
      <c r="S27" s="101">
        <f t="shared" ref="S27:AD27" si="13">R27*(1+Inputs_Rev_Inno_Licence)</f>
        <v>42.84</v>
      </c>
      <c r="T27" s="101">
        <f t="shared" si="13"/>
        <v>43.696800000000003</v>
      </c>
      <c r="U27" s="101">
        <f t="shared" si="13"/>
        <v>44.570736000000004</v>
      </c>
      <c r="V27" s="101">
        <f t="shared" si="13"/>
        <v>45.462150720000004</v>
      </c>
      <c r="W27" s="101">
        <f t="shared" si="13"/>
        <v>46.371393734400002</v>
      </c>
      <c r="X27" s="101">
        <f t="shared" si="13"/>
        <v>47.298821609088002</v>
      </c>
      <c r="Y27" s="101">
        <f t="shared" si="13"/>
        <v>48.24479804126976</v>
      </c>
      <c r="Z27" s="101">
        <f t="shared" si="13"/>
        <v>49.209694002095155</v>
      </c>
      <c r="AA27" s="101">
        <f t="shared" si="13"/>
        <v>50.193887882137062</v>
      </c>
      <c r="AB27" s="101">
        <f t="shared" si="13"/>
        <v>51.197765639779803</v>
      </c>
      <c r="AC27" s="101">
        <f t="shared" si="13"/>
        <v>52.221720952575403</v>
      </c>
      <c r="AD27" s="101">
        <f t="shared" si="13"/>
        <v>53.266155371626915</v>
      </c>
    </row>
    <row r="28" spans="1:30" s="32" customFormat="1" ht="12.6" x14ac:dyDescent="0.25">
      <c r="A28" s="35"/>
      <c r="B28" s="35"/>
      <c r="D28" s="97"/>
      <c r="F28" s="27" t="s">
        <v>959</v>
      </c>
      <c r="G28" s="28"/>
      <c r="H28" s="100"/>
      <c r="I28" s="27"/>
      <c r="J28" s="29" t="s">
        <v>1205</v>
      </c>
      <c r="K28" s="27"/>
      <c r="L28" s="83"/>
      <c r="M28" s="66"/>
      <c r="N28" s="244"/>
      <c r="O28" s="66"/>
      <c r="P28" s="66">
        <f t="shared" ref="P28" si="14">SUM(P23:P27)</f>
        <v>68893</v>
      </c>
      <c r="Q28" s="66">
        <f>SUM(Q23:Q27)</f>
        <v>94329</v>
      </c>
      <c r="R28" s="66">
        <f t="shared" ref="R28:AD28" si="15">SUM(R23:R27)</f>
        <v>105723</v>
      </c>
      <c r="S28" s="66">
        <f t="shared" si="15"/>
        <v>141305.11699454172</v>
      </c>
      <c r="T28" s="66">
        <f t="shared" si="15"/>
        <v>190228.8059329039</v>
      </c>
      <c r="U28" s="66">
        <f t="shared" si="15"/>
        <v>257527.14531530419</v>
      </c>
      <c r="V28" s="66">
        <f t="shared" si="15"/>
        <v>350132.54802821542</v>
      </c>
      <c r="W28" s="66">
        <f t="shared" si="15"/>
        <v>477593.52608498611</v>
      </c>
      <c r="X28" s="66">
        <f t="shared" si="15"/>
        <v>653061.94600032794</v>
      </c>
      <c r="Y28" s="66">
        <f t="shared" si="15"/>
        <v>894652.85178767238</v>
      </c>
      <c r="Z28" s="66">
        <f t="shared" si="15"/>
        <v>1227317.4540933862</v>
      </c>
      <c r="AA28" s="66">
        <f t="shared" si="15"/>
        <v>1685422.9426508113</v>
      </c>
      <c r="AB28" s="66">
        <f t="shared" si="15"/>
        <v>2316305.8610362872</v>
      </c>
      <c r="AC28" s="66">
        <f t="shared" si="15"/>
        <v>3185166.4439108958</v>
      </c>
      <c r="AD28" s="66">
        <f t="shared" si="15"/>
        <v>4381809.965372392</v>
      </c>
    </row>
    <row r="29" spans="1:30" s="32" customFormat="1" ht="12.6" x14ac:dyDescent="0.25">
      <c r="A29" s="35"/>
      <c r="B29" s="35"/>
      <c r="D29" s="97"/>
      <c r="G29" s="97"/>
      <c r="H29" s="101"/>
      <c r="I29" s="98"/>
      <c r="J29" s="98"/>
      <c r="L29" s="38"/>
      <c r="M29" s="103"/>
      <c r="N29" s="108"/>
      <c r="O29" s="108"/>
      <c r="P29" s="108"/>
      <c r="Q29" s="108"/>
      <c r="R29" s="108"/>
      <c r="X29" s="108"/>
      <c r="Y29" s="108"/>
      <c r="Z29" s="108"/>
      <c r="AA29" s="108"/>
      <c r="AB29" s="108"/>
      <c r="AC29" s="108"/>
      <c r="AD29" s="108"/>
    </row>
    <row r="30" spans="1:30" s="32" customFormat="1" ht="12.6" x14ac:dyDescent="0.25">
      <c r="A30" s="35"/>
      <c r="B30" s="35"/>
      <c r="D30" s="97"/>
      <c r="E30" s="32" t="s">
        <v>961</v>
      </c>
      <c r="G30" s="97"/>
      <c r="H30" s="101"/>
      <c r="I30" s="98"/>
      <c r="J30" s="98" t="s">
        <v>1205</v>
      </c>
      <c r="L30" s="38"/>
      <c r="M30" s="103"/>
      <c r="N30" s="108"/>
      <c r="O30" s="108"/>
      <c r="P30" s="101">
        <v>11425</v>
      </c>
      <c r="Q30" s="101">
        <v>14503</v>
      </c>
      <c r="R30" s="101">
        <v>21835</v>
      </c>
      <c r="S30" s="101">
        <f t="shared" ref="S30:AD30" si="16">R30*(1+Inputs_Rev_Group_Transition)</f>
        <v>22271.7</v>
      </c>
      <c r="T30" s="101">
        <f t="shared" si="16"/>
        <v>22717.134000000002</v>
      </c>
      <c r="U30" s="101">
        <f t="shared" si="16"/>
        <v>23171.476680000003</v>
      </c>
      <c r="V30" s="101">
        <f t="shared" si="16"/>
        <v>23634.906213600003</v>
      </c>
      <c r="W30" s="101">
        <f t="shared" si="16"/>
        <v>24107.604337872002</v>
      </c>
      <c r="X30" s="101">
        <f t="shared" si="16"/>
        <v>24589.756424629442</v>
      </c>
      <c r="Y30" s="101">
        <f t="shared" si="16"/>
        <v>25081.55155312203</v>
      </c>
      <c r="Z30" s="101">
        <f t="shared" si="16"/>
        <v>25583.182584184469</v>
      </c>
      <c r="AA30" s="101">
        <f t="shared" si="16"/>
        <v>26094.846235868161</v>
      </c>
      <c r="AB30" s="101">
        <f t="shared" si="16"/>
        <v>26616.743160585524</v>
      </c>
      <c r="AC30" s="101">
        <f t="shared" si="16"/>
        <v>27149.078023797236</v>
      </c>
      <c r="AD30" s="101">
        <f t="shared" si="16"/>
        <v>27692.059584273182</v>
      </c>
    </row>
    <row r="31" spans="1:30" s="32" customFormat="1" ht="12.6" x14ac:dyDescent="0.25">
      <c r="A31" s="35"/>
      <c r="B31" s="35"/>
      <c r="D31" s="97"/>
      <c r="G31" s="97"/>
      <c r="H31" s="101"/>
      <c r="I31" s="98"/>
      <c r="J31" s="98"/>
      <c r="L31" s="38"/>
      <c r="M31" s="103"/>
      <c r="N31" s="108"/>
      <c r="O31" s="108"/>
      <c r="P31" s="108"/>
      <c r="Q31" s="108"/>
      <c r="R31" s="108"/>
      <c r="X31" s="108"/>
      <c r="Y31" s="108"/>
      <c r="Z31" s="108"/>
      <c r="AA31" s="108"/>
      <c r="AB31" s="108"/>
      <c r="AC31" s="108"/>
      <c r="AD31" s="108"/>
    </row>
    <row r="32" spans="1:30" s="32" customFormat="1" ht="13.2" thickBot="1" x14ac:dyDescent="0.3">
      <c r="A32" s="35"/>
      <c r="B32" s="35"/>
      <c r="D32" s="97"/>
      <c r="E32" s="346" t="s">
        <v>134</v>
      </c>
      <c r="F32" s="346"/>
      <c r="G32" s="347"/>
      <c r="H32" s="348"/>
      <c r="I32" s="349"/>
      <c r="J32" s="350" t="s">
        <v>1205</v>
      </c>
      <c r="K32" s="349"/>
      <c r="L32" s="351" t="s">
        <v>989</v>
      </c>
      <c r="M32" s="352"/>
      <c r="N32" s="348"/>
      <c r="O32" s="352"/>
      <c r="P32" s="352">
        <f>P20+P28+P30</f>
        <v>375405</v>
      </c>
      <c r="Q32" s="352">
        <f t="shared" ref="Q32:AD32" si="17">Q20+Q28+Q30</f>
        <v>446437</v>
      </c>
      <c r="R32" s="352">
        <f t="shared" si="17"/>
        <v>500924</v>
      </c>
      <c r="S32" s="352">
        <f t="shared" si="17"/>
        <v>583515.59155405359</v>
      </c>
      <c r="T32" s="352">
        <f t="shared" si="17"/>
        <v>685344.872080573</v>
      </c>
      <c r="U32" s="352">
        <f t="shared" si="17"/>
        <v>812190.4820599329</v>
      </c>
      <c r="V32" s="352">
        <f t="shared" si="17"/>
        <v>971824.79453884356</v>
      </c>
      <c r="W32" s="352">
        <f t="shared" si="17"/>
        <v>1174742.6343971477</v>
      </c>
      <c r="X32" s="352">
        <f t="shared" si="17"/>
        <v>1435162.002211099</v>
      </c>
      <c r="Y32" s="352">
        <f t="shared" si="17"/>
        <v>1772399.071436577</v>
      </c>
      <c r="Z32" s="352">
        <f t="shared" si="17"/>
        <v>2212758.2734427336</v>
      </c>
      <c r="AA32" s="352">
        <f t="shared" si="17"/>
        <v>2792131.3709527845</v>
      </c>
      <c r="AB32" s="352">
        <f t="shared" si="17"/>
        <v>3559572.5330697442</v>
      </c>
      <c r="AC32" s="352">
        <f t="shared" si="17"/>
        <v>4582217.1209917394</v>
      </c>
      <c r="AD32" s="352">
        <f t="shared" si="17"/>
        <v>5952050.5810853578</v>
      </c>
    </row>
    <row r="33" spans="1:31" s="32" customFormat="1" ht="12.6" x14ac:dyDescent="0.25">
      <c r="A33" s="35"/>
      <c r="B33" s="35"/>
      <c r="D33" s="97"/>
      <c r="E33" s="76"/>
      <c r="F33" s="76"/>
      <c r="G33" s="97"/>
      <c r="H33" s="101"/>
      <c r="J33" s="98"/>
      <c r="L33" s="38"/>
      <c r="M33" s="103"/>
      <c r="N33" s="108"/>
      <c r="O33" s="108"/>
      <c r="P33" s="108"/>
      <c r="Q33" s="108">
        <f t="shared" ref="Q33:AD33" si="18">(Q32-P32)/P32</f>
        <v>0.18921431520624393</v>
      </c>
      <c r="R33" s="108">
        <f t="shared" si="18"/>
        <v>0.12204857572289035</v>
      </c>
      <c r="S33" s="108">
        <f t="shared" si="18"/>
        <v>0.16487848766290614</v>
      </c>
      <c r="T33" s="108">
        <f t="shared" si="18"/>
        <v>0.17450995654687063</v>
      </c>
      <c r="U33" s="108">
        <f t="shared" si="18"/>
        <v>0.18508289059533112</v>
      </c>
      <c r="V33" s="108">
        <f t="shared" si="18"/>
        <v>0.1965478739347391</v>
      </c>
      <c r="W33" s="108">
        <f t="shared" si="18"/>
        <v>0.20880084661206239</v>
      </c>
      <c r="X33" s="108">
        <f t="shared" si="18"/>
        <v>0.22168206055413395</v>
      </c>
      <c r="Y33" s="108">
        <f t="shared" si="18"/>
        <v>0.23498188267659664</v>
      </c>
      <c r="Z33" s="108">
        <f t="shared" si="18"/>
        <v>0.24845375350441457</v>
      </c>
      <c r="AA33" s="108">
        <f t="shared" si="18"/>
        <v>0.26183298214884981</v>
      </c>
      <c r="AB33" s="108">
        <f t="shared" si="18"/>
        <v>0.27485854358460171</v>
      </c>
      <c r="AC33" s="108">
        <f t="shared" si="18"/>
        <v>0.2872942125553698</v>
      </c>
      <c r="AD33" s="108">
        <f t="shared" si="18"/>
        <v>0.29894555930539196</v>
      </c>
    </row>
    <row r="34" spans="1:31" s="32" customFormat="1" ht="13.2" thickBot="1" x14ac:dyDescent="0.3">
      <c r="A34" s="35"/>
      <c r="B34" s="35"/>
      <c r="D34" s="97"/>
      <c r="E34" s="76"/>
      <c r="F34" s="76"/>
      <c r="G34" s="97"/>
      <c r="H34" s="101"/>
      <c r="J34" s="98"/>
      <c r="L34" s="38"/>
      <c r="M34" s="103"/>
      <c r="N34" s="108"/>
      <c r="O34" s="108"/>
      <c r="P34" s="108"/>
      <c r="Q34" s="108"/>
      <c r="R34" s="108"/>
      <c r="S34" s="108"/>
      <c r="T34" s="108"/>
      <c r="U34" s="108"/>
      <c r="V34" s="108"/>
      <c r="W34" s="108"/>
      <c r="X34" s="108"/>
      <c r="Y34" s="108"/>
      <c r="Z34" s="108"/>
      <c r="AA34" s="108"/>
      <c r="AB34" s="108"/>
      <c r="AC34" s="108"/>
      <c r="AD34" s="108"/>
    </row>
    <row r="35" spans="1:31" ht="12.6" x14ac:dyDescent="0.25">
      <c r="B35" s="20"/>
      <c r="C35" s="20"/>
      <c r="D35" s="164" t="s">
        <v>139</v>
      </c>
      <c r="E35" s="165"/>
      <c r="F35" s="165"/>
      <c r="G35" s="165"/>
      <c r="H35" s="166"/>
      <c r="I35" s="165"/>
      <c r="J35" s="167"/>
      <c r="K35" s="165"/>
      <c r="L35" s="168"/>
      <c r="M35" s="165"/>
      <c r="N35" s="169"/>
      <c r="O35" s="169"/>
      <c r="P35" s="169"/>
      <c r="Q35" s="169"/>
      <c r="R35" s="169"/>
      <c r="S35" s="169"/>
      <c r="T35" s="169"/>
      <c r="U35" s="169"/>
      <c r="V35" s="169"/>
      <c r="W35" s="169"/>
      <c r="X35" s="169"/>
      <c r="Y35" s="169"/>
      <c r="Z35" s="169"/>
      <c r="AA35" s="169"/>
      <c r="AB35" s="169"/>
      <c r="AC35" s="169"/>
      <c r="AD35" s="169"/>
    </row>
    <row r="36" spans="1:31" s="32" customFormat="1" ht="12.6" x14ac:dyDescent="0.25">
      <c r="A36" s="35"/>
      <c r="B36" s="35"/>
      <c r="D36" s="97"/>
      <c r="E36" s="76"/>
      <c r="F36" s="76"/>
      <c r="G36" s="97"/>
      <c r="H36" s="101"/>
      <c r="J36" s="98"/>
      <c r="L36" s="38"/>
      <c r="M36" s="103"/>
      <c r="N36" s="108"/>
      <c r="O36" s="108"/>
      <c r="P36" s="108"/>
      <c r="Q36" s="108"/>
      <c r="R36" s="108"/>
      <c r="S36" s="108"/>
      <c r="T36" s="108"/>
      <c r="U36" s="108"/>
      <c r="V36" s="101"/>
      <c r="W36" s="108"/>
      <c r="X36" s="108"/>
      <c r="Y36" s="108"/>
      <c r="Z36" s="108"/>
      <c r="AA36" s="108"/>
      <c r="AB36" s="108"/>
      <c r="AC36" s="108"/>
      <c r="AD36" s="108"/>
    </row>
    <row r="37" spans="1:31" s="32" customFormat="1" ht="12.6" x14ac:dyDescent="0.25">
      <c r="A37" s="35"/>
      <c r="B37" s="35"/>
      <c r="D37" s="97"/>
      <c r="E37" s="77" t="s">
        <v>982</v>
      </c>
      <c r="F37" s="97"/>
      <c r="G37" s="97"/>
      <c r="H37" s="97"/>
      <c r="I37" s="97"/>
      <c r="J37" s="201" t="s">
        <v>1205</v>
      </c>
      <c r="K37" s="97"/>
      <c r="L37" s="99" t="s">
        <v>981</v>
      </c>
      <c r="M37" s="103"/>
      <c r="N37" s="108"/>
      <c r="O37" s="108"/>
      <c r="P37" s="101">
        <f>IS_Direct_Costs</f>
        <v>-59666</v>
      </c>
      <c r="Q37" s="101">
        <f>IS_Direct_Costs</f>
        <v>-264741</v>
      </c>
      <c r="R37" s="101">
        <f>IS_Direct_Costs</f>
        <v>-319123</v>
      </c>
      <c r="S37" s="101">
        <f t="shared" ref="S37:AD37" si="19">-Inputs_Costs_COR*Revenue_Total_Revenue</f>
        <v>-402912.56504650402</v>
      </c>
      <c r="T37" s="101">
        <f t="shared" si="19"/>
        <v>-473224.81926495762</v>
      </c>
      <c r="U37" s="101">
        <f t="shared" si="19"/>
        <v>-560810.63671596907</v>
      </c>
      <c r="V37" s="101">
        <f t="shared" si="19"/>
        <v>-671036.77504248021</v>
      </c>
      <c r="W37" s="101">
        <f t="shared" si="19"/>
        <v>-811149.82177917811</v>
      </c>
      <c r="X37" s="101">
        <f t="shared" si="19"/>
        <v>-990967.18568930472</v>
      </c>
      <c r="Y37" s="101">
        <f t="shared" si="19"/>
        <v>-1223826.520653306</v>
      </c>
      <c r="Z37" s="101">
        <f t="shared" si="19"/>
        <v>-1527890.8133478679</v>
      </c>
      <c r="AA37" s="101">
        <f t="shared" si="19"/>
        <v>-1927943.0214045718</v>
      </c>
      <c r="AB37" s="101">
        <f t="shared" si="19"/>
        <v>-2457854.6323819291</v>
      </c>
      <c r="AC37" s="101">
        <f t="shared" si="19"/>
        <v>-3163982.0435676635</v>
      </c>
      <c r="AD37" s="101">
        <f t="shared" si="19"/>
        <v>-4109840.4252142156</v>
      </c>
    </row>
    <row r="38" spans="1:31" s="32" customFormat="1" ht="12.6" x14ac:dyDescent="0.25">
      <c r="A38" s="35"/>
      <c r="B38" s="35"/>
      <c r="D38" s="97"/>
      <c r="E38" s="77" t="s">
        <v>783</v>
      </c>
      <c r="F38" s="97"/>
      <c r="G38" s="97"/>
      <c r="H38" s="97"/>
      <c r="I38" s="97"/>
      <c r="J38" s="201" t="s">
        <v>1205</v>
      </c>
      <c r="K38" s="97"/>
      <c r="L38" s="99" t="s">
        <v>964</v>
      </c>
      <c r="M38" s="103"/>
      <c r="N38" s="108"/>
      <c r="O38" s="108"/>
      <c r="P38" s="101">
        <f>IS_R_D</f>
        <v>0</v>
      </c>
      <c r="Q38" s="101">
        <f>IS_R_D</f>
        <v>-58432</v>
      </c>
      <c r="R38" s="101">
        <f>IS_R_D</f>
        <v>-63945</v>
      </c>
      <c r="S38" s="101">
        <f t="shared" ref="S38:AD38" si="20">-Inputs_Costs_RD*Revenue_Total_Revenue</f>
        <v>-50287.238327709238</v>
      </c>
      <c r="T38" s="101">
        <f t="shared" si="20"/>
        <v>-59062.862103139902</v>
      </c>
      <c r="U38" s="101">
        <f t="shared" si="20"/>
        <v>-69994.387348022472</v>
      </c>
      <c r="V38" s="101">
        <f t="shared" si="20"/>
        <v>-87464.231508495912</v>
      </c>
      <c r="W38" s="101">
        <f t="shared" si="20"/>
        <v>-105726.83709574329</v>
      </c>
      <c r="X38" s="101">
        <f t="shared" si="20"/>
        <v>-129164.58019899891</v>
      </c>
      <c r="Y38" s="101">
        <f t="shared" si="20"/>
        <v>-159515.91642929192</v>
      </c>
      <c r="Z38" s="101">
        <f t="shared" si="20"/>
        <v>-177020.66187541868</v>
      </c>
      <c r="AA38" s="101">
        <f t="shared" si="20"/>
        <v>-223370.50967622278</v>
      </c>
      <c r="AB38" s="101">
        <f t="shared" si="20"/>
        <v>-284765.80264557956</v>
      </c>
      <c r="AC38" s="101">
        <f t="shared" si="20"/>
        <v>-366577.36967933917</v>
      </c>
      <c r="AD38" s="101">
        <f t="shared" si="20"/>
        <v>-476164.04648682865</v>
      </c>
    </row>
    <row r="39" spans="1:31" s="32" customFormat="1" ht="12.6" x14ac:dyDescent="0.25">
      <c r="A39" s="35"/>
      <c r="B39" s="35"/>
      <c r="D39" s="97"/>
      <c r="E39" s="77" t="s">
        <v>780</v>
      </c>
      <c r="F39" s="97"/>
      <c r="G39" s="97"/>
      <c r="H39" s="97"/>
      <c r="I39" s="97"/>
      <c r="J39" s="201" t="s">
        <v>1205</v>
      </c>
      <c r="K39" s="97"/>
      <c r="L39" s="99" t="s">
        <v>965</v>
      </c>
      <c r="M39" s="103"/>
      <c r="N39" s="108"/>
      <c r="O39" s="108"/>
      <c r="P39" s="101">
        <f>IS_SGA</f>
        <v>0</v>
      </c>
      <c r="Q39" s="101">
        <f>IS_SGA</f>
        <v>-66546</v>
      </c>
      <c r="R39" s="101">
        <f>IS_SGA</f>
        <v>-77238</v>
      </c>
      <c r="S39" s="101">
        <f t="shared" ref="S39:AD39" si="21">-Inputs_Costs_SGA*Revenue_Total_Revenue</f>
        <v>-58983.950143892922</v>
      </c>
      <c r="T39" s="101">
        <f t="shared" si="21"/>
        <v>-69277.236720466462</v>
      </c>
      <c r="U39" s="101">
        <f t="shared" si="21"/>
        <v>-82099.267945147411</v>
      </c>
      <c r="V39" s="101">
        <f t="shared" si="21"/>
        <v>-116618.97534466123</v>
      </c>
      <c r="W39" s="101">
        <f t="shared" si="21"/>
        <v>-117474.26343971478</v>
      </c>
      <c r="X39" s="101">
        <f t="shared" si="21"/>
        <v>-143516.2002211099</v>
      </c>
      <c r="Y39" s="101">
        <f t="shared" si="21"/>
        <v>-177239.90714365771</v>
      </c>
      <c r="Z39" s="101">
        <f t="shared" si="21"/>
        <v>-221275.82734427336</v>
      </c>
      <c r="AA39" s="101">
        <f t="shared" si="21"/>
        <v>-279213.13709527848</v>
      </c>
      <c r="AB39" s="101">
        <f t="shared" si="21"/>
        <v>-355957.25330697442</v>
      </c>
      <c r="AC39" s="101">
        <f t="shared" si="21"/>
        <v>-458221.71209917398</v>
      </c>
      <c r="AD39" s="101">
        <f t="shared" si="21"/>
        <v>-595205.05810853583</v>
      </c>
    </row>
    <row r="40" spans="1:31" s="32" customFormat="1" ht="13.2" thickBot="1" x14ac:dyDescent="0.3">
      <c r="A40" s="35"/>
      <c r="B40" s="35"/>
      <c r="D40" s="97"/>
      <c r="E40" s="76"/>
      <c r="F40" s="76"/>
      <c r="G40" s="97"/>
      <c r="H40" s="101"/>
      <c r="J40" s="98"/>
      <c r="L40" s="38"/>
      <c r="M40" s="103"/>
      <c r="N40" s="108"/>
      <c r="O40" s="108"/>
      <c r="P40" s="108"/>
      <c r="Q40" s="108"/>
      <c r="R40" s="108"/>
      <c r="S40" s="108"/>
      <c r="T40" s="108"/>
      <c r="U40" s="108"/>
      <c r="V40" s="108"/>
      <c r="W40" s="108"/>
      <c r="X40" s="108"/>
      <c r="Y40" s="108"/>
      <c r="Z40" s="108"/>
      <c r="AA40" s="108"/>
      <c r="AB40" s="108"/>
      <c r="AC40" s="108"/>
      <c r="AD40" s="108"/>
    </row>
    <row r="41" spans="1:31" ht="12.6" x14ac:dyDescent="0.25">
      <c r="B41" s="20"/>
      <c r="C41" s="20"/>
      <c r="D41" s="164" t="s">
        <v>962</v>
      </c>
      <c r="E41" s="165"/>
      <c r="F41" s="165"/>
      <c r="G41" s="165"/>
      <c r="H41" s="166"/>
      <c r="I41" s="165"/>
      <c r="J41" s="167"/>
      <c r="K41" s="165"/>
      <c r="L41" s="168"/>
      <c r="M41" s="165"/>
      <c r="N41" s="169"/>
      <c r="O41" s="169"/>
      <c r="P41" s="169"/>
      <c r="Q41" s="169"/>
      <c r="R41" s="169"/>
      <c r="S41" s="169"/>
      <c r="T41" s="169"/>
      <c r="U41" s="169"/>
      <c r="V41" s="169"/>
      <c r="W41" s="169"/>
      <c r="X41" s="169"/>
      <c r="Y41" s="169"/>
      <c r="Z41" s="169"/>
      <c r="AA41" s="169"/>
      <c r="AB41" s="169"/>
      <c r="AC41" s="169"/>
      <c r="AD41" s="169"/>
    </row>
    <row r="42" spans="1:31" s="32" customFormat="1" ht="12.6" x14ac:dyDescent="0.25">
      <c r="A42" s="35"/>
      <c r="B42" s="35"/>
      <c r="D42" s="97"/>
      <c r="E42" s="76"/>
      <c r="F42" s="76"/>
      <c r="G42" s="97"/>
      <c r="H42" s="101"/>
      <c r="J42" s="98"/>
      <c r="L42" s="38"/>
      <c r="M42" s="103"/>
      <c r="N42" s="108"/>
      <c r="O42" s="108"/>
      <c r="P42" s="108"/>
      <c r="Q42" s="108"/>
      <c r="R42" s="108"/>
      <c r="S42" s="108"/>
      <c r="T42" s="108"/>
      <c r="U42" s="108"/>
      <c r="V42" s="108"/>
      <c r="W42" s="108"/>
      <c r="X42" s="108"/>
      <c r="Y42" s="108"/>
      <c r="Z42" s="108"/>
      <c r="AA42" s="108"/>
      <c r="AB42" s="108"/>
      <c r="AC42" s="108"/>
      <c r="AD42" s="108"/>
    </row>
    <row r="43" spans="1:31" s="32" customFormat="1" ht="12.6" x14ac:dyDescent="0.25">
      <c r="A43" s="35"/>
      <c r="B43" s="35"/>
      <c r="D43" s="97"/>
      <c r="E43" s="77" t="s">
        <v>437</v>
      </c>
      <c r="F43" s="76"/>
      <c r="G43" s="97"/>
      <c r="H43" s="101"/>
      <c r="J43" s="98" t="s">
        <v>1205</v>
      </c>
      <c r="L43" s="99" t="s">
        <v>966</v>
      </c>
      <c r="M43" s="103"/>
      <c r="N43" s="108"/>
      <c r="O43" s="108"/>
      <c r="P43" s="101">
        <f>IS_Other_Income</f>
        <v>1158</v>
      </c>
      <c r="Q43" s="101">
        <f>IS_Other_Income</f>
        <v>76498</v>
      </c>
      <c r="R43" s="101">
        <f>IS_Other_Income</f>
        <v>72175</v>
      </c>
      <c r="S43" s="101">
        <f t="shared" ref="S43:AD43" si="22">Inputs_Costs_Other_Income*Revenue_Total_Revenue</f>
        <v>29175.77957770268</v>
      </c>
      <c r="T43" s="101">
        <f t="shared" si="22"/>
        <v>34267.243604028648</v>
      </c>
      <c r="U43" s="101">
        <f t="shared" si="22"/>
        <v>40609.524102996649</v>
      </c>
      <c r="V43" s="101">
        <f t="shared" si="22"/>
        <v>48591.239726942178</v>
      </c>
      <c r="W43" s="101">
        <f t="shared" si="22"/>
        <v>58737.131719857389</v>
      </c>
      <c r="X43" s="101">
        <f t="shared" si="22"/>
        <v>71758.100110554951</v>
      </c>
      <c r="Y43" s="101">
        <f t="shared" si="22"/>
        <v>88619.953571828853</v>
      </c>
      <c r="Z43" s="101">
        <f t="shared" si="22"/>
        <v>110637.91367213668</v>
      </c>
      <c r="AA43" s="101">
        <f t="shared" si="22"/>
        <v>139606.56854763924</v>
      </c>
      <c r="AB43" s="101">
        <f t="shared" si="22"/>
        <v>177978.62665348721</v>
      </c>
      <c r="AC43" s="101">
        <f t="shared" si="22"/>
        <v>229110.85604958699</v>
      </c>
      <c r="AD43" s="101">
        <f t="shared" si="22"/>
        <v>297602.52905426791</v>
      </c>
    </row>
    <row r="44" spans="1:31" s="32" customFormat="1" ht="12.6" x14ac:dyDescent="0.25">
      <c r="A44" s="35"/>
      <c r="B44" s="35"/>
      <c r="D44" s="97"/>
      <c r="E44" s="77" t="s">
        <v>963</v>
      </c>
      <c r="F44" s="76"/>
      <c r="G44" s="97"/>
      <c r="H44" s="101"/>
      <c r="J44" s="98" t="s">
        <v>1205</v>
      </c>
      <c r="L44" s="99" t="s">
        <v>967</v>
      </c>
      <c r="M44" s="103"/>
      <c r="N44" s="108"/>
      <c r="O44" s="108"/>
      <c r="P44" s="101">
        <f>IS_Other_Expenses</f>
        <v>-5023</v>
      </c>
      <c r="Q44" s="101">
        <f>IS_Other_Expenses</f>
        <v>-9898</v>
      </c>
      <c r="R44" s="101">
        <f>IS_Other_Expenses</f>
        <v>-4968</v>
      </c>
      <c r="S44" s="101">
        <f t="shared" ref="S44:AD44" si="23">-Inputs_Costs_Other_Expense*Revenue_Total_Revenue</f>
        <v>-20018.873265666854</v>
      </c>
      <c r="T44" s="101">
        <f t="shared" si="23"/>
        <v>-23512.365969375685</v>
      </c>
      <c r="U44" s="101">
        <f t="shared" si="23"/>
        <v>-27864.102627723034</v>
      </c>
      <c r="V44" s="101">
        <f t="shared" si="23"/>
        <v>-33340.732758301376</v>
      </c>
      <c r="W44" s="101">
        <f t="shared" si="23"/>
        <v>-40302.305984901221</v>
      </c>
      <c r="X44" s="101">
        <f t="shared" si="23"/>
        <v>-49236.60422071733</v>
      </c>
      <c r="Y44" s="101">
        <f t="shared" si="23"/>
        <v>-60806.314177103952</v>
      </c>
      <c r="Z44" s="101">
        <f t="shared" si="23"/>
        <v>-75913.87117117412</v>
      </c>
      <c r="AA44" s="101">
        <f t="shared" si="23"/>
        <v>-95790.626446386246</v>
      </c>
      <c r="AB44" s="101">
        <f t="shared" si="23"/>
        <v>-122119.49852049659</v>
      </c>
      <c r="AC44" s="101">
        <f t="shared" si="23"/>
        <v>-157203.72368559931</v>
      </c>
      <c r="AD44" s="101">
        <f t="shared" si="23"/>
        <v>-204199.07878768109</v>
      </c>
    </row>
    <row r="45" spans="1:31" ht="13.2" thickBot="1" x14ac:dyDescent="0.3">
      <c r="A45" s="35"/>
      <c r="B45" s="35"/>
      <c r="C45" s="32"/>
      <c r="D45" s="32"/>
      <c r="E45" s="32"/>
      <c r="F45" s="32"/>
      <c r="G45" s="32"/>
      <c r="H45" s="103"/>
      <c r="I45" s="32"/>
      <c r="J45" s="37"/>
      <c r="K45" s="32"/>
      <c r="L45" s="38"/>
      <c r="M45" s="103"/>
      <c r="N45" s="103"/>
      <c r="O45" s="103"/>
      <c r="P45" s="103"/>
      <c r="Q45" s="103"/>
      <c r="R45" s="103"/>
      <c r="S45" s="103"/>
      <c r="T45" s="103"/>
      <c r="U45" s="103"/>
      <c r="V45" s="103"/>
      <c r="W45" s="103"/>
      <c r="X45" s="103"/>
      <c r="Y45" s="103"/>
      <c r="Z45" s="103"/>
      <c r="AA45" s="103"/>
      <c r="AB45" s="103"/>
      <c r="AC45" s="103"/>
      <c r="AD45" s="103"/>
      <c r="AE45" s="32"/>
    </row>
    <row r="46" spans="1:31" ht="13.2" thickTop="1" x14ac:dyDescent="0.25">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row>
  </sheetData>
  <conditionalFormatting sqref="N9:AD9 N33:AD34 N36:AD36 T37:AD37 N40:AD40 N37:R39">
    <cfRule type="cellIs" dxfId="271" priority="929" operator="lessThan">
      <formula>0</formula>
    </cfRule>
  </conditionalFormatting>
  <conditionalFormatting sqref="X14:AD14 N14:R14 X29:AD31 N42:AD42 N29:R31 N43:O44 Q43:R44 T30:AD30">
    <cfRule type="cellIs" dxfId="270" priority="907" operator="lessThan">
      <formula>0</formula>
    </cfRule>
  </conditionalFormatting>
  <conditionalFormatting sqref="N32:AD32">
    <cfRule type="cellIs" dxfId="269" priority="742" operator="lessThan">
      <formula>0</formula>
    </cfRule>
  </conditionalFormatting>
  <conditionalFormatting sqref="N45:AD45">
    <cfRule type="cellIs" dxfId="268" priority="276" operator="lessThan">
      <formula>0</formula>
    </cfRule>
  </conditionalFormatting>
  <conditionalFormatting sqref="N15:AD19">
    <cfRule type="cellIs" dxfId="267" priority="49" operator="lessThan">
      <formula>0</formula>
    </cfRule>
  </conditionalFormatting>
  <conditionalFormatting sqref="K15">
    <cfRule type="cellIs" dxfId="266" priority="48" operator="lessThan">
      <formula>0</formula>
    </cfRule>
  </conditionalFormatting>
  <conditionalFormatting sqref="N20:AD21">
    <cfRule type="cellIs" dxfId="265" priority="42" operator="lessThan">
      <formula>0</formula>
    </cfRule>
  </conditionalFormatting>
  <conditionalFormatting sqref="X22:AD22 N22:R22">
    <cfRule type="cellIs" dxfId="264" priority="14" operator="lessThan">
      <formula>0</formula>
    </cfRule>
  </conditionalFormatting>
  <conditionalFormatting sqref="N23:P27">
    <cfRule type="cellIs" dxfId="263" priority="13" operator="lessThan">
      <formula>0</formula>
    </cfRule>
  </conditionalFormatting>
  <conditionalFormatting sqref="K23">
    <cfRule type="cellIs" dxfId="262" priority="12" operator="lessThan">
      <formula>0</formula>
    </cfRule>
  </conditionalFormatting>
  <conditionalFormatting sqref="N28:P28">
    <cfRule type="cellIs" dxfId="261" priority="11" operator="lessThan">
      <formula>0</formula>
    </cfRule>
  </conditionalFormatting>
  <conditionalFormatting sqref="P28:AD28">
    <cfRule type="cellIs" dxfId="260" priority="10" operator="lessThan">
      <formula>0</formula>
    </cfRule>
  </conditionalFormatting>
  <conditionalFormatting sqref="P23:R27">
    <cfRule type="cellIs" dxfId="259" priority="9" operator="lessThan">
      <formula>0</formula>
    </cfRule>
  </conditionalFormatting>
  <conditionalFormatting sqref="P43:R43">
    <cfRule type="cellIs" dxfId="258" priority="8" operator="lessThan">
      <formula>0</formula>
    </cfRule>
  </conditionalFormatting>
  <conditionalFormatting sqref="P44:R44">
    <cfRule type="cellIs" dxfId="257" priority="7" operator="lessThan">
      <formula>0</formula>
    </cfRule>
  </conditionalFormatting>
  <conditionalFormatting sqref="S23:AD27">
    <cfRule type="cellIs" dxfId="256" priority="6" operator="lessThan">
      <formula>0</formula>
    </cfRule>
  </conditionalFormatting>
  <conditionalFormatting sqref="S30:AD30">
    <cfRule type="cellIs" dxfId="255" priority="5" operator="lessThan">
      <formula>0</formula>
    </cfRule>
  </conditionalFormatting>
  <conditionalFormatting sqref="S37:AD37">
    <cfRule type="cellIs" dxfId="254" priority="4" operator="lessThan">
      <formula>0</formula>
    </cfRule>
  </conditionalFormatting>
  <conditionalFormatting sqref="T38:AD39">
    <cfRule type="cellIs" dxfId="253" priority="3" operator="lessThan">
      <formula>0</formula>
    </cfRule>
  </conditionalFormatting>
  <conditionalFormatting sqref="S38:AD39">
    <cfRule type="cellIs" dxfId="252" priority="2" operator="lessThan">
      <formula>0</formula>
    </cfRule>
  </conditionalFormatting>
  <conditionalFormatting sqref="S43:AD44">
    <cfRule type="cellIs" dxfId="251" priority="1" operator="lessThan">
      <formula>0</formula>
    </cfRule>
  </conditionalFormatting>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2C3AD"/>
  </sheetPr>
  <dimension ref="A1:BA242"/>
  <sheetViews>
    <sheetView zoomScale="85" zoomScaleNormal="85" workbookViewId="0">
      <pane xSplit="12" ySplit="8" topLeftCell="M9" activePane="bottomRight" state="frozen"/>
      <selection activeCell="AA47" sqref="AA47"/>
      <selection pane="topRight" activeCell="AA47" sqref="AA47"/>
      <selection pane="bottomLeft" activeCell="AA47" sqref="AA47"/>
      <selection pane="bottomRight" activeCell="L27" sqref="L27"/>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7" width="16" style="18" hidden="1" customWidth="1" outlineLevel="1"/>
    <col min="18" max="18" width="16" style="18" customWidth="1" collapsed="1"/>
    <col min="19" max="30" width="16" style="18" customWidth="1"/>
    <col min="31" max="31" width="14.109375" style="1" bestFit="1" customWidth="1"/>
    <col min="32" max="53" width="0" style="1" hidden="1" customWidth="1"/>
    <col min="54" max="16384" width="9.109375" style="1" hidden="1"/>
  </cols>
  <sheetData>
    <row r="1" spans="1:32"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32" x14ac:dyDescent="0.2">
      <c r="O2" s="1"/>
      <c r="P2" s="1"/>
      <c r="Q2" s="1"/>
      <c r="R2" s="1"/>
      <c r="S2" s="1"/>
      <c r="T2" s="1"/>
      <c r="U2" s="1"/>
      <c r="V2" s="1"/>
      <c r="W2" s="1"/>
      <c r="X2" s="1"/>
      <c r="Y2" s="1"/>
      <c r="Z2" s="1"/>
      <c r="AA2" s="1"/>
      <c r="AB2" s="1"/>
      <c r="AC2" s="1"/>
      <c r="AD2" s="1"/>
    </row>
    <row r="3" spans="1:32" ht="12.6" x14ac:dyDescent="0.25">
      <c r="B3" s="4" t="s">
        <v>68</v>
      </c>
      <c r="O3" s="1"/>
      <c r="P3" s="1"/>
      <c r="Q3" s="1"/>
      <c r="R3" s="1"/>
      <c r="S3" s="1"/>
      <c r="T3" s="1"/>
      <c r="U3" s="1"/>
      <c r="V3" s="1"/>
      <c r="W3" s="1"/>
      <c r="X3" s="1"/>
      <c r="Y3" s="1"/>
      <c r="Z3" s="1"/>
      <c r="AA3" s="1"/>
      <c r="AB3" s="1"/>
      <c r="AC3" s="1"/>
      <c r="AD3" s="1"/>
    </row>
    <row r="4" spans="1:32"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row>
    <row r="5" spans="1:32"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row>
    <row r="6" spans="1:32" x14ac:dyDescent="0.2">
      <c r="O6" s="1"/>
      <c r="P6" s="1"/>
      <c r="Q6" s="1" t="s">
        <v>8</v>
      </c>
      <c r="R6" s="1"/>
      <c r="S6" s="1"/>
      <c r="T6" s="1"/>
      <c r="U6" s="1"/>
      <c r="V6" s="1"/>
      <c r="W6" s="1"/>
      <c r="X6" s="1"/>
      <c r="Y6" s="1"/>
      <c r="Z6" s="1"/>
      <c r="AA6" s="1"/>
      <c r="AB6" s="1"/>
      <c r="AC6" s="1"/>
      <c r="AD6" s="1"/>
      <c r="AE6" s="97"/>
      <c r="AF6" s="97"/>
    </row>
    <row r="7" spans="1:32" ht="12.6" thickBot="1" x14ac:dyDescent="0.25">
      <c r="O7" s="1"/>
      <c r="P7" s="1"/>
      <c r="Q7" s="1"/>
      <c r="R7" s="1"/>
      <c r="S7" s="1"/>
      <c r="T7" s="1"/>
      <c r="U7" s="1"/>
      <c r="V7" s="1"/>
      <c r="W7" s="1"/>
      <c r="X7" s="1"/>
      <c r="Y7" s="1"/>
      <c r="Z7" s="1"/>
      <c r="AA7" s="1"/>
      <c r="AB7" s="1"/>
      <c r="AC7" s="1"/>
      <c r="AD7" s="1"/>
      <c r="AE7" s="97"/>
      <c r="AF7" s="97"/>
    </row>
    <row r="8" spans="1:32" ht="13.2" thickTop="1" x14ac:dyDescent="0.25">
      <c r="A8" s="11"/>
      <c r="B8" s="12" t="str">
        <f>B3</f>
        <v>Equity</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1"/>
      <c r="AF8" s="11"/>
    </row>
    <row r="9" spans="1:32" s="32" customFormat="1" ht="13.2" thickBot="1" x14ac:dyDescent="0.3">
      <c r="A9" s="35"/>
      <c r="B9" s="35"/>
      <c r="H9" s="103"/>
      <c r="J9" s="37"/>
      <c r="L9" s="38"/>
      <c r="M9" s="103"/>
      <c r="N9" s="103"/>
      <c r="O9" s="103"/>
      <c r="P9" s="103"/>
      <c r="Q9" s="103"/>
      <c r="R9" s="103"/>
      <c r="S9" s="103"/>
      <c r="T9" s="103"/>
      <c r="U9" s="103"/>
      <c r="V9" s="103"/>
      <c r="W9" s="103"/>
      <c r="X9" s="103"/>
      <c r="Y9" s="103"/>
      <c r="Z9" s="103"/>
      <c r="AA9" s="103"/>
      <c r="AB9" s="103"/>
      <c r="AC9" s="103"/>
      <c r="AD9" s="103"/>
    </row>
    <row r="10" spans="1:32" ht="12.6" thickTop="1" x14ac:dyDescent="0.2">
      <c r="B10" s="20"/>
      <c r="C10" s="336" t="s">
        <v>78</v>
      </c>
      <c r="D10" s="337"/>
      <c r="E10" s="338"/>
      <c r="F10" s="338"/>
      <c r="G10" s="338"/>
      <c r="H10" s="338"/>
      <c r="I10" s="338"/>
      <c r="J10" s="340"/>
      <c r="K10" s="338"/>
      <c r="L10" s="342"/>
      <c r="M10" s="338"/>
      <c r="N10" s="343"/>
      <c r="O10" s="343"/>
      <c r="P10" s="343"/>
      <c r="Q10" s="343"/>
      <c r="R10" s="343"/>
      <c r="S10" s="343"/>
      <c r="T10" s="343"/>
      <c r="U10" s="343"/>
      <c r="V10" s="343"/>
      <c r="W10" s="343"/>
      <c r="X10" s="343"/>
      <c r="Y10" s="343"/>
      <c r="Z10" s="343"/>
      <c r="AA10" s="343"/>
      <c r="AB10" s="343"/>
      <c r="AC10" s="343"/>
      <c r="AD10" s="343"/>
    </row>
    <row r="11" spans="1:32" ht="12.6" x14ac:dyDescent="0.25">
      <c r="B11" s="20"/>
      <c r="C11" s="32"/>
      <c r="D11" s="32"/>
      <c r="E11" s="32"/>
      <c r="F11" s="32"/>
      <c r="G11" s="32"/>
      <c r="H11" s="103"/>
      <c r="I11" s="32"/>
      <c r="J11" s="37"/>
      <c r="K11" s="32"/>
      <c r="L11" s="38"/>
      <c r="M11" s="103"/>
      <c r="N11" s="103"/>
      <c r="O11" s="103"/>
      <c r="P11" s="103"/>
      <c r="Q11" s="103"/>
      <c r="R11" s="103"/>
      <c r="S11" s="103"/>
      <c r="T11" s="103"/>
      <c r="U11" s="103"/>
      <c r="V11" s="103"/>
      <c r="W11" s="103"/>
      <c r="X11" s="103"/>
      <c r="Y11" s="103"/>
      <c r="Z11" s="103"/>
      <c r="AA11" s="103"/>
      <c r="AB11" s="103"/>
      <c r="AC11" s="103"/>
      <c r="AD11" s="103"/>
    </row>
    <row r="12" spans="1:32" x14ac:dyDescent="0.2">
      <c r="B12" s="20"/>
      <c r="C12" s="20"/>
      <c r="E12" s="97" t="s">
        <v>71</v>
      </c>
      <c r="G12" s="97"/>
      <c r="H12" s="101"/>
      <c r="I12" s="97"/>
      <c r="J12" s="98"/>
      <c r="K12" s="97"/>
      <c r="L12" s="99"/>
      <c r="M12" s="97"/>
      <c r="N12" s="101"/>
      <c r="O12" s="101"/>
      <c r="P12" s="101"/>
      <c r="Q12" s="101">
        <f t="shared" ref="Q12:AD12" si="2">P14</f>
        <v>0</v>
      </c>
      <c r="R12" s="101">
        <f t="shared" si="2"/>
        <v>0</v>
      </c>
      <c r="S12" s="101">
        <f t="shared" si="2"/>
        <v>163915</v>
      </c>
      <c r="T12" s="101">
        <f t="shared" si="2"/>
        <v>163915</v>
      </c>
      <c r="U12" s="101">
        <f t="shared" si="2"/>
        <v>163915</v>
      </c>
      <c r="V12" s="101">
        <f t="shared" si="2"/>
        <v>163915</v>
      </c>
      <c r="W12" s="101">
        <f t="shared" si="2"/>
        <v>163915</v>
      </c>
      <c r="X12" s="101">
        <f t="shared" si="2"/>
        <v>163915</v>
      </c>
      <c r="Y12" s="101">
        <f t="shared" si="2"/>
        <v>163915</v>
      </c>
      <c r="Z12" s="101">
        <f t="shared" si="2"/>
        <v>163915</v>
      </c>
      <c r="AA12" s="101">
        <f t="shared" si="2"/>
        <v>163915</v>
      </c>
      <c r="AB12" s="101">
        <f t="shared" si="2"/>
        <v>163915</v>
      </c>
      <c r="AC12" s="101">
        <f t="shared" si="2"/>
        <v>163915</v>
      </c>
      <c r="AD12" s="101">
        <f t="shared" si="2"/>
        <v>163915</v>
      </c>
    </row>
    <row r="13" spans="1:32" s="32" customFormat="1" ht="12.6" x14ac:dyDescent="0.25">
      <c r="A13" s="35"/>
      <c r="B13" s="35"/>
      <c r="E13" s="97" t="s">
        <v>72</v>
      </c>
      <c r="G13" s="97"/>
      <c r="H13" s="101"/>
      <c r="I13" s="97"/>
      <c r="J13" s="98" t="s">
        <v>1205</v>
      </c>
      <c r="L13" s="38"/>
      <c r="M13" s="103"/>
      <c r="N13" s="101"/>
      <c r="O13" s="101"/>
      <c r="P13" s="101"/>
      <c r="Q13" s="101"/>
      <c r="R13" s="101"/>
      <c r="S13" s="101"/>
      <c r="T13" s="101"/>
      <c r="U13" s="101"/>
      <c r="V13" s="101"/>
      <c r="W13" s="101"/>
      <c r="X13" s="101"/>
      <c r="Y13" s="101"/>
      <c r="Z13" s="101"/>
      <c r="AA13" s="101"/>
      <c r="AB13" s="101"/>
      <c r="AC13" s="101"/>
      <c r="AD13" s="101"/>
    </row>
    <row r="14" spans="1:32" s="32" customFormat="1" ht="12.6" x14ac:dyDescent="0.25">
      <c r="A14" s="35"/>
      <c r="B14" s="35"/>
      <c r="D14" s="123" t="s">
        <v>73</v>
      </c>
      <c r="E14" s="124"/>
      <c r="F14" s="124"/>
      <c r="G14" s="123"/>
      <c r="H14" s="125"/>
      <c r="I14" s="123"/>
      <c r="J14" s="126" t="s">
        <v>1205</v>
      </c>
      <c r="K14" s="124"/>
      <c r="L14" s="129" t="s">
        <v>85</v>
      </c>
      <c r="M14" s="127"/>
      <c r="N14" s="125"/>
      <c r="O14" s="125"/>
      <c r="P14" s="125"/>
      <c r="Q14" s="125"/>
      <c r="R14" s="125">
        <f>Act_BS_Share_Capital</f>
        <v>163915</v>
      </c>
      <c r="S14" s="125">
        <f>SUM(S12:S13)</f>
        <v>163915</v>
      </c>
      <c r="T14" s="125">
        <f t="shared" ref="T14:AD14" si="3">SUM(T12:T13)</f>
        <v>163915</v>
      </c>
      <c r="U14" s="125">
        <f t="shared" si="3"/>
        <v>163915</v>
      </c>
      <c r="V14" s="125">
        <f t="shared" si="3"/>
        <v>163915</v>
      </c>
      <c r="W14" s="125">
        <f t="shared" si="3"/>
        <v>163915</v>
      </c>
      <c r="X14" s="125">
        <f t="shared" si="3"/>
        <v>163915</v>
      </c>
      <c r="Y14" s="125">
        <f t="shared" si="3"/>
        <v>163915</v>
      </c>
      <c r="Z14" s="125">
        <f t="shared" si="3"/>
        <v>163915</v>
      </c>
      <c r="AA14" s="125">
        <f t="shared" si="3"/>
        <v>163915</v>
      </c>
      <c r="AB14" s="125">
        <f t="shared" si="3"/>
        <v>163915</v>
      </c>
      <c r="AC14" s="125">
        <f t="shared" si="3"/>
        <v>163915</v>
      </c>
      <c r="AD14" s="125">
        <f t="shared" si="3"/>
        <v>163915</v>
      </c>
    </row>
    <row r="15" spans="1:32" s="32" customFormat="1" ht="13.2" thickBot="1" x14ac:dyDescent="0.3">
      <c r="A15" s="35"/>
      <c r="B15" s="35"/>
      <c r="D15" s="97"/>
      <c r="G15" s="97"/>
      <c r="H15" s="101"/>
      <c r="I15" s="97"/>
      <c r="J15" s="98"/>
      <c r="L15" s="99"/>
      <c r="M15" s="103"/>
      <c r="N15" s="101"/>
      <c r="O15" s="101"/>
      <c r="P15" s="101"/>
      <c r="Q15" s="101"/>
      <c r="R15" s="101"/>
      <c r="S15" s="101"/>
      <c r="T15" s="101"/>
      <c r="U15" s="101"/>
      <c r="V15" s="101"/>
      <c r="W15" s="101"/>
      <c r="X15" s="101"/>
      <c r="Y15" s="101"/>
      <c r="Z15" s="101"/>
      <c r="AA15" s="101"/>
      <c r="AB15" s="101"/>
      <c r="AC15" s="101"/>
      <c r="AD15" s="101"/>
    </row>
    <row r="16" spans="1:32" s="32" customFormat="1" ht="13.2" thickTop="1" x14ac:dyDescent="0.25">
      <c r="A16" s="35"/>
      <c r="B16" s="35"/>
      <c r="C16" s="336" t="s">
        <v>74</v>
      </c>
      <c r="D16" s="337"/>
      <c r="E16" s="338"/>
      <c r="F16" s="338"/>
      <c r="G16" s="338"/>
      <c r="H16" s="338"/>
      <c r="I16" s="338"/>
      <c r="J16" s="340"/>
      <c r="K16" s="338"/>
      <c r="L16" s="342"/>
      <c r="M16" s="338"/>
      <c r="N16" s="343"/>
      <c r="O16" s="343"/>
      <c r="P16" s="343"/>
      <c r="Q16" s="343"/>
      <c r="R16" s="343"/>
      <c r="S16" s="343"/>
      <c r="T16" s="343"/>
      <c r="U16" s="343"/>
      <c r="V16" s="343"/>
      <c r="W16" s="343"/>
      <c r="X16" s="343"/>
      <c r="Y16" s="343"/>
      <c r="Z16" s="343"/>
      <c r="AA16" s="343"/>
      <c r="AB16" s="343"/>
      <c r="AC16" s="343"/>
      <c r="AD16" s="343"/>
      <c r="AE16" s="1"/>
    </row>
    <row r="17" spans="1:31" s="32" customFormat="1" ht="12.6" x14ac:dyDescent="0.25">
      <c r="A17" s="35"/>
      <c r="B17" s="35"/>
      <c r="E17" s="97"/>
      <c r="G17" s="97"/>
      <c r="H17" s="101"/>
      <c r="I17" s="97"/>
      <c r="J17" s="98"/>
      <c r="L17" s="99"/>
      <c r="M17" s="103"/>
      <c r="N17" s="101"/>
      <c r="O17" s="101"/>
      <c r="P17" s="101"/>
      <c r="Q17" s="101"/>
      <c r="R17" s="101"/>
      <c r="S17" s="101"/>
      <c r="T17" s="101"/>
      <c r="U17" s="101"/>
      <c r="V17" s="101"/>
      <c r="W17" s="101"/>
      <c r="X17" s="101"/>
      <c r="Y17" s="101"/>
      <c r="Z17" s="101"/>
      <c r="AA17" s="101"/>
      <c r="AB17" s="101"/>
      <c r="AC17" s="101"/>
      <c r="AD17" s="101"/>
    </row>
    <row r="18" spans="1:31" s="32" customFormat="1" ht="12.6" x14ac:dyDescent="0.25">
      <c r="A18" s="35"/>
      <c r="B18" s="35"/>
      <c r="D18" s="97"/>
      <c r="E18" s="97" t="s">
        <v>71</v>
      </c>
      <c r="G18" s="97"/>
      <c r="H18" s="101"/>
      <c r="I18" s="97"/>
      <c r="J18" s="98" t="s">
        <v>1205</v>
      </c>
      <c r="L18" s="99"/>
      <c r="M18" s="103"/>
      <c r="N18" s="101"/>
      <c r="O18" s="101"/>
      <c r="P18" s="101"/>
      <c r="Q18" s="101">
        <f t="shared" ref="Q18:AD18" si="4">P21</f>
        <v>0</v>
      </c>
      <c r="R18" s="101">
        <f t="shared" si="4"/>
        <v>-460739</v>
      </c>
      <c r="S18" s="101">
        <f t="shared" si="4"/>
        <v>-471771</v>
      </c>
      <c r="T18" s="101" t="e">
        <f t="shared" si="4"/>
        <v>#NAME?</v>
      </c>
      <c r="U18" s="101" t="e">
        <f t="shared" si="4"/>
        <v>#NAME?</v>
      </c>
      <c r="V18" s="101" t="e">
        <f t="shared" si="4"/>
        <v>#NAME?</v>
      </c>
      <c r="W18" s="101" t="e">
        <f t="shared" si="4"/>
        <v>#NAME?</v>
      </c>
      <c r="X18" s="101" t="e">
        <f t="shared" si="4"/>
        <v>#NAME?</v>
      </c>
      <c r="Y18" s="101" t="e">
        <f t="shared" si="4"/>
        <v>#NAME?</v>
      </c>
      <c r="Z18" s="101" t="e">
        <f t="shared" si="4"/>
        <v>#NAME?</v>
      </c>
      <c r="AA18" s="101" t="e">
        <f t="shared" si="4"/>
        <v>#NAME?</v>
      </c>
      <c r="AB18" s="101" t="e">
        <f t="shared" si="4"/>
        <v>#NAME?</v>
      </c>
      <c r="AC18" s="101" t="e">
        <f t="shared" si="4"/>
        <v>#NAME?</v>
      </c>
      <c r="AD18" s="101" t="e">
        <f t="shared" si="4"/>
        <v>#NAME?</v>
      </c>
    </row>
    <row r="19" spans="1:31" s="32" customFormat="1" ht="12.6" x14ac:dyDescent="0.25">
      <c r="A19" s="35"/>
      <c r="B19" s="35"/>
      <c r="D19" s="97"/>
      <c r="E19" s="97" t="s">
        <v>75</v>
      </c>
      <c r="G19" s="97"/>
      <c r="H19" s="101"/>
      <c r="I19" s="97"/>
      <c r="J19" s="98" t="s">
        <v>1205</v>
      </c>
      <c r="L19" s="99"/>
      <c r="M19" s="103"/>
      <c r="N19" s="101"/>
      <c r="O19" s="101"/>
      <c r="P19" s="101"/>
      <c r="Q19" s="101">
        <f t="shared" ref="Q19:AD19" si="5">IS_Net_Income</f>
        <v>37228</v>
      </c>
      <c r="R19" s="101">
        <f t="shared" si="5"/>
        <v>6252</v>
      </c>
      <c r="S19" s="101" t="e">
        <f t="shared" si="5"/>
        <v>#NAME?</v>
      </c>
      <c r="T19" s="101" t="e">
        <f t="shared" si="5"/>
        <v>#NAME?</v>
      </c>
      <c r="U19" s="101" t="e">
        <f t="shared" si="5"/>
        <v>#NAME?</v>
      </c>
      <c r="V19" s="101" t="e">
        <f t="shared" si="5"/>
        <v>#NAME?</v>
      </c>
      <c r="W19" s="101" t="e">
        <f t="shared" si="5"/>
        <v>#NAME?</v>
      </c>
      <c r="X19" s="101" t="e">
        <f t="shared" si="5"/>
        <v>#NAME?</v>
      </c>
      <c r="Y19" s="101" t="e">
        <f t="shared" si="5"/>
        <v>#NAME?</v>
      </c>
      <c r="Z19" s="101" t="e">
        <f t="shared" si="5"/>
        <v>#NAME?</v>
      </c>
      <c r="AA19" s="101" t="e">
        <f t="shared" si="5"/>
        <v>#NAME?</v>
      </c>
      <c r="AB19" s="101" t="e">
        <f t="shared" si="5"/>
        <v>#NAME?</v>
      </c>
      <c r="AC19" s="101" t="e">
        <f t="shared" si="5"/>
        <v>#NAME?</v>
      </c>
      <c r="AD19" s="101" t="e">
        <f t="shared" si="5"/>
        <v>#NAME?</v>
      </c>
    </row>
    <row r="20" spans="1:31" s="32" customFormat="1" ht="12.6" x14ac:dyDescent="0.25">
      <c r="A20" s="35"/>
      <c r="B20" s="35"/>
      <c r="E20" s="97" t="s">
        <v>83</v>
      </c>
      <c r="G20" s="97"/>
      <c r="H20" s="101"/>
      <c r="I20" s="97"/>
      <c r="J20" s="98" t="s">
        <v>1205</v>
      </c>
      <c r="L20" s="99"/>
      <c r="M20" s="103"/>
      <c r="N20" s="101"/>
      <c r="O20" s="101"/>
      <c r="P20" s="101"/>
      <c r="Q20" s="101">
        <f>Equity_Dividends_Paid</f>
        <v>0</v>
      </c>
      <c r="R20" s="101">
        <f>Equity_Dividends_Paid</f>
        <v>0</v>
      </c>
      <c r="S20" s="101">
        <f t="shared" ref="S20:AD20" si="6">-Equity_Dividends_Paid</f>
        <v>0</v>
      </c>
      <c r="T20" s="101">
        <f t="shared" si="6"/>
        <v>0</v>
      </c>
      <c r="U20" s="101">
        <f t="shared" si="6"/>
        <v>0</v>
      </c>
      <c r="V20" s="101">
        <f t="shared" si="6"/>
        <v>0</v>
      </c>
      <c r="W20" s="101">
        <f t="shared" si="6"/>
        <v>0</v>
      </c>
      <c r="X20" s="101">
        <f t="shared" si="6"/>
        <v>0</v>
      </c>
      <c r="Y20" s="101">
        <f t="shared" si="6"/>
        <v>0</v>
      </c>
      <c r="Z20" s="101">
        <f t="shared" si="6"/>
        <v>0</v>
      </c>
      <c r="AA20" s="101">
        <f t="shared" si="6"/>
        <v>0</v>
      </c>
      <c r="AB20" s="101">
        <f t="shared" si="6"/>
        <v>0</v>
      </c>
      <c r="AC20" s="101">
        <f t="shared" si="6"/>
        <v>0</v>
      </c>
      <c r="AD20" s="101">
        <f t="shared" si="6"/>
        <v>0</v>
      </c>
    </row>
    <row r="21" spans="1:31" s="32" customFormat="1" ht="12.6" x14ac:dyDescent="0.25">
      <c r="A21" s="35"/>
      <c r="B21" s="35"/>
      <c r="D21" s="123" t="s">
        <v>77</v>
      </c>
      <c r="E21" s="123"/>
      <c r="F21" s="123"/>
      <c r="G21" s="123"/>
      <c r="H21" s="123"/>
      <c r="I21" s="123"/>
      <c r="J21" s="128" t="s">
        <v>1205</v>
      </c>
      <c r="K21" s="123"/>
      <c r="L21" s="129" t="s">
        <v>86</v>
      </c>
      <c r="M21" s="123"/>
      <c r="N21" s="125"/>
      <c r="O21" s="125"/>
      <c r="P21" s="125"/>
      <c r="Q21" s="125">
        <f>Act_BS_Retained_Reserves</f>
        <v>-460739</v>
      </c>
      <c r="R21" s="125">
        <f>Act_BS_Retained_Reserves</f>
        <v>-471771</v>
      </c>
      <c r="S21" s="125" t="e">
        <f t="shared" ref="S21:AD21" si="7">SUM(S18:S20)</f>
        <v>#NAME?</v>
      </c>
      <c r="T21" s="125" t="e">
        <f t="shared" si="7"/>
        <v>#NAME?</v>
      </c>
      <c r="U21" s="125" t="e">
        <f t="shared" si="7"/>
        <v>#NAME?</v>
      </c>
      <c r="V21" s="125" t="e">
        <f t="shared" si="7"/>
        <v>#NAME?</v>
      </c>
      <c r="W21" s="125" t="e">
        <f t="shared" si="7"/>
        <v>#NAME?</v>
      </c>
      <c r="X21" s="125" t="e">
        <f t="shared" si="7"/>
        <v>#NAME?</v>
      </c>
      <c r="Y21" s="125" t="e">
        <f t="shared" si="7"/>
        <v>#NAME?</v>
      </c>
      <c r="Z21" s="125" t="e">
        <f t="shared" si="7"/>
        <v>#NAME?</v>
      </c>
      <c r="AA21" s="125" t="e">
        <f t="shared" si="7"/>
        <v>#NAME?</v>
      </c>
      <c r="AB21" s="125" t="e">
        <f t="shared" si="7"/>
        <v>#NAME?</v>
      </c>
      <c r="AC21" s="125" t="e">
        <f t="shared" si="7"/>
        <v>#NAME?</v>
      </c>
      <c r="AD21" s="125" t="e">
        <f t="shared" si="7"/>
        <v>#NAME?</v>
      </c>
      <c r="AE21" s="97"/>
    </row>
    <row r="22" spans="1:31" s="32" customFormat="1" ht="12.6" x14ac:dyDescent="0.25">
      <c r="A22" s="35"/>
      <c r="B22" s="35"/>
      <c r="L22" s="99"/>
      <c r="M22" s="103"/>
      <c r="N22" s="82"/>
      <c r="O22" s="82"/>
      <c r="P22" s="82"/>
      <c r="Q22" s="82"/>
      <c r="R22" s="82"/>
      <c r="S22" s="82"/>
      <c r="T22" s="82"/>
      <c r="U22" s="82"/>
      <c r="V22" s="82"/>
      <c r="W22" s="82"/>
      <c r="X22" s="82"/>
      <c r="Y22" s="82"/>
      <c r="Z22" s="82"/>
      <c r="AA22" s="82"/>
      <c r="AB22" s="82"/>
      <c r="AC22" s="82"/>
      <c r="AD22" s="82"/>
    </row>
    <row r="23" spans="1:31" s="32" customFormat="1" ht="13.2" thickBot="1" x14ac:dyDescent="0.3">
      <c r="A23" s="35"/>
      <c r="B23" s="35"/>
      <c r="D23" s="97"/>
      <c r="E23" s="97"/>
      <c r="G23" s="97"/>
      <c r="H23" s="101"/>
      <c r="I23" s="97"/>
      <c r="J23" s="98"/>
      <c r="L23" s="99"/>
      <c r="M23" s="103"/>
      <c r="N23" s="21"/>
      <c r="O23" s="21"/>
      <c r="P23" s="21"/>
      <c r="Q23" s="21"/>
      <c r="R23" s="21"/>
      <c r="S23" s="21"/>
      <c r="T23" s="21"/>
      <c r="U23" s="21"/>
      <c r="V23" s="21"/>
      <c r="W23" s="21"/>
      <c r="X23" s="21"/>
      <c r="Y23" s="21"/>
      <c r="Z23" s="21"/>
      <c r="AA23" s="21"/>
      <c r="AB23" s="21"/>
      <c r="AC23" s="21"/>
      <c r="AD23" s="21"/>
    </row>
    <row r="24" spans="1:31" ht="12.6" thickTop="1" x14ac:dyDescent="0.2">
      <c r="B24" s="20"/>
      <c r="C24" s="336" t="s">
        <v>1201</v>
      </c>
      <c r="D24" s="337"/>
      <c r="E24" s="338"/>
      <c r="F24" s="338"/>
      <c r="G24" s="338"/>
      <c r="H24" s="338"/>
      <c r="I24" s="338"/>
      <c r="J24" s="340"/>
      <c r="K24" s="338"/>
      <c r="L24" s="342"/>
      <c r="M24" s="338"/>
      <c r="N24" s="343"/>
      <c r="O24" s="343"/>
      <c r="P24" s="343"/>
      <c r="Q24" s="343"/>
      <c r="R24" s="343"/>
      <c r="S24" s="343"/>
      <c r="T24" s="343"/>
      <c r="U24" s="343"/>
      <c r="V24" s="343"/>
      <c r="W24" s="343"/>
      <c r="X24" s="343"/>
      <c r="Y24" s="343"/>
      <c r="Z24" s="343"/>
      <c r="AA24" s="343"/>
      <c r="AB24" s="343"/>
      <c r="AC24" s="343"/>
      <c r="AD24" s="343"/>
    </row>
    <row r="25" spans="1:31" ht="12.6" x14ac:dyDescent="0.25">
      <c r="B25" s="20"/>
      <c r="C25" s="32"/>
      <c r="D25" s="32"/>
      <c r="E25" s="32"/>
      <c r="F25" s="32"/>
      <c r="G25" s="32"/>
      <c r="H25" s="103"/>
      <c r="I25" s="32"/>
      <c r="J25" s="37"/>
      <c r="K25" s="32"/>
      <c r="L25" s="38"/>
      <c r="M25" s="103"/>
      <c r="N25" s="103"/>
      <c r="O25" s="103"/>
      <c r="P25" s="103"/>
      <c r="Q25" s="103"/>
      <c r="R25" s="103"/>
      <c r="S25" s="103"/>
      <c r="T25" s="103"/>
      <c r="U25" s="103"/>
      <c r="V25" s="103"/>
      <c r="W25" s="103"/>
      <c r="X25" s="103"/>
      <c r="Y25" s="103"/>
      <c r="Z25" s="103"/>
      <c r="AA25" s="103"/>
      <c r="AB25" s="103"/>
      <c r="AC25" s="103"/>
      <c r="AD25" s="103"/>
    </row>
    <row r="26" spans="1:31" x14ac:dyDescent="0.2">
      <c r="B26" s="20"/>
      <c r="C26" s="20"/>
      <c r="E26" s="97" t="s">
        <v>71</v>
      </c>
      <c r="G26" s="97"/>
      <c r="H26" s="101"/>
      <c r="I26" s="97"/>
      <c r="J26" s="98"/>
      <c r="K26" s="97"/>
      <c r="L26" s="99"/>
      <c r="M26" s="97"/>
      <c r="N26" s="101"/>
      <c r="O26" s="101"/>
      <c r="P26" s="101"/>
      <c r="Q26" s="101">
        <f t="shared" ref="Q26" si="8">P28</f>
        <v>0</v>
      </c>
      <c r="R26" s="101">
        <f t="shared" ref="R26" si="9">Q28</f>
        <v>0</v>
      </c>
      <c r="S26" s="101">
        <f t="shared" ref="S26" si="10">R28</f>
        <v>1030702</v>
      </c>
      <c r="T26" s="101">
        <f t="shared" ref="T26" si="11">S28</f>
        <v>1030702</v>
      </c>
      <c r="U26" s="101">
        <f t="shared" ref="U26" si="12">T28</f>
        <v>1030702</v>
      </c>
      <c r="V26" s="101">
        <f t="shared" ref="V26" si="13">U28</f>
        <v>1030702</v>
      </c>
      <c r="W26" s="101">
        <f t="shared" ref="W26" si="14">V28</f>
        <v>1030702</v>
      </c>
      <c r="X26" s="101">
        <f t="shared" ref="X26" si="15">W28</f>
        <v>1030702</v>
      </c>
      <c r="Y26" s="101">
        <f t="shared" ref="Y26" si="16">X28</f>
        <v>1030702</v>
      </c>
      <c r="Z26" s="101">
        <f t="shared" ref="Z26" si="17">Y28</f>
        <v>1030702</v>
      </c>
      <c r="AA26" s="101">
        <f t="shared" ref="AA26" si="18">Z28</f>
        <v>1030702</v>
      </c>
      <c r="AB26" s="101">
        <f t="shared" ref="AB26" si="19">AA28</f>
        <v>1030702</v>
      </c>
      <c r="AC26" s="101">
        <f t="shared" ref="AC26" si="20">AB28</f>
        <v>1030702</v>
      </c>
      <c r="AD26" s="101">
        <f t="shared" ref="AD26" si="21">AC28</f>
        <v>1030702</v>
      </c>
    </row>
    <row r="27" spans="1:31" s="32" customFormat="1" ht="12.6" x14ac:dyDescent="0.25">
      <c r="A27" s="35"/>
      <c r="B27" s="35"/>
      <c r="E27" s="97" t="s">
        <v>1049</v>
      </c>
      <c r="G27" s="97"/>
      <c r="H27" s="101"/>
      <c r="I27" s="97"/>
      <c r="J27" s="98" t="s">
        <v>1205</v>
      </c>
      <c r="L27" s="99" t="s">
        <v>1203</v>
      </c>
      <c r="M27" s="103"/>
      <c r="N27" s="101"/>
      <c r="O27" s="101"/>
      <c r="P27" s="101"/>
      <c r="Q27" s="101"/>
      <c r="R27" s="101"/>
      <c r="S27" s="101">
        <f t="shared" ref="S27:AD27" si="22">-Inputs_Basecase_TL5_Drawdown</f>
        <v>0</v>
      </c>
      <c r="T27" s="101">
        <f t="shared" si="22"/>
        <v>0</v>
      </c>
      <c r="U27" s="101">
        <f t="shared" si="22"/>
        <v>0</v>
      </c>
      <c r="V27" s="101">
        <f t="shared" si="22"/>
        <v>0</v>
      </c>
      <c r="W27" s="101">
        <f t="shared" si="22"/>
        <v>0</v>
      </c>
      <c r="X27" s="101">
        <f t="shared" si="22"/>
        <v>0</v>
      </c>
      <c r="Y27" s="101">
        <f t="shared" si="22"/>
        <v>0</v>
      </c>
      <c r="Z27" s="101">
        <f t="shared" si="22"/>
        <v>0</v>
      </c>
      <c r="AA27" s="101">
        <f t="shared" si="22"/>
        <v>0</v>
      </c>
      <c r="AB27" s="101">
        <f t="shared" si="22"/>
        <v>0</v>
      </c>
      <c r="AC27" s="101">
        <f t="shared" si="22"/>
        <v>0</v>
      </c>
      <c r="AD27" s="101">
        <f t="shared" si="22"/>
        <v>0</v>
      </c>
    </row>
    <row r="28" spans="1:31" s="32" customFormat="1" ht="12.6" x14ac:dyDescent="0.25">
      <c r="A28" s="35"/>
      <c r="B28" s="35"/>
      <c r="D28" s="123" t="s">
        <v>73</v>
      </c>
      <c r="E28" s="124"/>
      <c r="F28" s="124"/>
      <c r="G28" s="123"/>
      <c r="H28" s="125"/>
      <c r="I28" s="123"/>
      <c r="J28" s="126" t="s">
        <v>1205</v>
      </c>
      <c r="K28" s="124"/>
      <c r="L28" s="129" t="s">
        <v>1202</v>
      </c>
      <c r="M28" s="127"/>
      <c r="N28" s="125"/>
      <c r="O28" s="125"/>
      <c r="P28" s="125"/>
      <c r="Q28" s="125"/>
      <c r="R28" s="125">
        <f>Act_BS_Additional_Capital</f>
        <v>1030702</v>
      </c>
      <c r="S28" s="125">
        <f>SUM(S26:S27)</f>
        <v>1030702</v>
      </c>
      <c r="T28" s="125">
        <f t="shared" ref="T28:AD28" si="23">SUM(T26:T27)</f>
        <v>1030702</v>
      </c>
      <c r="U28" s="125">
        <f t="shared" si="23"/>
        <v>1030702</v>
      </c>
      <c r="V28" s="125">
        <f t="shared" si="23"/>
        <v>1030702</v>
      </c>
      <c r="W28" s="125">
        <f t="shared" si="23"/>
        <v>1030702</v>
      </c>
      <c r="X28" s="125">
        <f t="shared" si="23"/>
        <v>1030702</v>
      </c>
      <c r="Y28" s="125">
        <f t="shared" si="23"/>
        <v>1030702</v>
      </c>
      <c r="Z28" s="125">
        <f t="shared" si="23"/>
        <v>1030702</v>
      </c>
      <c r="AA28" s="125">
        <f t="shared" si="23"/>
        <v>1030702</v>
      </c>
      <c r="AB28" s="125">
        <f t="shared" si="23"/>
        <v>1030702</v>
      </c>
      <c r="AC28" s="125">
        <f t="shared" si="23"/>
        <v>1030702</v>
      </c>
      <c r="AD28" s="125">
        <f t="shared" si="23"/>
        <v>1030702</v>
      </c>
    </row>
    <row r="29" spans="1:31" s="32" customFormat="1" ht="12.6" x14ac:dyDescent="0.25">
      <c r="A29" s="35"/>
      <c r="B29" s="35"/>
      <c r="D29" s="97"/>
      <c r="E29" s="97"/>
      <c r="G29" s="97"/>
      <c r="H29" s="101"/>
      <c r="I29" s="97"/>
      <c r="J29" s="98"/>
      <c r="L29" s="99"/>
      <c r="M29" s="103"/>
      <c r="N29" s="21"/>
      <c r="O29" s="21"/>
      <c r="P29" s="21"/>
      <c r="Q29" s="21"/>
      <c r="R29" s="21"/>
      <c r="S29" s="21"/>
      <c r="T29" s="21"/>
      <c r="U29" s="21"/>
      <c r="V29" s="21"/>
      <c r="W29" s="21"/>
      <c r="X29" s="21"/>
      <c r="Y29" s="21"/>
      <c r="Z29" s="21"/>
      <c r="AA29" s="21"/>
      <c r="AB29" s="21"/>
      <c r="AC29" s="21"/>
      <c r="AD29" s="21"/>
    </row>
    <row r="30" spans="1:31" s="32" customFormat="1" ht="13.2" thickBot="1" x14ac:dyDescent="0.3">
      <c r="A30" s="35"/>
      <c r="B30" s="35"/>
      <c r="D30" s="97"/>
      <c r="E30" s="97"/>
      <c r="G30" s="97"/>
      <c r="H30" s="101"/>
      <c r="I30" s="97"/>
      <c r="J30" s="98"/>
      <c r="L30" s="99"/>
      <c r="M30" s="103"/>
      <c r="N30" s="21"/>
      <c r="O30" s="21"/>
      <c r="P30" s="21"/>
      <c r="Q30" s="21"/>
      <c r="R30" s="21"/>
      <c r="S30" s="21"/>
      <c r="T30" s="21"/>
      <c r="U30" s="21"/>
      <c r="V30" s="21"/>
      <c r="W30" s="21"/>
      <c r="X30" s="21"/>
      <c r="Y30" s="21"/>
      <c r="Z30" s="21"/>
      <c r="AA30" s="21"/>
      <c r="AB30" s="21"/>
      <c r="AC30" s="21"/>
      <c r="AD30" s="21"/>
    </row>
    <row r="31" spans="1:31" s="32" customFormat="1" ht="13.2" thickTop="1" x14ac:dyDescent="0.25">
      <c r="A31" s="1"/>
      <c r="B31" s="20"/>
      <c r="C31" s="336" t="s">
        <v>76</v>
      </c>
      <c r="D31" s="337"/>
      <c r="E31" s="338"/>
      <c r="F31" s="338"/>
      <c r="G31" s="338"/>
      <c r="H31" s="338"/>
      <c r="I31" s="338"/>
      <c r="J31" s="340"/>
      <c r="K31" s="338"/>
      <c r="L31" s="342"/>
      <c r="M31" s="338"/>
      <c r="N31" s="343"/>
      <c r="O31" s="343"/>
      <c r="P31" s="343"/>
      <c r="Q31" s="343"/>
      <c r="R31" s="343"/>
      <c r="S31" s="343"/>
      <c r="T31" s="343"/>
      <c r="U31" s="343"/>
      <c r="V31" s="343"/>
      <c r="W31" s="343"/>
      <c r="X31" s="343"/>
      <c r="Y31" s="343"/>
      <c r="Z31" s="343"/>
      <c r="AA31" s="343"/>
      <c r="AB31" s="343"/>
      <c r="AC31" s="343"/>
      <c r="AD31" s="343"/>
      <c r="AE31" s="1"/>
    </row>
    <row r="32" spans="1:31" ht="12.6" x14ac:dyDescent="0.25">
      <c r="A32" s="35"/>
      <c r="B32" s="35"/>
      <c r="C32" s="32"/>
      <c r="D32" s="97"/>
      <c r="E32" s="97"/>
      <c r="F32" s="32"/>
      <c r="G32" s="97"/>
      <c r="H32" s="101"/>
      <c r="I32" s="97"/>
      <c r="J32" s="98"/>
      <c r="K32" s="32"/>
      <c r="L32" s="99"/>
      <c r="M32" s="103"/>
      <c r="N32" s="101"/>
      <c r="O32" s="101"/>
      <c r="P32" s="101"/>
      <c r="Q32" s="101"/>
      <c r="R32" s="101"/>
      <c r="S32" s="101"/>
      <c r="T32" s="101"/>
      <c r="U32" s="101"/>
      <c r="V32" s="101"/>
      <c r="W32" s="101"/>
      <c r="X32" s="101"/>
      <c r="Y32" s="101"/>
      <c r="Z32" s="101"/>
      <c r="AA32" s="101"/>
      <c r="AB32" s="101"/>
      <c r="AC32" s="101"/>
      <c r="AD32" s="101"/>
      <c r="AE32" s="32"/>
    </row>
    <row r="33" spans="1:31" s="32" customFormat="1" ht="12.6" hidden="1" x14ac:dyDescent="0.25">
      <c r="A33" s="35"/>
      <c r="B33" s="35"/>
      <c r="D33" s="97"/>
      <c r="E33" s="97" t="s">
        <v>79</v>
      </c>
      <c r="G33" s="97"/>
      <c r="H33" s="101"/>
      <c r="I33" s="97"/>
      <c r="J33" s="98" t="s">
        <v>1205</v>
      </c>
      <c r="L33" s="99"/>
      <c r="M33" s="103"/>
      <c r="N33" s="101"/>
      <c r="O33" s="101"/>
      <c r="P33" s="101"/>
      <c r="Q33" s="101" t="e">
        <f t="shared" ref="Q33:AD33" si="24">IF(CF_Cash_End_Dividends&lt;=0,0,CF_Cash_End_Dividends)</f>
        <v>#NAME?</v>
      </c>
      <c r="R33" s="101" t="e">
        <f t="shared" si="24"/>
        <v>#NAME?</v>
      </c>
      <c r="S33" s="101" t="e">
        <f>IF(CF_Cash_End_Dividends&lt;=0,0,CF_Cash_End_Dividends)</f>
        <v>#NAME?</v>
      </c>
      <c r="T33" s="101" t="e">
        <f t="shared" si="24"/>
        <v>#NAME?</v>
      </c>
      <c r="U33" s="101" t="e">
        <f t="shared" si="24"/>
        <v>#NAME?</v>
      </c>
      <c r="V33" s="101" t="e">
        <f t="shared" si="24"/>
        <v>#NAME?</v>
      </c>
      <c r="W33" s="101" t="e">
        <f t="shared" si="24"/>
        <v>#NAME?</v>
      </c>
      <c r="X33" s="101" t="e">
        <f t="shared" si="24"/>
        <v>#NAME?</v>
      </c>
      <c r="Y33" s="101" t="e">
        <f t="shared" si="24"/>
        <v>#NAME?</v>
      </c>
      <c r="Z33" s="101" t="e">
        <f t="shared" si="24"/>
        <v>#NAME?</v>
      </c>
      <c r="AA33" s="101" t="e">
        <f t="shared" si="24"/>
        <v>#NAME?</v>
      </c>
      <c r="AB33" s="101" t="e">
        <f t="shared" si="24"/>
        <v>#NAME?</v>
      </c>
      <c r="AC33" s="101" t="e">
        <f t="shared" si="24"/>
        <v>#NAME?</v>
      </c>
      <c r="AD33" s="101" t="e">
        <f t="shared" si="24"/>
        <v>#NAME?</v>
      </c>
    </row>
    <row r="34" spans="1:31" s="32" customFormat="1" ht="12.6" hidden="1" x14ac:dyDescent="0.25">
      <c r="A34" s="35"/>
      <c r="B34" s="35"/>
      <c r="D34" s="97"/>
      <c r="E34" s="97" t="s">
        <v>80</v>
      </c>
      <c r="G34" s="97"/>
      <c r="H34" s="101"/>
      <c r="I34" s="97"/>
      <c r="J34" s="98" t="s">
        <v>1205</v>
      </c>
      <c r="L34" s="99"/>
      <c r="M34" s="103"/>
      <c r="N34" s="101"/>
      <c r="O34" s="101"/>
      <c r="P34" s="101"/>
      <c r="Q34" s="101" t="e">
        <f t="shared" ref="Q34:AD34" si="25">Inputs_Basecase_Min_Cash_Balance</f>
        <v>#NAME?</v>
      </c>
      <c r="R34" s="101" t="e">
        <f t="shared" si="25"/>
        <v>#NAME?</v>
      </c>
      <c r="S34" s="101" t="e">
        <f t="shared" si="25"/>
        <v>#NAME?</v>
      </c>
      <c r="T34" s="101" t="e">
        <f t="shared" si="25"/>
        <v>#NAME?</v>
      </c>
      <c r="U34" s="101" t="e">
        <f t="shared" si="25"/>
        <v>#NAME?</v>
      </c>
      <c r="V34" s="101" t="e">
        <f t="shared" si="25"/>
        <v>#NAME?</v>
      </c>
      <c r="W34" s="101" t="e">
        <f t="shared" si="25"/>
        <v>#NAME?</v>
      </c>
      <c r="X34" s="101" t="e">
        <f t="shared" si="25"/>
        <v>#NAME?</v>
      </c>
      <c r="Y34" s="101" t="e">
        <f t="shared" si="25"/>
        <v>#NAME?</v>
      </c>
      <c r="Z34" s="101" t="e">
        <f t="shared" si="25"/>
        <v>#NAME?</v>
      </c>
      <c r="AA34" s="101" t="e">
        <f t="shared" si="25"/>
        <v>#NAME?</v>
      </c>
      <c r="AB34" s="101" t="e">
        <f t="shared" si="25"/>
        <v>#NAME?</v>
      </c>
      <c r="AC34" s="101" t="e">
        <f t="shared" si="25"/>
        <v>#NAME?</v>
      </c>
      <c r="AD34" s="101" t="e">
        <f t="shared" si="25"/>
        <v>#NAME?</v>
      </c>
    </row>
    <row r="35" spans="1:31" s="32" customFormat="1" ht="12.6" hidden="1" x14ac:dyDescent="0.25">
      <c r="A35" s="35"/>
      <c r="B35" s="35"/>
      <c r="D35" s="27" t="s">
        <v>81</v>
      </c>
      <c r="E35" s="28"/>
      <c r="F35" s="27"/>
      <c r="G35" s="28"/>
      <c r="H35" s="100"/>
      <c r="I35" s="28"/>
      <c r="J35" s="29" t="s">
        <v>1205</v>
      </c>
      <c r="K35" s="27"/>
      <c r="L35" s="30"/>
      <c r="M35" s="66"/>
      <c r="N35" s="66"/>
      <c r="O35" s="66"/>
      <c r="P35" s="66"/>
      <c r="Q35" s="66" t="e">
        <f t="shared" ref="Q35:AD35" si="26">IF(Q33&gt;=Q34,Q33-Q34,0)</f>
        <v>#NAME?</v>
      </c>
      <c r="R35" s="66" t="e">
        <f t="shared" si="26"/>
        <v>#NAME?</v>
      </c>
      <c r="S35" s="66" t="e">
        <f t="shared" si="26"/>
        <v>#NAME?</v>
      </c>
      <c r="T35" s="66" t="e">
        <f t="shared" si="26"/>
        <v>#NAME?</v>
      </c>
      <c r="U35" s="66" t="e">
        <f t="shared" si="26"/>
        <v>#NAME?</v>
      </c>
      <c r="V35" s="66" t="e">
        <f t="shared" si="26"/>
        <v>#NAME?</v>
      </c>
      <c r="W35" s="66" t="e">
        <f t="shared" si="26"/>
        <v>#NAME?</v>
      </c>
      <c r="X35" s="66" t="e">
        <f t="shared" si="26"/>
        <v>#NAME?</v>
      </c>
      <c r="Y35" s="66" t="e">
        <f t="shared" si="26"/>
        <v>#NAME?</v>
      </c>
      <c r="Z35" s="66" t="e">
        <f t="shared" si="26"/>
        <v>#NAME?</v>
      </c>
      <c r="AA35" s="66" t="e">
        <f t="shared" si="26"/>
        <v>#NAME?</v>
      </c>
      <c r="AB35" s="66" t="e">
        <f t="shared" si="26"/>
        <v>#NAME?</v>
      </c>
      <c r="AC35" s="66" t="e">
        <f t="shared" si="26"/>
        <v>#NAME?</v>
      </c>
      <c r="AD35" s="66" t="e">
        <f t="shared" si="26"/>
        <v>#NAME?</v>
      </c>
    </row>
    <row r="36" spans="1:31" s="32" customFormat="1" ht="12.6" hidden="1" x14ac:dyDescent="0.25">
      <c r="A36" s="35"/>
      <c r="B36" s="35"/>
      <c r="E36" s="97"/>
      <c r="G36" s="97"/>
      <c r="H36" s="101"/>
      <c r="I36" s="97"/>
      <c r="J36" s="98"/>
      <c r="L36" s="99"/>
      <c r="M36" s="103"/>
      <c r="N36" s="103"/>
      <c r="O36" s="103"/>
      <c r="P36" s="103"/>
      <c r="Q36" s="103"/>
      <c r="R36" s="103"/>
      <c r="S36" s="103"/>
      <c r="T36" s="103"/>
      <c r="U36" s="103"/>
      <c r="V36" s="103"/>
      <c r="W36" s="103"/>
      <c r="X36" s="103"/>
      <c r="Y36" s="103"/>
      <c r="Z36" s="103"/>
      <c r="AA36" s="103"/>
      <c r="AB36" s="103"/>
      <c r="AC36" s="103"/>
      <c r="AD36" s="103"/>
    </row>
    <row r="37" spans="1:31" s="32" customFormat="1" ht="12.6" hidden="1" x14ac:dyDescent="0.25">
      <c r="A37" s="35"/>
      <c r="B37" s="35"/>
      <c r="D37" s="27" t="s">
        <v>82</v>
      </c>
      <c r="E37" s="28"/>
      <c r="F37" s="27"/>
      <c r="G37" s="28"/>
      <c r="H37" s="100"/>
      <c r="I37" s="28"/>
      <c r="J37" s="29" t="s">
        <v>1205</v>
      </c>
      <c r="K37" s="27"/>
      <c r="L37" s="30"/>
      <c r="M37" s="66"/>
      <c r="N37" s="100"/>
      <c r="O37" s="100"/>
      <c r="P37" s="100"/>
      <c r="Q37" s="100"/>
      <c r="R37" s="100"/>
      <c r="S37" s="100" t="e">
        <f>IF((S18+S19+#REF!)&lt;=0,0,(S18+S19+#REF!))</f>
        <v>#NAME?</v>
      </c>
      <c r="T37" s="100" t="e">
        <f>IF((T18+T19+#REF!)&lt;=0,0,(T18+T19+#REF!))</f>
        <v>#NAME?</v>
      </c>
      <c r="U37" s="100" t="e">
        <f>IF((U18+U19+#REF!)&lt;=0,0,(U18+U19+#REF!))</f>
        <v>#NAME?</v>
      </c>
      <c r="V37" s="100" t="e">
        <f>IF((V18+V19+#REF!)&lt;=0,0,(V18+V19+#REF!))</f>
        <v>#NAME?</v>
      </c>
      <c r="W37" s="100" t="e">
        <f>IF((W18+W19+#REF!)&lt;=0,0,(W18+W19+#REF!))</f>
        <v>#NAME?</v>
      </c>
      <c r="X37" s="100" t="e">
        <f>IF((X18+X19+#REF!)&lt;=0,0,(X18+X19+#REF!))</f>
        <v>#NAME?</v>
      </c>
      <c r="Y37" s="100" t="e">
        <f>IF((Y18+Y19+#REF!)&lt;=0,0,(Y18+Y19+#REF!))</f>
        <v>#NAME?</v>
      </c>
      <c r="Z37" s="100" t="e">
        <f>IF((Z18+Z19+#REF!)&lt;=0,0,(Z18+Z19+#REF!))</f>
        <v>#NAME?</v>
      </c>
      <c r="AA37" s="100" t="e">
        <f>IF((AA18+AA19+#REF!)&lt;=0,0,(AA18+AA19+#REF!))</f>
        <v>#NAME?</v>
      </c>
      <c r="AB37" s="100" t="e">
        <f>IF((AB18+AB19+#REF!)&lt;=0,0,(AB18+AB19+#REF!))</f>
        <v>#NAME?</v>
      </c>
      <c r="AC37" s="100" t="e">
        <f>IF((AC18+AC19+#REF!)&lt;=0,0,(AC18+AC19+#REF!))</f>
        <v>#NAME?</v>
      </c>
      <c r="AD37" s="100" t="e">
        <f>IF((AD18+AD19+#REF!)&lt;=0,0,(AD18+AD19+#REF!))</f>
        <v>#NAME?</v>
      </c>
    </row>
    <row r="38" spans="1:31" s="32" customFormat="1" ht="12.6" hidden="1" x14ac:dyDescent="0.25">
      <c r="A38" s="35"/>
      <c r="B38" s="35"/>
      <c r="D38" s="97"/>
      <c r="E38" s="97"/>
      <c r="G38" s="97"/>
      <c r="H38" s="101"/>
      <c r="I38" s="97"/>
      <c r="J38" s="98"/>
      <c r="L38" s="99"/>
      <c r="M38" s="103"/>
      <c r="N38" s="101"/>
      <c r="O38" s="101"/>
      <c r="P38" s="101"/>
      <c r="Q38" s="101"/>
      <c r="R38" s="101"/>
      <c r="S38" s="101"/>
      <c r="T38" s="101"/>
      <c r="U38" s="101"/>
      <c r="V38" s="101"/>
      <c r="W38" s="101"/>
      <c r="X38" s="101"/>
      <c r="Y38" s="101"/>
      <c r="Z38" s="101"/>
      <c r="AA38" s="101"/>
      <c r="AB38" s="101"/>
      <c r="AC38" s="101"/>
      <c r="AD38" s="101"/>
    </row>
    <row r="39" spans="1:31" s="248" customFormat="1" ht="12.6" hidden="1" x14ac:dyDescent="0.25">
      <c r="A39" s="247"/>
      <c r="B39" s="247"/>
      <c r="D39" s="203" t="s">
        <v>430</v>
      </c>
      <c r="E39" s="203"/>
      <c r="G39" s="203"/>
      <c r="H39" s="111"/>
      <c r="I39" s="203"/>
      <c r="J39" s="249" t="s">
        <v>49</v>
      </c>
      <c r="L39" s="204"/>
      <c r="M39" s="250"/>
      <c r="N39" s="111"/>
      <c r="O39" s="111"/>
      <c r="P39" s="111"/>
      <c r="Q39" s="111"/>
      <c r="R39" s="111"/>
      <c r="S39" s="112" t="e">
        <f t="shared" ref="S39:AD39" si="27">Inputs_Basecase_Dividend_Payout</f>
        <v>#NAME?</v>
      </c>
      <c r="T39" s="112" t="e">
        <f t="shared" si="27"/>
        <v>#NAME?</v>
      </c>
      <c r="U39" s="112" t="e">
        <f t="shared" si="27"/>
        <v>#NAME?</v>
      </c>
      <c r="V39" s="112" t="e">
        <f t="shared" si="27"/>
        <v>#NAME?</v>
      </c>
      <c r="W39" s="112" t="e">
        <f t="shared" si="27"/>
        <v>#NAME?</v>
      </c>
      <c r="X39" s="112" t="e">
        <f t="shared" si="27"/>
        <v>#NAME?</v>
      </c>
      <c r="Y39" s="112" t="e">
        <f t="shared" si="27"/>
        <v>#NAME?</v>
      </c>
      <c r="Z39" s="112" t="e">
        <f t="shared" si="27"/>
        <v>#NAME?</v>
      </c>
      <c r="AA39" s="112" t="e">
        <f t="shared" si="27"/>
        <v>#NAME?</v>
      </c>
      <c r="AB39" s="112" t="e">
        <f t="shared" si="27"/>
        <v>#NAME?</v>
      </c>
      <c r="AC39" s="112" t="e">
        <f t="shared" si="27"/>
        <v>#NAME?</v>
      </c>
      <c r="AD39" s="112" t="e">
        <f t="shared" si="27"/>
        <v>#NAME?</v>
      </c>
    </row>
    <row r="40" spans="1:31" s="248" customFormat="1" ht="12.6" hidden="1" x14ac:dyDescent="0.25">
      <c r="A40" s="247"/>
      <c r="B40" s="247"/>
      <c r="D40" s="203" t="s">
        <v>40</v>
      </c>
      <c r="E40" s="203"/>
      <c r="G40" s="203"/>
      <c r="H40" s="111"/>
      <c r="I40" s="203"/>
      <c r="J40" s="249" t="s">
        <v>1205</v>
      </c>
      <c r="L40" s="204"/>
      <c r="M40" s="250"/>
      <c r="N40" s="111"/>
      <c r="O40" s="111"/>
      <c r="P40" s="111"/>
      <c r="Q40" s="111"/>
      <c r="R40" s="111"/>
      <c r="S40" s="111" t="e">
        <f t="shared" ref="S40:AD40" si="28">IS_Net_Income</f>
        <v>#NAME?</v>
      </c>
      <c r="T40" s="111" t="e">
        <f t="shared" si="28"/>
        <v>#NAME?</v>
      </c>
      <c r="U40" s="111" t="e">
        <f t="shared" si="28"/>
        <v>#NAME?</v>
      </c>
      <c r="V40" s="111" t="e">
        <f t="shared" si="28"/>
        <v>#NAME?</v>
      </c>
      <c r="W40" s="111" t="e">
        <f t="shared" si="28"/>
        <v>#NAME?</v>
      </c>
      <c r="X40" s="111" t="e">
        <f t="shared" si="28"/>
        <v>#NAME?</v>
      </c>
      <c r="Y40" s="111" t="e">
        <f t="shared" si="28"/>
        <v>#NAME?</v>
      </c>
      <c r="Z40" s="111" t="e">
        <f t="shared" si="28"/>
        <v>#NAME?</v>
      </c>
      <c r="AA40" s="111" t="e">
        <f t="shared" si="28"/>
        <v>#NAME?</v>
      </c>
      <c r="AB40" s="111" t="e">
        <f t="shared" si="28"/>
        <v>#NAME?</v>
      </c>
      <c r="AC40" s="111" t="e">
        <f t="shared" si="28"/>
        <v>#NAME?</v>
      </c>
      <c r="AD40" s="111" t="e">
        <f t="shared" si="28"/>
        <v>#NAME?</v>
      </c>
    </row>
    <row r="41" spans="1:31" s="248" customFormat="1" ht="12.6" hidden="1" x14ac:dyDescent="0.25">
      <c r="A41" s="247"/>
      <c r="B41" s="247"/>
      <c r="D41" s="251" t="s">
        <v>429</v>
      </c>
      <c r="E41" s="251"/>
      <c r="F41" s="252"/>
      <c r="G41" s="251"/>
      <c r="H41" s="253"/>
      <c r="I41" s="251"/>
      <c r="J41" s="254" t="s">
        <v>1205</v>
      </c>
      <c r="K41" s="252"/>
      <c r="L41" s="255"/>
      <c r="M41" s="256"/>
      <c r="N41" s="253"/>
      <c r="O41" s="253"/>
      <c r="P41" s="253"/>
      <c r="Q41" s="253"/>
      <c r="R41" s="253"/>
      <c r="S41" s="253" t="e">
        <f>S39*S40</f>
        <v>#NAME?</v>
      </c>
      <c r="T41" s="253" t="e">
        <f t="shared" ref="T41:AD41" si="29">T39*T40</f>
        <v>#NAME?</v>
      </c>
      <c r="U41" s="253" t="e">
        <f t="shared" si="29"/>
        <v>#NAME?</v>
      </c>
      <c r="V41" s="253" t="e">
        <f t="shared" si="29"/>
        <v>#NAME?</v>
      </c>
      <c r="W41" s="253" t="e">
        <f t="shared" si="29"/>
        <v>#NAME?</v>
      </c>
      <c r="X41" s="253" t="e">
        <f t="shared" si="29"/>
        <v>#NAME?</v>
      </c>
      <c r="Y41" s="253" t="e">
        <f t="shared" si="29"/>
        <v>#NAME?</v>
      </c>
      <c r="Z41" s="253" t="e">
        <f t="shared" si="29"/>
        <v>#NAME?</v>
      </c>
      <c r="AA41" s="253" t="e">
        <f t="shared" si="29"/>
        <v>#NAME?</v>
      </c>
      <c r="AB41" s="253" t="e">
        <f t="shared" si="29"/>
        <v>#NAME?</v>
      </c>
      <c r="AC41" s="253" t="e">
        <f t="shared" si="29"/>
        <v>#NAME?</v>
      </c>
      <c r="AD41" s="253" t="e">
        <f t="shared" si="29"/>
        <v>#NAME?</v>
      </c>
    </row>
    <row r="42" spans="1:31" s="32" customFormat="1" ht="12.6" hidden="1" x14ac:dyDescent="0.25">
      <c r="A42" s="35"/>
      <c r="B42" s="35"/>
      <c r="D42" s="97"/>
      <c r="E42" s="97"/>
      <c r="G42" s="97"/>
      <c r="H42" s="101"/>
      <c r="I42" s="97"/>
      <c r="J42" s="98"/>
      <c r="L42" s="99"/>
      <c r="M42" s="103"/>
      <c r="N42" s="101"/>
      <c r="O42" s="101"/>
      <c r="P42" s="101"/>
      <c r="Q42" s="101"/>
      <c r="R42" s="101"/>
      <c r="S42" s="101"/>
      <c r="T42" s="101"/>
      <c r="U42" s="101"/>
      <c r="V42" s="101"/>
      <c r="W42" s="101"/>
      <c r="X42" s="101"/>
      <c r="Y42" s="101"/>
      <c r="Z42" s="101"/>
      <c r="AA42" s="101"/>
      <c r="AB42" s="101"/>
      <c r="AC42" s="101"/>
      <c r="AD42" s="101"/>
    </row>
    <row r="43" spans="1:31" s="32" customFormat="1" ht="12.6" hidden="1" x14ac:dyDescent="0.25">
      <c r="A43" s="35"/>
      <c r="B43" s="35"/>
      <c r="D43" s="97" t="s">
        <v>435</v>
      </c>
      <c r="E43" s="97"/>
      <c r="G43" s="97"/>
      <c r="H43" s="101"/>
      <c r="I43" s="97"/>
      <c r="J43" s="98"/>
      <c r="L43" s="99"/>
      <c r="M43" s="103"/>
      <c r="N43" s="101"/>
      <c r="O43" s="101"/>
      <c r="P43" s="101"/>
      <c r="Q43" s="101"/>
      <c r="R43" s="101"/>
      <c r="S43" s="101">
        <f>BS!S26</f>
        <v>58999</v>
      </c>
      <c r="T43" s="101">
        <f>BS!T26</f>
        <v>58999</v>
      </c>
      <c r="U43" s="101">
        <f>BS!U26</f>
        <v>58999</v>
      </c>
      <c r="V43" s="101">
        <f>BS!V26</f>
        <v>58999</v>
      </c>
      <c r="W43" s="101">
        <f>BS!W26</f>
        <v>58999</v>
      </c>
      <c r="X43" s="101">
        <f>BS!X26</f>
        <v>58999</v>
      </c>
      <c r="Y43" s="101">
        <f>BS!Y26</f>
        <v>58999</v>
      </c>
      <c r="Z43" s="101">
        <f>BS!Z26</f>
        <v>58999</v>
      </c>
      <c r="AA43" s="101">
        <f>BS!AA26</f>
        <v>58999</v>
      </c>
      <c r="AB43" s="101">
        <f>BS!AB26</f>
        <v>58999</v>
      </c>
      <c r="AC43" s="101">
        <f>BS!AC26</f>
        <v>58999</v>
      </c>
      <c r="AD43" s="101">
        <f>BS!AD26</f>
        <v>58999</v>
      </c>
    </row>
    <row r="44" spans="1:31" s="32" customFormat="1" ht="12.6" hidden="1" x14ac:dyDescent="0.25">
      <c r="A44" s="35"/>
      <c r="B44" s="35"/>
      <c r="D44" s="97"/>
      <c r="E44" s="97"/>
      <c r="G44" s="97"/>
      <c r="H44" s="101"/>
      <c r="I44" s="97"/>
      <c r="J44" s="98"/>
      <c r="L44" s="99"/>
      <c r="M44" s="103"/>
      <c r="N44" s="101"/>
      <c r="O44" s="101"/>
      <c r="P44" s="101"/>
      <c r="Q44" s="101"/>
      <c r="R44" s="101"/>
      <c r="S44" s="101"/>
      <c r="T44" s="101"/>
      <c r="U44" s="101"/>
      <c r="V44" s="101"/>
      <c r="W44" s="101"/>
      <c r="X44" s="101"/>
      <c r="Y44" s="101"/>
      <c r="Z44" s="101"/>
      <c r="AA44" s="101"/>
      <c r="AB44" s="101"/>
      <c r="AC44" s="101"/>
      <c r="AD44" s="101"/>
    </row>
    <row r="45" spans="1:31" s="32" customFormat="1" ht="12.6" hidden="1" x14ac:dyDescent="0.25">
      <c r="A45" s="35"/>
      <c r="B45" s="35"/>
      <c r="D45" s="97" t="s">
        <v>436</v>
      </c>
      <c r="E45" s="97"/>
      <c r="G45" s="97"/>
      <c r="H45" s="101"/>
      <c r="I45" s="97"/>
      <c r="J45" s="98"/>
      <c r="L45" s="99"/>
      <c r="M45" s="103"/>
      <c r="N45" s="101"/>
      <c r="O45" s="101"/>
      <c r="P45" s="101"/>
      <c r="Q45" s="101"/>
      <c r="R45" s="101"/>
      <c r="S45" s="101"/>
      <c r="T45" s="262" t="e">
        <f t="shared" ref="T45:AD45" si="30">Inputs_Max_Dividend_Payout</f>
        <v>#NAME?</v>
      </c>
      <c r="U45" s="262" t="e">
        <f t="shared" si="30"/>
        <v>#NAME?</v>
      </c>
      <c r="V45" s="262" t="e">
        <f t="shared" si="30"/>
        <v>#NAME?</v>
      </c>
      <c r="W45" s="262" t="e">
        <f t="shared" si="30"/>
        <v>#NAME?</v>
      </c>
      <c r="X45" s="262" t="e">
        <f t="shared" si="30"/>
        <v>#NAME?</v>
      </c>
      <c r="Y45" s="262" t="e">
        <f t="shared" si="30"/>
        <v>#NAME?</v>
      </c>
      <c r="Z45" s="262" t="e">
        <f t="shared" si="30"/>
        <v>#NAME?</v>
      </c>
      <c r="AA45" s="262" t="e">
        <f t="shared" si="30"/>
        <v>#NAME?</v>
      </c>
      <c r="AB45" s="262" t="e">
        <f t="shared" si="30"/>
        <v>#NAME?</v>
      </c>
      <c r="AC45" s="262" t="e">
        <f t="shared" si="30"/>
        <v>#NAME?</v>
      </c>
      <c r="AD45" s="262" t="e">
        <f t="shared" si="30"/>
        <v>#NAME?</v>
      </c>
      <c r="AE45" s="101"/>
    </row>
    <row r="46" spans="1:31" s="32" customFormat="1" ht="12.6" x14ac:dyDescent="0.25">
      <c r="A46" s="35"/>
      <c r="B46" s="35"/>
      <c r="D46" s="97"/>
      <c r="E46" s="97"/>
      <c r="G46" s="97"/>
      <c r="H46" s="101"/>
      <c r="I46" s="97"/>
      <c r="J46" s="98"/>
      <c r="L46" s="99"/>
      <c r="M46" s="103"/>
      <c r="N46" s="101"/>
      <c r="O46" s="101"/>
      <c r="P46" s="101"/>
      <c r="Q46" s="101"/>
      <c r="R46" s="101"/>
      <c r="S46" s="101"/>
      <c r="T46" s="101"/>
      <c r="U46" s="101"/>
      <c r="V46" s="101"/>
      <c r="W46" s="101"/>
      <c r="X46" s="101"/>
      <c r="Y46" s="101"/>
      <c r="Z46" s="101"/>
      <c r="AA46" s="101"/>
      <c r="AB46" s="101"/>
      <c r="AC46" s="101"/>
      <c r="AD46" s="101"/>
    </row>
    <row r="47" spans="1:31" s="32" customFormat="1" ht="13.2" thickBot="1" x14ac:dyDescent="0.3">
      <c r="A47" s="35"/>
      <c r="B47" s="35"/>
      <c r="D47" s="36" t="s">
        <v>84</v>
      </c>
      <c r="E47" s="58"/>
      <c r="F47" s="36"/>
      <c r="G47" s="58"/>
      <c r="H47" s="105"/>
      <c r="I47" s="58"/>
      <c r="J47" s="59" t="s">
        <v>1205</v>
      </c>
      <c r="K47" s="36"/>
      <c r="L47" s="246" t="s">
        <v>87</v>
      </c>
      <c r="M47" s="102"/>
      <c r="N47" s="102"/>
      <c r="O47" s="102"/>
      <c r="P47" s="102"/>
      <c r="Q47" s="102"/>
      <c r="R47" s="102"/>
      <c r="S47" s="355">
        <f t="shared" ref="S47:AD47" si="31">Inputs_Proposed_Dividends</f>
        <v>0</v>
      </c>
      <c r="T47" s="355">
        <f t="shared" si="31"/>
        <v>0</v>
      </c>
      <c r="U47" s="355">
        <f t="shared" si="31"/>
        <v>0</v>
      </c>
      <c r="V47" s="355">
        <f t="shared" si="31"/>
        <v>0</v>
      </c>
      <c r="W47" s="355">
        <f t="shared" si="31"/>
        <v>0</v>
      </c>
      <c r="X47" s="355">
        <f t="shared" si="31"/>
        <v>0</v>
      </c>
      <c r="Y47" s="355">
        <f t="shared" si="31"/>
        <v>0</v>
      </c>
      <c r="Z47" s="355">
        <f t="shared" si="31"/>
        <v>0</v>
      </c>
      <c r="AA47" s="355">
        <f t="shared" si="31"/>
        <v>0</v>
      </c>
      <c r="AB47" s="355">
        <f t="shared" si="31"/>
        <v>0</v>
      </c>
      <c r="AC47" s="355">
        <f t="shared" si="31"/>
        <v>0</v>
      </c>
      <c r="AD47" s="355">
        <f t="shared" si="31"/>
        <v>0</v>
      </c>
    </row>
    <row r="48" spans="1:31" s="32" customFormat="1" ht="12.6" x14ac:dyDescent="0.25">
      <c r="A48" s="35"/>
      <c r="B48" s="35"/>
      <c r="E48" s="97"/>
      <c r="G48" s="97"/>
      <c r="H48" s="101"/>
      <c r="I48" s="97"/>
      <c r="J48" s="98"/>
      <c r="M48" s="103"/>
      <c r="N48" s="103"/>
      <c r="O48" s="103"/>
      <c r="P48" s="103"/>
      <c r="Q48" s="103"/>
      <c r="R48" s="103"/>
      <c r="S48" s="103"/>
      <c r="T48" s="103"/>
      <c r="U48" s="103"/>
      <c r="V48" s="103"/>
      <c r="W48" s="103"/>
      <c r="X48" s="103"/>
      <c r="Y48" s="103"/>
      <c r="Z48" s="103"/>
      <c r="AA48" s="103"/>
      <c r="AB48" s="103"/>
      <c r="AC48" s="103"/>
      <c r="AD48" s="103"/>
    </row>
    <row r="49" spans="1:35" s="32" customFormat="1" ht="12.6" x14ac:dyDescent="0.25">
      <c r="A49" s="35"/>
      <c r="B49" s="35"/>
      <c r="E49" s="97"/>
      <c r="G49" s="97"/>
      <c r="H49" s="101"/>
      <c r="I49" s="97"/>
      <c r="J49" s="98"/>
      <c r="L49" s="99"/>
      <c r="M49" s="103"/>
      <c r="N49" s="101"/>
      <c r="O49" s="101"/>
      <c r="P49" s="101"/>
      <c r="Q49" s="101"/>
      <c r="R49" s="101"/>
      <c r="S49" s="101"/>
      <c r="T49" s="101"/>
      <c r="U49" s="101"/>
      <c r="V49" s="101"/>
      <c r="W49" s="101"/>
      <c r="X49" s="101"/>
      <c r="Y49" s="101"/>
      <c r="Z49" s="101"/>
      <c r="AA49" s="101"/>
      <c r="AB49" s="101"/>
      <c r="AC49" s="101"/>
      <c r="AD49" s="101"/>
    </row>
    <row r="50" spans="1:35" s="32" customFormat="1" ht="13.2" thickBot="1" x14ac:dyDescent="0.3">
      <c r="A50" s="35"/>
      <c r="B50" s="35"/>
      <c r="E50" s="97"/>
      <c r="G50" s="97"/>
      <c r="H50" s="101"/>
      <c r="I50" s="97"/>
      <c r="J50" s="98"/>
      <c r="L50" s="99"/>
      <c r="M50" s="103"/>
      <c r="N50" s="103"/>
      <c r="O50" s="103"/>
      <c r="P50" s="103"/>
      <c r="Q50" s="103"/>
      <c r="R50" s="103"/>
      <c r="S50" s="103"/>
      <c r="T50" s="103"/>
      <c r="U50" s="103"/>
      <c r="V50" s="103"/>
      <c r="W50" s="103"/>
      <c r="X50" s="103"/>
      <c r="Y50" s="103"/>
      <c r="Z50" s="103"/>
      <c r="AA50" s="103"/>
      <c r="AB50" s="103"/>
      <c r="AC50" s="103"/>
      <c r="AD50" s="103"/>
    </row>
    <row r="51" spans="1:35" ht="13.2" thickTop="1" x14ac:dyDescent="0.25">
      <c r="B51" s="39" t="s">
        <v>15</v>
      </c>
      <c r="C51" s="40"/>
      <c r="D51" s="40"/>
      <c r="E51" s="40"/>
      <c r="F51" s="41"/>
      <c r="G51" s="40"/>
      <c r="H51" s="40"/>
      <c r="I51" s="42"/>
      <c r="J51" s="42"/>
      <c r="K51" s="40"/>
      <c r="L51" s="43"/>
      <c r="M51" s="40"/>
      <c r="N51" s="42"/>
      <c r="O51" s="42"/>
      <c r="P51" s="42"/>
      <c r="Q51" s="42"/>
      <c r="R51" s="42"/>
      <c r="S51" s="42"/>
      <c r="T51" s="42"/>
      <c r="U51" s="42"/>
      <c r="V51" s="42"/>
      <c r="W51" s="42"/>
      <c r="X51" s="42"/>
      <c r="Y51" s="42"/>
      <c r="Z51" s="42"/>
      <c r="AA51" s="42"/>
      <c r="AB51" s="42"/>
      <c r="AC51" s="42"/>
      <c r="AD51" s="42"/>
    </row>
    <row r="52" spans="1:35" x14ac:dyDescent="0.2">
      <c r="A52" s="97"/>
      <c r="B52" s="97"/>
      <c r="C52" s="97"/>
      <c r="D52" s="97"/>
      <c r="E52" s="97"/>
      <c r="F52" s="97"/>
      <c r="N52" s="18"/>
    </row>
    <row r="53" spans="1:35" s="18" customFormat="1" x14ac:dyDescent="0.2">
      <c r="A53" s="97"/>
      <c r="B53" s="97"/>
      <c r="C53" s="97"/>
      <c r="D53" s="97"/>
      <c r="E53" s="97"/>
      <c r="F53" s="97"/>
      <c r="G53" s="1"/>
      <c r="H53" s="1"/>
      <c r="I53" s="1"/>
      <c r="J53" s="2"/>
      <c r="K53" s="1"/>
      <c r="L53" s="3"/>
      <c r="M53" s="1"/>
      <c r="AE53" s="1"/>
      <c r="AF53" s="1"/>
      <c r="AG53" s="1"/>
      <c r="AH53" s="1"/>
      <c r="AI53" s="1"/>
    </row>
    <row r="54" spans="1:35" s="18" customFormat="1" x14ac:dyDescent="0.2">
      <c r="A54" s="97"/>
      <c r="B54" s="97"/>
      <c r="C54" s="97"/>
      <c r="D54" s="97"/>
      <c r="E54" s="97"/>
      <c r="F54" s="97"/>
      <c r="G54" s="1"/>
      <c r="H54" s="1"/>
      <c r="I54" s="1"/>
      <c r="J54" s="2"/>
      <c r="K54" s="1"/>
      <c r="L54" s="3"/>
      <c r="M54" s="1"/>
      <c r="AE54" s="1"/>
      <c r="AF54" s="1"/>
      <c r="AG54" s="1"/>
      <c r="AH54" s="1"/>
      <c r="AI54" s="1"/>
    </row>
    <row r="55" spans="1:35" s="18" customFormat="1" x14ac:dyDescent="0.2">
      <c r="A55" s="97"/>
      <c r="B55" s="97"/>
      <c r="C55" s="97"/>
      <c r="D55" s="97"/>
      <c r="E55" s="97"/>
      <c r="F55" s="97"/>
      <c r="G55" s="1"/>
      <c r="H55" s="1"/>
      <c r="I55" s="1"/>
      <c r="J55" s="2"/>
      <c r="K55" s="1"/>
      <c r="L55" s="3"/>
      <c r="M55" s="1"/>
      <c r="AE55" s="1"/>
      <c r="AF55" s="1"/>
      <c r="AG55" s="1"/>
      <c r="AH55" s="1"/>
      <c r="AI55" s="1"/>
    </row>
    <row r="56" spans="1:35" s="18" customFormat="1" x14ac:dyDescent="0.2">
      <c r="A56" s="97"/>
      <c r="B56" s="97"/>
      <c r="C56" s="97"/>
      <c r="D56" s="97"/>
      <c r="E56" s="97"/>
      <c r="F56" s="97"/>
      <c r="G56" s="1"/>
      <c r="H56" s="1"/>
      <c r="I56" s="1"/>
      <c r="J56" s="2"/>
      <c r="K56" s="1"/>
      <c r="L56" s="3"/>
      <c r="M56" s="1"/>
      <c r="AE56" s="1"/>
      <c r="AF56" s="1"/>
      <c r="AG56" s="1"/>
      <c r="AH56" s="1"/>
      <c r="AI56" s="1"/>
    </row>
    <row r="57" spans="1:35" s="18" customFormat="1" x14ac:dyDescent="0.2">
      <c r="A57" s="97"/>
      <c r="B57" s="97"/>
      <c r="C57" s="97"/>
      <c r="D57" s="97"/>
      <c r="E57" s="97"/>
      <c r="F57" s="97"/>
      <c r="G57" s="1"/>
      <c r="H57" s="1"/>
      <c r="I57" s="1"/>
      <c r="J57" s="2"/>
      <c r="K57" s="1"/>
      <c r="L57" s="3"/>
      <c r="M57" s="1"/>
      <c r="AE57" s="1"/>
      <c r="AF57" s="1"/>
      <c r="AG57" s="1"/>
      <c r="AH57" s="1"/>
      <c r="AI57" s="1"/>
    </row>
    <row r="58" spans="1:35" s="18" customFormat="1" x14ac:dyDescent="0.2">
      <c r="A58" s="97"/>
      <c r="B58" s="97"/>
      <c r="C58" s="97"/>
      <c r="D58" s="97"/>
      <c r="E58" s="97"/>
      <c r="F58" s="97"/>
      <c r="G58" s="1"/>
      <c r="H58" s="1"/>
      <c r="I58" s="1"/>
      <c r="J58" s="2"/>
      <c r="K58" s="1"/>
      <c r="L58" s="3"/>
      <c r="M58" s="1"/>
      <c r="AE58" s="1"/>
      <c r="AF58" s="1"/>
      <c r="AG58" s="1"/>
      <c r="AH58" s="1"/>
      <c r="AI58" s="1"/>
    </row>
    <row r="59" spans="1:35" s="18" customFormat="1" x14ac:dyDescent="0.2">
      <c r="A59" s="97"/>
      <c r="B59" s="97"/>
      <c r="C59" s="97"/>
      <c r="D59" s="97"/>
      <c r="E59" s="97"/>
      <c r="F59" s="97"/>
      <c r="G59" s="1"/>
      <c r="H59" s="1"/>
      <c r="I59" s="1"/>
      <c r="J59" s="2"/>
      <c r="K59" s="1"/>
      <c r="L59" s="3"/>
      <c r="M59" s="1"/>
      <c r="AE59" s="1"/>
      <c r="AF59" s="1"/>
      <c r="AG59" s="1"/>
      <c r="AH59" s="1"/>
      <c r="AI59" s="1"/>
    </row>
    <row r="60" spans="1:35" s="18" customFormat="1" x14ac:dyDescent="0.2">
      <c r="A60" s="97"/>
      <c r="B60" s="97"/>
      <c r="C60" s="97"/>
      <c r="D60" s="97"/>
      <c r="E60" s="97"/>
      <c r="F60" s="97"/>
      <c r="G60" s="1"/>
      <c r="H60" s="1"/>
      <c r="I60" s="1"/>
      <c r="J60" s="2"/>
      <c r="K60" s="1"/>
      <c r="L60" s="3"/>
      <c r="M60" s="1"/>
      <c r="AE60" s="1"/>
      <c r="AF60" s="1"/>
      <c r="AG60" s="1"/>
      <c r="AH60" s="1"/>
      <c r="AI60" s="1"/>
    </row>
    <row r="61" spans="1:35" s="18" customFormat="1" x14ac:dyDescent="0.2">
      <c r="A61" s="97"/>
      <c r="B61" s="97"/>
      <c r="C61" s="97"/>
      <c r="D61" s="97"/>
      <c r="E61" s="97"/>
      <c r="F61" s="97"/>
      <c r="G61" s="1"/>
      <c r="H61" s="1"/>
      <c r="I61" s="1"/>
      <c r="J61" s="2"/>
      <c r="K61" s="1"/>
      <c r="L61" s="3"/>
      <c r="M61" s="1"/>
      <c r="AE61" s="1"/>
      <c r="AF61" s="1"/>
      <c r="AG61" s="1"/>
      <c r="AH61" s="1"/>
      <c r="AI61" s="1"/>
    </row>
    <row r="62" spans="1:35" s="18" customFormat="1" x14ac:dyDescent="0.2">
      <c r="A62" s="97"/>
      <c r="B62" s="97"/>
      <c r="C62" s="97"/>
      <c r="D62" s="97"/>
      <c r="E62" s="97"/>
      <c r="F62" s="97"/>
      <c r="G62" s="1"/>
      <c r="H62" s="1"/>
      <c r="I62" s="1"/>
      <c r="J62" s="2"/>
      <c r="K62" s="1"/>
      <c r="L62" s="3"/>
      <c r="M62" s="1"/>
      <c r="AE62" s="1"/>
      <c r="AF62" s="1"/>
      <c r="AG62" s="1"/>
      <c r="AH62" s="1"/>
      <c r="AI62" s="1"/>
    </row>
    <row r="63" spans="1:35" s="18" customFormat="1" x14ac:dyDescent="0.2">
      <c r="A63" s="97"/>
      <c r="B63" s="97"/>
      <c r="C63" s="97"/>
      <c r="D63" s="97"/>
      <c r="E63" s="97"/>
      <c r="F63" s="97"/>
      <c r="G63" s="1"/>
      <c r="H63" s="1"/>
      <c r="I63" s="1"/>
      <c r="J63" s="2"/>
      <c r="K63" s="1"/>
      <c r="L63" s="3"/>
      <c r="M63" s="1"/>
      <c r="AE63" s="1"/>
      <c r="AF63" s="1"/>
      <c r="AG63" s="1"/>
      <c r="AH63" s="1"/>
      <c r="AI63" s="1"/>
    </row>
    <row r="64" spans="1:35" s="18" customFormat="1" x14ac:dyDescent="0.2">
      <c r="A64" s="97"/>
      <c r="B64" s="97"/>
      <c r="C64" s="97"/>
      <c r="D64" s="97"/>
      <c r="E64" s="97"/>
      <c r="F64" s="97"/>
      <c r="G64" s="1"/>
      <c r="H64" s="1"/>
      <c r="I64" s="1"/>
      <c r="J64" s="2"/>
      <c r="K64" s="1"/>
      <c r="L64" s="3"/>
      <c r="M64" s="1"/>
      <c r="AE64" s="1"/>
      <c r="AF64" s="1"/>
      <c r="AG64" s="1"/>
      <c r="AH64" s="1"/>
      <c r="AI64" s="1"/>
    </row>
    <row r="65" spans="1:35" s="18" customFormat="1" x14ac:dyDescent="0.2">
      <c r="A65" s="97"/>
      <c r="B65" s="97"/>
      <c r="C65" s="97"/>
      <c r="D65" s="97"/>
      <c r="E65" s="97"/>
      <c r="F65" s="97"/>
      <c r="G65" s="1"/>
      <c r="H65" s="1"/>
      <c r="I65" s="1"/>
      <c r="J65" s="2"/>
      <c r="K65" s="1"/>
      <c r="L65" s="3"/>
      <c r="M65" s="1"/>
      <c r="AE65" s="1"/>
      <c r="AF65" s="1"/>
      <c r="AG65" s="1"/>
      <c r="AH65" s="1"/>
      <c r="AI65" s="1"/>
    </row>
    <row r="66" spans="1:35" s="18" customFormat="1" x14ac:dyDescent="0.2">
      <c r="A66" s="97"/>
      <c r="B66" s="97"/>
      <c r="C66" s="97"/>
      <c r="D66" s="97"/>
      <c r="E66" s="97"/>
      <c r="F66" s="97"/>
      <c r="G66" s="1"/>
      <c r="H66" s="1"/>
      <c r="I66" s="1"/>
      <c r="J66" s="2"/>
      <c r="K66" s="1"/>
      <c r="L66" s="3"/>
      <c r="M66" s="1"/>
      <c r="AE66" s="1"/>
      <c r="AF66" s="1"/>
      <c r="AG66" s="1"/>
      <c r="AH66" s="1"/>
      <c r="AI66" s="1"/>
    </row>
    <row r="67" spans="1:35" s="18" customFormat="1" x14ac:dyDescent="0.2">
      <c r="A67" s="97"/>
      <c r="B67" s="97"/>
      <c r="C67" s="97"/>
      <c r="D67" s="97"/>
      <c r="E67" s="97"/>
      <c r="F67" s="97"/>
      <c r="G67" s="1"/>
      <c r="H67" s="1"/>
      <c r="I67" s="1"/>
      <c r="J67" s="2"/>
      <c r="K67" s="1"/>
      <c r="L67" s="3"/>
      <c r="M67" s="1"/>
      <c r="AE67" s="1"/>
      <c r="AF67" s="1"/>
      <c r="AG67" s="1"/>
      <c r="AH67" s="1"/>
      <c r="AI67" s="1"/>
    </row>
    <row r="68" spans="1:35" s="18" customFormat="1" x14ac:dyDescent="0.2">
      <c r="A68" s="97"/>
      <c r="B68" s="97"/>
      <c r="C68" s="97"/>
      <c r="D68" s="97"/>
      <c r="E68" s="97"/>
      <c r="F68" s="97"/>
      <c r="G68" s="1"/>
      <c r="H68" s="1"/>
      <c r="I68" s="1"/>
      <c r="J68" s="2"/>
      <c r="K68" s="1"/>
      <c r="L68" s="3"/>
      <c r="M68" s="1"/>
      <c r="AE68" s="1"/>
      <c r="AF68" s="1"/>
      <c r="AG68" s="1"/>
      <c r="AH68" s="1"/>
      <c r="AI68" s="1"/>
    </row>
    <row r="69" spans="1:35" s="18" customFormat="1" x14ac:dyDescent="0.2">
      <c r="A69" s="97"/>
      <c r="B69" s="97"/>
      <c r="C69" s="97"/>
      <c r="D69" s="97"/>
      <c r="E69" s="97"/>
      <c r="F69" s="97"/>
      <c r="G69" s="1"/>
      <c r="H69" s="1"/>
      <c r="I69" s="1"/>
      <c r="J69" s="2"/>
      <c r="K69" s="1"/>
      <c r="L69" s="3"/>
      <c r="M69" s="1"/>
      <c r="AE69" s="1"/>
      <c r="AF69" s="1"/>
      <c r="AG69" s="1"/>
      <c r="AH69" s="1"/>
      <c r="AI69" s="1"/>
    </row>
    <row r="70" spans="1:35" s="18" customFormat="1" x14ac:dyDescent="0.2">
      <c r="A70" s="97"/>
      <c r="B70" s="97"/>
      <c r="C70" s="97"/>
      <c r="D70" s="97"/>
      <c r="E70" s="97"/>
      <c r="F70" s="97"/>
      <c r="G70" s="1"/>
      <c r="H70" s="1"/>
      <c r="I70" s="1"/>
      <c r="J70" s="2"/>
      <c r="K70" s="1"/>
      <c r="L70" s="3"/>
      <c r="M70" s="1"/>
      <c r="AE70" s="1"/>
      <c r="AF70" s="1"/>
      <c r="AG70" s="1"/>
      <c r="AH70" s="1"/>
      <c r="AI70" s="1"/>
    </row>
    <row r="71" spans="1:35" s="18" customFormat="1" x14ac:dyDescent="0.2">
      <c r="A71" s="97"/>
      <c r="B71" s="97"/>
      <c r="C71" s="97"/>
      <c r="D71" s="97"/>
      <c r="E71" s="97"/>
      <c r="F71" s="97"/>
      <c r="G71" s="1"/>
      <c r="H71" s="1"/>
      <c r="I71" s="1"/>
      <c r="J71" s="2"/>
      <c r="K71" s="1"/>
      <c r="L71" s="3"/>
      <c r="M71" s="1"/>
      <c r="AE71" s="1"/>
      <c r="AF71" s="1"/>
      <c r="AG71" s="1"/>
      <c r="AH71" s="1"/>
      <c r="AI71" s="1"/>
    </row>
    <row r="72" spans="1:35" s="18" customFormat="1" x14ac:dyDescent="0.2">
      <c r="A72" s="97"/>
      <c r="B72" s="97"/>
      <c r="C72" s="97"/>
      <c r="D72" s="97"/>
      <c r="E72" s="97"/>
      <c r="F72" s="97"/>
      <c r="G72" s="1"/>
      <c r="H72" s="1"/>
      <c r="I72" s="1"/>
      <c r="J72" s="2"/>
      <c r="K72" s="1"/>
      <c r="L72" s="3"/>
      <c r="M72" s="1"/>
      <c r="AE72" s="1"/>
      <c r="AF72" s="1"/>
      <c r="AG72" s="1"/>
      <c r="AH72" s="1"/>
      <c r="AI72" s="1"/>
    </row>
    <row r="73" spans="1:35" s="18" customFormat="1" x14ac:dyDescent="0.2">
      <c r="A73" s="97"/>
      <c r="B73" s="97"/>
      <c r="C73" s="97"/>
      <c r="D73" s="97"/>
      <c r="E73" s="97"/>
      <c r="F73" s="97"/>
      <c r="G73" s="1"/>
      <c r="H73" s="1"/>
      <c r="I73" s="1"/>
      <c r="J73" s="2"/>
      <c r="K73" s="1"/>
      <c r="L73" s="3"/>
      <c r="M73" s="1"/>
      <c r="AE73" s="1"/>
      <c r="AF73" s="1"/>
      <c r="AG73" s="1"/>
      <c r="AH73" s="1"/>
      <c r="AI73" s="1"/>
    </row>
    <row r="74" spans="1:35" s="18" customFormat="1" x14ac:dyDescent="0.2">
      <c r="A74" s="97"/>
      <c r="B74" s="97"/>
      <c r="C74" s="97"/>
      <c r="D74" s="97"/>
      <c r="E74" s="97"/>
      <c r="F74" s="97"/>
      <c r="G74" s="1"/>
      <c r="H74" s="1"/>
      <c r="I74" s="1"/>
      <c r="J74" s="2"/>
      <c r="K74" s="1"/>
      <c r="L74" s="3"/>
      <c r="M74" s="1"/>
      <c r="AE74" s="1"/>
      <c r="AF74" s="1"/>
      <c r="AG74" s="1"/>
      <c r="AH74" s="1"/>
      <c r="AI74" s="1"/>
    </row>
    <row r="75" spans="1:35" s="18" customFormat="1" x14ac:dyDescent="0.2">
      <c r="A75" s="97"/>
      <c r="B75" s="97"/>
      <c r="C75" s="97"/>
      <c r="D75" s="97"/>
      <c r="E75" s="97"/>
      <c r="F75" s="97"/>
      <c r="G75" s="1"/>
      <c r="H75" s="1"/>
      <c r="I75" s="1"/>
      <c r="J75" s="2"/>
      <c r="K75" s="1"/>
      <c r="L75" s="3"/>
      <c r="M75" s="1"/>
      <c r="AE75" s="1"/>
      <c r="AF75" s="1"/>
      <c r="AG75" s="1"/>
      <c r="AH75" s="1"/>
      <c r="AI75" s="1"/>
    </row>
    <row r="76" spans="1:35" s="18" customFormat="1" x14ac:dyDescent="0.2">
      <c r="A76" s="97"/>
      <c r="B76" s="97"/>
      <c r="C76" s="97"/>
      <c r="D76" s="97"/>
      <c r="E76" s="97"/>
      <c r="F76" s="97"/>
      <c r="G76" s="1"/>
      <c r="H76" s="1"/>
      <c r="I76" s="1"/>
      <c r="J76" s="2"/>
      <c r="K76" s="1"/>
      <c r="L76" s="3"/>
      <c r="M76" s="1"/>
      <c r="AE76" s="1"/>
      <c r="AF76" s="1"/>
      <c r="AG76" s="1"/>
      <c r="AH76" s="1"/>
      <c r="AI76" s="1"/>
    </row>
    <row r="77" spans="1:35" s="18" customFormat="1" x14ac:dyDescent="0.2">
      <c r="A77" s="97"/>
      <c r="B77" s="97"/>
      <c r="C77" s="97"/>
      <c r="D77" s="97"/>
      <c r="E77" s="97"/>
      <c r="F77" s="97"/>
      <c r="G77" s="1"/>
      <c r="H77" s="1"/>
      <c r="I77" s="1"/>
      <c r="J77" s="2"/>
      <c r="K77" s="1"/>
      <c r="L77" s="3"/>
      <c r="M77" s="1"/>
      <c r="AE77" s="1"/>
      <c r="AF77" s="1"/>
      <c r="AG77" s="1"/>
      <c r="AH77" s="1"/>
      <c r="AI77" s="1"/>
    </row>
    <row r="78" spans="1:35" s="18" customFormat="1" x14ac:dyDescent="0.2">
      <c r="A78" s="97"/>
      <c r="B78" s="97"/>
      <c r="C78" s="97"/>
      <c r="D78" s="97"/>
      <c r="E78" s="97"/>
      <c r="F78" s="97"/>
      <c r="G78" s="1"/>
      <c r="H78" s="1"/>
      <c r="I78" s="1"/>
      <c r="J78" s="2"/>
      <c r="K78" s="1"/>
      <c r="L78" s="3"/>
      <c r="M78" s="1"/>
      <c r="AE78" s="1"/>
      <c r="AF78" s="1"/>
      <c r="AG78" s="1"/>
      <c r="AH78" s="1"/>
      <c r="AI78" s="1"/>
    </row>
    <row r="79" spans="1:35" s="18" customFormat="1" x14ac:dyDescent="0.2">
      <c r="A79" s="97"/>
      <c r="B79" s="97"/>
      <c r="C79" s="97"/>
      <c r="D79" s="97"/>
      <c r="E79" s="97"/>
      <c r="F79" s="97"/>
      <c r="G79" s="1"/>
      <c r="H79" s="1"/>
      <c r="I79" s="1"/>
      <c r="J79" s="2"/>
      <c r="K79" s="1"/>
      <c r="L79" s="3"/>
      <c r="M79" s="1"/>
      <c r="AE79" s="1"/>
      <c r="AF79" s="1"/>
      <c r="AG79" s="1"/>
      <c r="AH79" s="1"/>
      <c r="AI79" s="1"/>
    </row>
    <row r="80" spans="1:35" s="18" customFormat="1" x14ac:dyDescent="0.2">
      <c r="A80" s="97"/>
      <c r="B80" s="97"/>
      <c r="C80" s="97"/>
      <c r="D80" s="97"/>
      <c r="E80" s="97"/>
      <c r="F80" s="97"/>
      <c r="G80" s="1"/>
      <c r="H80" s="1"/>
      <c r="I80" s="1"/>
      <c r="J80" s="2"/>
      <c r="K80" s="1"/>
      <c r="L80" s="3"/>
      <c r="M80" s="1"/>
      <c r="AE80" s="1"/>
      <c r="AF80" s="1"/>
      <c r="AG80" s="1"/>
      <c r="AH80" s="1"/>
      <c r="AI80" s="1"/>
    </row>
    <row r="81" spans="1:35" s="18" customFormat="1" x14ac:dyDescent="0.2">
      <c r="A81" s="97"/>
      <c r="B81" s="97"/>
      <c r="C81" s="97"/>
      <c r="D81" s="97"/>
      <c r="E81" s="97"/>
      <c r="F81" s="97"/>
      <c r="G81" s="1"/>
      <c r="H81" s="1"/>
      <c r="I81" s="1"/>
      <c r="J81" s="2"/>
      <c r="K81" s="1"/>
      <c r="L81" s="3"/>
      <c r="M81" s="1"/>
      <c r="AE81" s="1"/>
      <c r="AF81" s="1"/>
      <c r="AG81" s="1"/>
      <c r="AH81" s="1"/>
      <c r="AI81" s="1"/>
    </row>
    <row r="82" spans="1:35" s="18" customFormat="1" x14ac:dyDescent="0.2">
      <c r="A82" s="97"/>
      <c r="B82" s="97"/>
      <c r="C82" s="97"/>
      <c r="D82" s="97"/>
      <c r="E82" s="97"/>
      <c r="F82" s="97"/>
      <c r="G82" s="1"/>
      <c r="H82" s="1"/>
      <c r="I82" s="1"/>
      <c r="J82" s="2"/>
      <c r="K82" s="1"/>
      <c r="L82" s="3"/>
      <c r="M82" s="1"/>
      <c r="AE82" s="1"/>
      <c r="AF82" s="1"/>
      <c r="AG82" s="1"/>
      <c r="AH82" s="1"/>
      <c r="AI82" s="1"/>
    </row>
    <row r="83" spans="1:35" s="18" customFormat="1" x14ac:dyDescent="0.2">
      <c r="A83" s="97"/>
      <c r="B83" s="97"/>
      <c r="C83" s="97"/>
      <c r="D83" s="97"/>
      <c r="E83" s="97"/>
      <c r="F83" s="97"/>
      <c r="G83" s="1"/>
      <c r="H83" s="1"/>
      <c r="I83" s="1"/>
      <c r="J83" s="2"/>
      <c r="K83" s="1"/>
      <c r="L83" s="3"/>
      <c r="M83" s="1"/>
      <c r="AE83" s="1"/>
      <c r="AF83" s="1"/>
      <c r="AG83" s="1"/>
      <c r="AH83" s="1"/>
      <c r="AI83" s="1"/>
    </row>
    <row r="84" spans="1:35" s="18" customFormat="1" x14ac:dyDescent="0.2">
      <c r="A84" s="97"/>
      <c r="B84" s="97"/>
      <c r="C84" s="97"/>
      <c r="D84" s="97"/>
      <c r="E84" s="97"/>
      <c r="F84" s="97"/>
      <c r="G84" s="1"/>
      <c r="H84" s="1"/>
      <c r="I84" s="1"/>
      <c r="J84" s="2"/>
      <c r="K84" s="1"/>
      <c r="L84" s="3"/>
      <c r="M84" s="1"/>
      <c r="AE84" s="1"/>
      <c r="AF84" s="1"/>
      <c r="AG84" s="1"/>
      <c r="AH84" s="1"/>
      <c r="AI84" s="1"/>
    </row>
    <row r="85" spans="1:35" s="18" customFormat="1" x14ac:dyDescent="0.2">
      <c r="A85" s="97"/>
      <c r="B85" s="97"/>
      <c r="C85" s="97"/>
      <c r="D85" s="97"/>
      <c r="E85" s="97"/>
      <c r="F85" s="97"/>
      <c r="G85" s="1"/>
      <c r="H85" s="1"/>
      <c r="I85" s="1"/>
      <c r="J85" s="2"/>
      <c r="K85" s="1"/>
      <c r="L85" s="3"/>
      <c r="M85" s="1"/>
      <c r="AE85" s="1"/>
      <c r="AF85" s="1"/>
      <c r="AG85" s="1"/>
      <c r="AH85" s="1"/>
      <c r="AI85" s="1"/>
    </row>
    <row r="86" spans="1:35" s="18" customFormat="1" x14ac:dyDescent="0.2">
      <c r="A86" s="97"/>
      <c r="B86" s="97"/>
      <c r="C86" s="97"/>
      <c r="D86" s="97"/>
      <c r="E86" s="97"/>
      <c r="F86" s="97"/>
      <c r="G86" s="1"/>
      <c r="H86" s="1"/>
      <c r="I86" s="1"/>
      <c r="J86" s="2"/>
      <c r="K86" s="1"/>
      <c r="L86" s="3"/>
      <c r="M86" s="1"/>
      <c r="AE86" s="1"/>
      <c r="AF86" s="1"/>
      <c r="AG86" s="1"/>
      <c r="AH86" s="1"/>
      <c r="AI86" s="1"/>
    </row>
    <row r="87" spans="1:35" s="18" customFormat="1" x14ac:dyDescent="0.2">
      <c r="A87" s="97"/>
      <c r="B87" s="97"/>
      <c r="C87" s="97"/>
      <c r="D87" s="97"/>
      <c r="E87" s="97"/>
      <c r="F87" s="97"/>
      <c r="G87" s="1"/>
      <c r="H87" s="1"/>
      <c r="I87" s="1"/>
      <c r="J87" s="2"/>
      <c r="K87" s="1"/>
      <c r="L87" s="3"/>
      <c r="M87" s="1"/>
      <c r="AE87" s="1"/>
      <c r="AF87" s="1"/>
      <c r="AG87" s="1"/>
      <c r="AH87" s="1"/>
      <c r="AI87" s="1"/>
    </row>
    <row r="88" spans="1:35" s="18" customFormat="1" x14ac:dyDescent="0.2">
      <c r="A88" s="97"/>
      <c r="B88" s="97"/>
      <c r="C88" s="97"/>
      <c r="D88" s="97"/>
      <c r="E88" s="97"/>
      <c r="F88" s="97"/>
      <c r="G88" s="1"/>
      <c r="H88" s="1"/>
      <c r="I88" s="1"/>
      <c r="J88" s="2"/>
      <c r="K88" s="1"/>
      <c r="L88" s="3"/>
      <c r="M88" s="1"/>
      <c r="AE88" s="1"/>
      <c r="AF88" s="1"/>
      <c r="AG88" s="1"/>
      <c r="AH88" s="1"/>
      <c r="AI88" s="1"/>
    </row>
    <row r="89" spans="1:35" s="18" customFormat="1" x14ac:dyDescent="0.2">
      <c r="A89" s="97"/>
      <c r="B89" s="97"/>
      <c r="C89" s="97"/>
      <c r="D89" s="97"/>
      <c r="E89" s="97"/>
      <c r="F89" s="97"/>
      <c r="G89" s="1"/>
      <c r="H89" s="1"/>
      <c r="I89" s="1"/>
      <c r="J89" s="2"/>
      <c r="K89" s="1"/>
      <c r="L89" s="3"/>
      <c r="M89" s="1"/>
      <c r="AE89" s="1"/>
      <c r="AF89" s="1"/>
      <c r="AG89" s="1"/>
      <c r="AH89" s="1"/>
      <c r="AI89" s="1"/>
    </row>
    <row r="90" spans="1:35" s="18" customFormat="1" x14ac:dyDescent="0.2">
      <c r="A90" s="97"/>
      <c r="B90" s="97"/>
      <c r="C90" s="97"/>
      <c r="D90" s="97"/>
      <c r="E90" s="97"/>
      <c r="F90" s="97"/>
      <c r="G90" s="1"/>
      <c r="H90" s="1"/>
      <c r="I90" s="1"/>
      <c r="J90" s="2"/>
      <c r="K90" s="1"/>
      <c r="L90" s="3"/>
      <c r="M90" s="1"/>
      <c r="AE90" s="1"/>
      <c r="AF90" s="1"/>
      <c r="AG90" s="1"/>
      <c r="AH90" s="1"/>
      <c r="AI90" s="1"/>
    </row>
    <row r="91" spans="1:35" s="18" customFormat="1" x14ac:dyDescent="0.2">
      <c r="A91" s="97"/>
      <c r="B91" s="97"/>
      <c r="C91" s="97"/>
      <c r="D91" s="97"/>
      <c r="E91" s="97"/>
      <c r="F91" s="97"/>
      <c r="G91" s="1"/>
      <c r="H91" s="1"/>
      <c r="I91" s="1"/>
      <c r="J91" s="2"/>
      <c r="K91" s="1"/>
      <c r="L91" s="3"/>
      <c r="M91" s="1"/>
      <c r="AE91" s="1"/>
      <c r="AF91" s="1"/>
      <c r="AG91" s="1"/>
      <c r="AH91" s="1"/>
      <c r="AI91" s="1"/>
    </row>
    <row r="92" spans="1:35" s="18" customFormat="1" x14ac:dyDescent="0.2">
      <c r="A92" s="97"/>
      <c r="B92" s="97"/>
      <c r="C92" s="97"/>
      <c r="D92" s="97"/>
      <c r="E92" s="97"/>
      <c r="F92" s="97"/>
      <c r="G92" s="1"/>
      <c r="H92" s="1"/>
      <c r="I92" s="1"/>
      <c r="J92" s="2"/>
      <c r="K92" s="1"/>
      <c r="L92" s="3"/>
      <c r="M92" s="1"/>
      <c r="AE92" s="1"/>
      <c r="AF92" s="1"/>
      <c r="AG92" s="1"/>
      <c r="AH92" s="1"/>
      <c r="AI92" s="1"/>
    </row>
    <row r="93" spans="1:35" s="18" customFormat="1" x14ac:dyDescent="0.2">
      <c r="A93" s="97"/>
      <c r="B93" s="97"/>
      <c r="C93" s="97"/>
      <c r="D93" s="97"/>
      <c r="E93" s="97"/>
      <c r="F93" s="97"/>
      <c r="G93" s="1"/>
      <c r="H93" s="1"/>
      <c r="I93" s="1"/>
      <c r="J93" s="2"/>
      <c r="K93" s="1"/>
      <c r="L93" s="3"/>
      <c r="M93" s="1"/>
      <c r="AE93" s="1"/>
      <c r="AF93" s="1"/>
      <c r="AG93" s="1"/>
      <c r="AH93" s="1"/>
      <c r="AI93" s="1"/>
    </row>
    <row r="94" spans="1:35" s="18" customFormat="1" x14ac:dyDescent="0.2">
      <c r="A94" s="97"/>
      <c r="B94" s="97"/>
      <c r="C94" s="97"/>
      <c r="D94" s="97"/>
      <c r="E94" s="97"/>
      <c r="F94" s="97"/>
      <c r="G94" s="1"/>
      <c r="H94" s="1"/>
      <c r="I94" s="1"/>
      <c r="J94" s="2"/>
      <c r="K94" s="1"/>
      <c r="L94" s="3"/>
      <c r="M94" s="1"/>
      <c r="AE94" s="1"/>
      <c r="AF94" s="1"/>
      <c r="AG94" s="1"/>
      <c r="AH94" s="1"/>
      <c r="AI94" s="1"/>
    </row>
    <row r="95" spans="1:35" s="18" customFormat="1" x14ac:dyDescent="0.2">
      <c r="A95" s="97"/>
      <c r="B95" s="97"/>
      <c r="C95" s="97"/>
      <c r="D95" s="97"/>
      <c r="E95" s="97"/>
      <c r="F95" s="97"/>
      <c r="G95" s="1"/>
      <c r="H95" s="1"/>
      <c r="I95" s="1"/>
      <c r="J95" s="2"/>
      <c r="K95" s="1"/>
      <c r="L95" s="3"/>
      <c r="M95" s="1"/>
      <c r="AE95" s="1"/>
      <c r="AF95" s="1"/>
      <c r="AG95" s="1"/>
      <c r="AH95" s="1"/>
      <c r="AI95" s="1"/>
    </row>
    <row r="96" spans="1:35" s="18" customFormat="1" x14ac:dyDescent="0.2">
      <c r="A96" s="97"/>
      <c r="B96" s="97"/>
      <c r="C96" s="97"/>
      <c r="D96" s="97"/>
      <c r="E96" s="97"/>
      <c r="F96" s="97"/>
      <c r="G96" s="1"/>
      <c r="H96" s="1"/>
      <c r="I96" s="1"/>
      <c r="J96" s="2"/>
      <c r="K96" s="1"/>
      <c r="L96" s="3"/>
      <c r="M96" s="1"/>
      <c r="AE96" s="1"/>
      <c r="AF96" s="1"/>
      <c r="AG96" s="1"/>
      <c r="AH96" s="1"/>
      <c r="AI96" s="1"/>
    </row>
    <row r="97" spans="1:35" s="18" customFormat="1" x14ac:dyDescent="0.2">
      <c r="A97" s="97"/>
      <c r="B97" s="97"/>
      <c r="C97" s="97"/>
      <c r="D97" s="97"/>
      <c r="E97" s="97"/>
      <c r="F97" s="97"/>
      <c r="G97" s="1"/>
      <c r="H97" s="1"/>
      <c r="I97" s="1"/>
      <c r="J97" s="2"/>
      <c r="K97" s="1"/>
      <c r="L97" s="3"/>
      <c r="M97" s="1"/>
      <c r="AE97" s="1"/>
      <c r="AF97" s="1"/>
      <c r="AG97" s="1"/>
      <c r="AH97" s="1"/>
      <c r="AI97" s="1"/>
    </row>
    <row r="98" spans="1:35" s="18" customFormat="1" x14ac:dyDescent="0.2">
      <c r="A98" s="97"/>
      <c r="B98" s="97"/>
      <c r="C98" s="97"/>
      <c r="D98" s="97"/>
      <c r="E98" s="97"/>
      <c r="F98" s="97"/>
      <c r="G98" s="1"/>
      <c r="H98" s="1"/>
      <c r="I98" s="1"/>
      <c r="J98" s="2"/>
      <c r="K98" s="1"/>
      <c r="L98" s="3"/>
      <c r="M98" s="1"/>
      <c r="AE98" s="1"/>
      <c r="AF98" s="1"/>
      <c r="AG98" s="1"/>
      <c r="AH98" s="1"/>
      <c r="AI98" s="1"/>
    </row>
    <row r="99" spans="1:35" s="18" customFormat="1" x14ac:dyDescent="0.2">
      <c r="A99" s="97"/>
      <c r="B99" s="97"/>
      <c r="C99" s="97"/>
      <c r="D99" s="97"/>
      <c r="E99" s="97"/>
      <c r="F99" s="97"/>
      <c r="G99" s="1"/>
      <c r="H99" s="1"/>
      <c r="I99" s="1"/>
      <c r="J99" s="2"/>
      <c r="K99" s="1"/>
      <c r="L99" s="3"/>
      <c r="M99" s="1"/>
      <c r="AE99" s="1"/>
      <c r="AF99" s="1"/>
      <c r="AG99" s="1"/>
      <c r="AH99" s="1"/>
      <c r="AI99" s="1"/>
    </row>
    <row r="100" spans="1:35" s="18" customFormat="1" x14ac:dyDescent="0.2">
      <c r="A100" s="97"/>
      <c r="B100" s="97"/>
      <c r="C100" s="97"/>
      <c r="D100" s="97"/>
      <c r="E100" s="97"/>
      <c r="F100" s="97"/>
      <c r="G100" s="1"/>
      <c r="H100" s="1"/>
      <c r="I100" s="1"/>
      <c r="J100" s="2"/>
      <c r="K100" s="1"/>
      <c r="L100" s="3"/>
      <c r="M100" s="1"/>
      <c r="AE100" s="1"/>
      <c r="AF100" s="1"/>
      <c r="AG100" s="1"/>
      <c r="AH100" s="1"/>
      <c r="AI100" s="1"/>
    </row>
    <row r="101" spans="1:35" s="18" customFormat="1" x14ac:dyDescent="0.2">
      <c r="A101" s="97"/>
      <c r="B101" s="97"/>
      <c r="C101" s="97"/>
      <c r="D101" s="97"/>
      <c r="E101" s="97"/>
      <c r="F101" s="97"/>
      <c r="G101" s="1"/>
      <c r="H101" s="1"/>
      <c r="I101" s="1"/>
      <c r="J101" s="2"/>
      <c r="K101" s="1"/>
      <c r="L101" s="3"/>
      <c r="M101" s="1"/>
      <c r="AE101" s="1"/>
      <c r="AF101" s="1"/>
      <c r="AG101" s="1"/>
      <c r="AH101" s="1"/>
      <c r="AI101" s="1"/>
    </row>
    <row r="102" spans="1:35" s="18" customFormat="1" x14ac:dyDescent="0.2">
      <c r="A102" s="97"/>
      <c r="B102" s="97"/>
      <c r="C102" s="97"/>
      <c r="D102" s="97"/>
      <c r="E102" s="97"/>
      <c r="F102" s="97"/>
      <c r="G102" s="1"/>
      <c r="H102" s="1"/>
      <c r="I102" s="1"/>
      <c r="J102" s="2"/>
      <c r="K102" s="1"/>
      <c r="L102" s="3"/>
      <c r="M102" s="1"/>
      <c r="AE102" s="1"/>
      <c r="AF102" s="1"/>
      <c r="AG102" s="1"/>
      <c r="AH102" s="1"/>
      <c r="AI102" s="1"/>
    </row>
    <row r="103" spans="1:35" s="18" customFormat="1" x14ac:dyDescent="0.2">
      <c r="A103" s="97"/>
      <c r="B103" s="97"/>
      <c r="C103" s="97"/>
      <c r="D103" s="97"/>
      <c r="E103" s="97"/>
      <c r="F103" s="97"/>
      <c r="G103" s="1"/>
      <c r="H103" s="1"/>
      <c r="I103" s="1"/>
      <c r="J103" s="2"/>
      <c r="K103" s="1"/>
      <c r="L103" s="3"/>
      <c r="M103" s="1"/>
      <c r="AE103" s="1"/>
      <c r="AF103" s="1"/>
      <c r="AG103" s="1"/>
      <c r="AH103" s="1"/>
      <c r="AI103" s="1"/>
    </row>
    <row r="104" spans="1:35" s="18" customFormat="1" x14ac:dyDescent="0.2">
      <c r="A104" s="97"/>
      <c r="B104" s="97"/>
      <c r="C104" s="97"/>
      <c r="D104" s="97"/>
      <c r="E104" s="97"/>
      <c r="F104" s="97"/>
      <c r="G104" s="1"/>
      <c r="H104" s="1"/>
      <c r="I104" s="1"/>
      <c r="J104" s="2"/>
      <c r="K104" s="1"/>
      <c r="L104" s="3"/>
      <c r="M104" s="1"/>
      <c r="AE104" s="1"/>
      <c r="AF104" s="1"/>
      <c r="AG104" s="1"/>
      <c r="AH104" s="1"/>
      <c r="AI104" s="1"/>
    </row>
    <row r="105" spans="1:35" s="18" customFormat="1" x14ac:dyDescent="0.2">
      <c r="A105" s="97"/>
      <c r="B105" s="97"/>
      <c r="C105" s="97"/>
      <c r="D105" s="97"/>
      <c r="E105" s="97"/>
      <c r="F105" s="97"/>
      <c r="G105" s="1"/>
      <c r="H105" s="1"/>
      <c r="I105" s="1"/>
      <c r="J105" s="2"/>
      <c r="K105" s="1"/>
      <c r="L105" s="3"/>
      <c r="M105" s="1"/>
      <c r="AE105" s="1"/>
      <c r="AF105" s="1"/>
      <c r="AG105" s="1"/>
      <c r="AH105" s="1"/>
      <c r="AI105" s="1"/>
    </row>
    <row r="106" spans="1:35" s="18" customFormat="1" x14ac:dyDescent="0.2">
      <c r="A106" s="97"/>
      <c r="B106" s="97"/>
      <c r="C106" s="97"/>
      <c r="D106" s="97"/>
      <c r="E106" s="97"/>
      <c r="F106" s="97"/>
      <c r="G106" s="1"/>
      <c r="H106" s="1"/>
      <c r="I106" s="1"/>
      <c r="J106" s="2"/>
      <c r="K106" s="1"/>
      <c r="L106" s="3"/>
      <c r="M106" s="1"/>
      <c r="AE106" s="1"/>
      <c r="AF106" s="1"/>
      <c r="AG106" s="1"/>
      <c r="AH106" s="1"/>
      <c r="AI106" s="1"/>
    </row>
    <row r="107" spans="1:35" s="18" customFormat="1" x14ac:dyDescent="0.2">
      <c r="A107" s="97"/>
      <c r="B107" s="97"/>
      <c r="C107" s="97"/>
      <c r="D107" s="97"/>
      <c r="E107" s="97"/>
      <c r="F107" s="97"/>
      <c r="G107" s="1"/>
      <c r="H107" s="1"/>
      <c r="I107" s="1"/>
      <c r="J107" s="2"/>
      <c r="K107" s="1"/>
      <c r="L107" s="3"/>
      <c r="M107" s="1"/>
      <c r="AE107" s="1"/>
      <c r="AF107" s="1"/>
      <c r="AG107" s="1"/>
      <c r="AH107" s="1"/>
      <c r="AI107" s="1"/>
    </row>
    <row r="108" spans="1:35" s="18" customFormat="1" x14ac:dyDescent="0.2">
      <c r="A108" s="97"/>
      <c r="B108" s="97"/>
      <c r="C108" s="97"/>
      <c r="D108" s="97"/>
      <c r="E108" s="97"/>
      <c r="F108" s="97"/>
      <c r="G108" s="1"/>
      <c r="H108" s="1"/>
      <c r="I108" s="1"/>
      <c r="J108" s="2"/>
      <c r="K108" s="1"/>
      <c r="L108" s="3"/>
      <c r="M108" s="1"/>
      <c r="AE108" s="1"/>
      <c r="AF108" s="1"/>
      <c r="AG108" s="1"/>
      <c r="AH108" s="1"/>
      <c r="AI108" s="1"/>
    </row>
    <row r="109" spans="1:35" s="18" customFormat="1" x14ac:dyDescent="0.2">
      <c r="A109" s="97"/>
      <c r="B109" s="97"/>
      <c r="C109" s="97"/>
      <c r="D109" s="97"/>
      <c r="E109" s="97"/>
      <c r="F109" s="97"/>
      <c r="G109" s="1"/>
      <c r="H109" s="1"/>
      <c r="I109" s="1"/>
      <c r="J109" s="2"/>
      <c r="K109" s="1"/>
      <c r="L109" s="3"/>
      <c r="M109" s="1"/>
      <c r="AE109" s="1"/>
      <c r="AF109" s="1"/>
      <c r="AG109" s="1"/>
      <c r="AH109" s="1"/>
      <c r="AI109" s="1"/>
    </row>
    <row r="110" spans="1:35" s="18" customFormat="1" x14ac:dyDescent="0.2">
      <c r="A110" s="97"/>
      <c r="B110" s="97"/>
      <c r="C110" s="97"/>
      <c r="D110" s="97"/>
      <c r="E110" s="97"/>
      <c r="F110" s="97"/>
      <c r="G110" s="1"/>
      <c r="H110" s="1"/>
      <c r="I110" s="1"/>
      <c r="J110" s="2"/>
      <c r="K110" s="1"/>
      <c r="L110" s="3"/>
      <c r="M110" s="1"/>
      <c r="AE110" s="1"/>
      <c r="AF110" s="1"/>
      <c r="AG110" s="1"/>
      <c r="AH110" s="1"/>
      <c r="AI110" s="1"/>
    </row>
    <row r="111" spans="1:35" s="18" customFormat="1" x14ac:dyDescent="0.2">
      <c r="A111" s="97"/>
      <c r="B111" s="97"/>
      <c r="C111" s="97"/>
      <c r="D111" s="97"/>
      <c r="E111" s="97"/>
      <c r="F111" s="97"/>
      <c r="G111" s="1"/>
      <c r="H111" s="1"/>
      <c r="I111" s="1"/>
      <c r="J111" s="2"/>
      <c r="K111" s="1"/>
      <c r="L111" s="3"/>
      <c r="M111" s="1"/>
      <c r="AE111" s="1"/>
      <c r="AF111" s="1"/>
      <c r="AG111" s="1"/>
      <c r="AH111" s="1"/>
      <c r="AI111" s="1"/>
    </row>
    <row r="112" spans="1:35" s="18" customFormat="1" x14ac:dyDescent="0.2">
      <c r="A112" s="97"/>
      <c r="B112" s="97"/>
      <c r="C112" s="97"/>
      <c r="D112" s="97"/>
      <c r="E112" s="97"/>
      <c r="F112" s="97"/>
      <c r="G112" s="1"/>
      <c r="H112" s="1"/>
      <c r="I112" s="1"/>
      <c r="J112" s="2"/>
      <c r="K112" s="1"/>
      <c r="L112" s="3"/>
      <c r="M112" s="1"/>
      <c r="AE112" s="1"/>
      <c r="AF112" s="1"/>
      <c r="AG112" s="1"/>
      <c r="AH112" s="1"/>
      <c r="AI112" s="1"/>
    </row>
    <row r="113" spans="1:35" s="18" customFormat="1" x14ac:dyDescent="0.2">
      <c r="A113" s="97"/>
      <c r="B113" s="97"/>
      <c r="C113" s="97"/>
      <c r="D113" s="97"/>
      <c r="E113" s="97"/>
      <c r="F113" s="97"/>
      <c r="G113" s="1"/>
      <c r="H113" s="1"/>
      <c r="I113" s="1"/>
      <c r="J113" s="2"/>
      <c r="K113" s="1"/>
      <c r="L113" s="3"/>
      <c r="M113" s="1"/>
      <c r="AE113" s="1"/>
      <c r="AF113" s="1"/>
      <c r="AG113" s="1"/>
      <c r="AH113" s="1"/>
      <c r="AI113" s="1"/>
    </row>
    <row r="114" spans="1:35" s="18" customFormat="1" x14ac:dyDescent="0.2">
      <c r="A114" s="97"/>
      <c r="B114" s="97"/>
      <c r="C114" s="97"/>
      <c r="D114" s="97"/>
      <c r="E114" s="97"/>
      <c r="F114" s="97"/>
      <c r="G114" s="1"/>
      <c r="H114" s="1"/>
      <c r="I114" s="1"/>
      <c r="J114" s="2"/>
      <c r="K114" s="1"/>
      <c r="L114" s="3"/>
      <c r="M114" s="1"/>
      <c r="AE114" s="1"/>
      <c r="AF114" s="1"/>
      <c r="AG114" s="1"/>
      <c r="AH114" s="1"/>
      <c r="AI114" s="1"/>
    </row>
    <row r="115" spans="1:35" s="18" customFormat="1" x14ac:dyDescent="0.2">
      <c r="A115" s="97"/>
      <c r="B115" s="97"/>
      <c r="C115" s="97"/>
      <c r="D115" s="97"/>
      <c r="E115" s="97"/>
      <c r="F115" s="97"/>
      <c r="G115" s="1"/>
      <c r="H115" s="1"/>
      <c r="I115" s="1"/>
      <c r="J115" s="2"/>
      <c r="K115" s="1"/>
      <c r="L115" s="3"/>
      <c r="M115" s="1"/>
      <c r="AE115" s="1"/>
      <c r="AF115" s="1"/>
      <c r="AG115" s="1"/>
      <c r="AH115" s="1"/>
      <c r="AI115" s="1"/>
    </row>
    <row r="116" spans="1:35" s="18" customFormat="1" x14ac:dyDescent="0.2">
      <c r="A116" s="97"/>
      <c r="B116" s="97"/>
      <c r="C116" s="97"/>
      <c r="D116" s="97"/>
      <c r="E116" s="97"/>
      <c r="F116" s="97"/>
      <c r="G116" s="1"/>
      <c r="H116" s="1"/>
      <c r="I116" s="1"/>
      <c r="J116" s="2"/>
      <c r="K116" s="1"/>
      <c r="L116" s="3"/>
      <c r="M116" s="1"/>
      <c r="AE116" s="1"/>
      <c r="AF116" s="1"/>
      <c r="AG116" s="1"/>
      <c r="AH116" s="1"/>
      <c r="AI116" s="1"/>
    </row>
    <row r="117" spans="1:35" s="18" customFormat="1" x14ac:dyDescent="0.2">
      <c r="A117" s="97"/>
      <c r="B117" s="97"/>
      <c r="C117" s="97"/>
      <c r="D117" s="97"/>
      <c r="E117" s="97"/>
      <c r="F117" s="97"/>
      <c r="G117" s="1"/>
      <c r="H117" s="1"/>
      <c r="I117" s="1"/>
      <c r="J117" s="2"/>
      <c r="K117" s="1"/>
      <c r="L117" s="3"/>
      <c r="M117" s="1"/>
      <c r="AE117" s="1"/>
      <c r="AF117" s="1"/>
      <c r="AG117" s="1"/>
      <c r="AH117" s="1"/>
      <c r="AI117" s="1"/>
    </row>
    <row r="118" spans="1:35" s="18" customFormat="1" x14ac:dyDescent="0.2">
      <c r="A118" s="97"/>
      <c r="B118" s="97"/>
      <c r="C118" s="97"/>
      <c r="D118" s="97"/>
      <c r="E118" s="97"/>
      <c r="F118" s="97"/>
      <c r="G118" s="1"/>
      <c r="H118" s="1"/>
      <c r="I118" s="1"/>
      <c r="J118" s="2"/>
      <c r="K118" s="1"/>
      <c r="L118" s="3"/>
      <c r="M118" s="1"/>
      <c r="AE118" s="1"/>
      <c r="AF118" s="1"/>
      <c r="AG118" s="1"/>
      <c r="AH118" s="1"/>
      <c r="AI118" s="1"/>
    </row>
    <row r="119" spans="1:35" s="18" customFormat="1" x14ac:dyDescent="0.2">
      <c r="A119" s="97"/>
      <c r="B119" s="97"/>
      <c r="C119" s="97"/>
      <c r="D119" s="97"/>
      <c r="E119" s="97"/>
      <c r="F119" s="97"/>
      <c r="G119" s="1"/>
      <c r="H119" s="1"/>
      <c r="I119" s="1"/>
      <c r="J119" s="2"/>
      <c r="K119" s="1"/>
      <c r="L119" s="3"/>
      <c r="M119" s="1"/>
      <c r="AE119" s="1"/>
      <c r="AF119" s="1"/>
      <c r="AG119" s="1"/>
      <c r="AH119" s="1"/>
      <c r="AI119" s="1"/>
    </row>
    <row r="120" spans="1:35" s="18" customFormat="1" x14ac:dyDescent="0.2">
      <c r="A120" s="97"/>
      <c r="B120" s="97"/>
      <c r="C120" s="97"/>
      <c r="D120" s="97"/>
      <c r="E120" s="97"/>
      <c r="F120" s="97"/>
      <c r="G120" s="1"/>
      <c r="H120" s="1"/>
      <c r="I120" s="1"/>
      <c r="J120" s="2"/>
      <c r="K120" s="1"/>
      <c r="L120" s="3"/>
      <c r="M120" s="1"/>
      <c r="AE120" s="1"/>
      <c r="AF120" s="1"/>
      <c r="AG120" s="1"/>
      <c r="AH120" s="1"/>
      <c r="AI120" s="1"/>
    </row>
    <row r="121" spans="1:35" s="18" customFormat="1" x14ac:dyDescent="0.2">
      <c r="A121" s="97"/>
      <c r="B121" s="97"/>
      <c r="C121" s="97"/>
      <c r="D121" s="97"/>
      <c r="E121" s="97"/>
      <c r="F121" s="97"/>
      <c r="G121" s="1"/>
      <c r="H121" s="1"/>
      <c r="I121" s="1"/>
      <c r="J121" s="2"/>
      <c r="K121" s="1"/>
      <c r="L121" s="3"/>
      <c r="M121" s="1"/>
      <c r="AE121" s="1"/>
      <c r="AF121" s="1"/>
      <c r="AG121" s="1"/>
      <c r="AH121" s="1"/>
      <c r="AI121" s="1"/>
    </row>
    <row r="122" spans="1:35" s="18" customFormat="1" x14ac:dyDescent="0.2">
      <c r="A122" s="97"/>
      <c r="B122" s="97"/>
      <c r="C122" s="97"/>
      <c r="D122" s="97"/>
      <c r="E122" s="97"/>
      <c r="F122" s="97"/>
      <c r="G122" s="1"/>
      <c r="H122" s="1"/>
      <c r="I122" s="1"/>
      <c r="J122" s="2"/>
      <c r="K122" s="1"/>
      <c r="L122" s="3"/>
      <c r="M122" s="1"/>
      <c r="AE122" s="1"/>
      <c r="AF122" s="1"/>
      <c r="AG122" s="1"/>
      <c r="AH122" s="1"/>
      <c r="AI122" s="1"/>
    </row>
    <row r="123" spans="1:35" s="18" customFormat="1" x14ac:dyDescent="0.2">
      <c r="A123" s="97"/>
      <c r="B123" s="97"/>
      <c r="C123" s="97"/>
      <c r="D123" s="97"/>
      <c r="E123" s="97"/>
      <c r="F123" s="97"/>
      <c r="G123" s="1"/>
      <c r="H123" s="1"/>
      <c r="I123" s="1"/>
      <c r="J123" s="2"/>
      <c r="K123" s="1"/>
      <c r="L123" s="3"/>
      <c r="M123" s="1"/>
      <c r="AE123" s="1"/>
      <c r="AF123" s="1"/>
      <c r="AG123" s="1"/>
      <c r="AH123" s="1"/>
      <c r="AI123" s="1"/>
    </row>
    <row r="124" spans="1:35" s="18" customFormat="1" x14ac:dyDescent="0.2">
      <c r="A124" s="97"/>
      <c r="B124" s="97"/>
      <c r="C124" s="97"/>
      <c r="D124" s="97"/>
      <c r="E124" s="97"/>
      <c r="F124" s="97"/>
      <c r="G124" s="1"/>
      <c r="H124" s="1"/>
      <c r="I124" s="1"/>
      <c r="J124" s="2"/>
      <c r="K124" s="1"/>
      <c r="L124" s="3"/>
      <c r="M124" s="1"/>
      <c r="AE124" s="1"/>
      <c r="AF124" s="1"/>
      <c r="AG124" s="1"/>
      <c r="AH124" s="1"/>
      <c r="AI124" s="1"/>
    </row>
    <row r="125" spans="1:35" s="18" customFormat="1" x14ac:dyDescent="0.2">
      <c r="A125" s="97"/>
      <c r="B125" s="97"/>
      <c r="C125" s="97"/>
      <c r="D125" s="97"/>
      <c r="E125" s="97"/>
      <c r="F125" s="97"/>
      <c r="G125" s="1"/>
      <c r="H125" s="1"/>
      <c r="I125" s="1"/>
      <c r="J125" s="2"/>
      <c r="K125" s="1"/>
      <c r="L125" s="3"/>
      <c r="M125" s="1"/>
      <c r="AE125" s="1"/>
      <c r="AF125" s="1"/>
      <c r="AG125" s="1"/>
      <c r="AH125" s="1"/>
      <c r="AI125" s="1"/>
    </row>
    <row r="126" spans="1:35" s="18" customFormat="1" x14ac:dyDescent="0.2">
      <c r="A126" s="97"/>
      <c r="B126" s="97"/>
      <c r="C126" s="97"/>
      <c r="D126" s="97"/>
      <c r="E126" s="97"/>
      <c r="F126" s="97"/>
      <c r="G126" s="1"/>
      <c r="H126" s="1"/>
      <c r="I126" s="1"/>
      <c r="J126" s="2"/>
      <c r="K126" s="1"/>
      <c r="L126" s="3"/>
      <c r="M126" s="1"/>
      <c r="AE126" s="1"/>
      <c r="AF126" s="1"/>
      <c r="AG126" s="1"/>
      <c r="AH126" s="1"/>
      <c r="AI126" s="1"/>
    </row>
    <row r="127" spans="1:35" s="18" customFormat="1" x14ac:dyDescent="0.2">
      <c r="A127" s="97"/>
      <c r="B127" s="97"/>
      <c r="C127" s="97"/>
      <c r="D127" s="97"/>
      <c r="E127" s="97"/>
      <c r="F127" s="97"/>
      <c r="G127" s="1"/>
      <c r="H127" s="1"/>
      <c r="I127" s="1"/>
      <c r="J127" s="2"/>
      <c r="K127" s="1"/>
      <c r="L127" s="3"/>
      <c r="M127" s="1"/>
      <c r="AE127" s="1"/>
      <c r="AF127" s="1"/>
      <c r="AG127" s="1"/>
      <c r="AH127" s="1"/>
      <c r="AI127" s="1"/>
    </row>
    <row r="128" spans="1:35" s="18" customFormat="1" x14ac:dyDescent="0.2">
      <c r="A128" s="97"/>
      <c r="B128" s="97"/>
      <c r="C128" s="97"/>
      <c r="D128" s="97"/>
      <c r="E128" s="97"/>
      <c r="F128" s="97"/>
      <c r="G128" s="1"/>
      <c r="H128" s="1"/>
      <c r="I128" s="1"/>
      <c r="J128" s="2"/>
      <c r="K128" s="1"/>
      <c r="L128" s="3"/>
      <c r="M128" s="1"/>
      <c r="AE128" s="1"/>
      <c r="AF128" s="1"/>
      <c r="AG128" s="1"/>
      <c r="AH128" s="1"/>
      <c r="AI128" s="1"/>
    </row>
    <row r="129" spans="1:35" s="18" customFormat="1" x14ac:dyDescent="0.2">
      <c r="A129" s="97"/>
      <c r="B129" s="97"/>
      <c r="C129" s="97"/>
      <c r="D129" s="97"/>
      <c r="E129" s="97"/>
      <c r="F129" s="97"/>
      <c r="G129" s="1"/>
      <c r="H129" s="1"/>
      <c r="I129" s="1"/>
      <c r="J129" s="2"/>
      <c r="K129" s="1"/>
      <c r="L129" s="3"/>
      <c r="M129" s="1"/>
      <c r="AE129" s="1"/>
      <c r="AF129" s="1"/>
      <c r="AG129" s="1"/>
      <c r="AH129" s="1"/>
      <c r="AI129" s="1"/>
    </row>
    <row r="130" spans="1:35" s="18" customFormat="1" x14ac:dyDescent="0.2">
      <c r="A130" s="97"/>
      <c r="B130" s="97"/>
      <c r="C130" s="97"/>
      <c r="D130" s="97"/>
      <c r="E130" s="97"/>
      <c r="F130" s="97"/>
      <c r="G130" s="1"/>
      <c r="H130" s="1"/>
      <c r="I130" s="1"/>
      <c r="J130" s="2"/>
      <c r="K130" s="1"/>
      <c r="L130" s="3"/>
      <c r="M130" s="1"/>
      <c r="AE130" s="1"/>
      <c r="AF130" s="1"/>
      <c r="AG130" s="1"/>
      <c r="AH130" s="1"/>
      <c r="AI130" s="1"/>
    </row>
    <row r="131" spans="1:35" s="18" customFormat="1" x14ac:dyDescent="0.2">
      <c r="A131" s="97"/>
      <c r="B131" s="97"/>
      <c r="C131" s="97"/>
      <c r="D131" s="97"/>
      <c r="E131" s="97"/>
      <c r="F131" s="97"/>
      <c r="G131" s="1"/>
      <c r="H131" s="1"/>
      <c r="I131" s="1"/>
      <c r="J131" s="2"/>
      <c r="K131" s="1"/>
      <c r="L131" s="3"/>
      <c r="M131" s="1"/>
      <c r="AE131" s="1"/>
      <c r="AF131" s="1"/>
      <c r="AG131" s="1"/>
      <c r="AH131" s="1"/>
      <c r="AI131" s="1"/>
    </row>
    <row r="132" spans="1:35" s="18" customFormat="1" x14ac:dyDescent="0.2">
      <c r="A132" s="97"/>
      <c r="B132" s="97"/>
      <c r="C132" s="97"/>
      <c r="D132" s="97"/>
      <c r="E132" s="97"/>
      <c r="F132" s="97"/>
      <c r="G132" s="1"/>
      <c r="H132" s="1"/>
      <c r="I132" s="1"/>
      <c r="J132" s="2"/>
      <c r="K132" s="1"/>
      <c r="L132" s="3"/>
      <c r="M132" s="1"/>
      <c r="AE132" s="1"/>
      <c r="AF132" s="1"/>
      <c r="AG132" s="1"/>
      <c r="AH132" s="1"/>
      <c r="AI132" s="1"/>
    </row>
    <row r="133" spans="1:35" s="18" customFormat="1" x14ac:dyDescent="0.2">
      <c r="A133" s="97"/>
      <c r="B133" s="97"/>
      <c r="C133" s="97"/>
      <c r="D133" s="97"/>
      <c r="E133" s="97"/>
      <c r="F133" s="97"/>
      <c r="G133" s="1"/>
      <c r="H133" s="1"/>
      <c r="I133" s="1"/>
      <c r="J133" s="2"/>
      <c r="K133" s="1"/>
      <c r="L133" s="3"/>
      <c r="M133" s="1"/>
      <c r="AE133" s="1"/>
      <c r="AF133" s="1"/>
      <c r="AG133" s="1"/>
      <c r="AH133" s="1"/>
      <c r="AI133" s="1"/>
    </row>
    <row r="134" spans="1:35" s="18" customFormat="1" x14ac:dyDescent="0.2">
      <c r="A134" s="97"/>
      <c r="B134" s="97"/>
      <c r="C134" s="97"/>
      <c r="D134" s="97"/>
      <c r="E134" s="97"/>
      <c r="F134" s="97"/>
      <c r="G134" s="1"/>
      <c r="H134" s="1"/>
      <c r="I134" s="1"/>
      <c r="J134" s="2"/>
      <c r="K134" s="1"/>
      <c r="L134" s="3"/>
      <c r="M134" s="1"/>
      <c r="AE134" s="1"/>
      <c r="AF134" s="1"/>
      <c r="AG134" s="1"/>
      <c r="AH134" s="1"/>
      <c r="AI134" s="1"/>
    </row>
    <row r="135" spans="1:35" s="18" customFormat="1" x14ac:dyDescent="0.2">
      <c r="A135" s="97"/>
      <c r="B135" s="97"/>
      <c r="C135" s="97"/>
      <c r="D135" s="97"/>
      <c r="E135" s="97"/>
      <c r="F135" s="97"/>
      <c r="G135" s="1"/>
      <c r="H135" s="1"/>
      <c r="I135" s="1"/>
      <c r="J135" s="2"/>
      <c r="K135" s="1"/>
      <c r="L135" s="3"/>
      <c r="M135" s="1"/>
      <c r="AE135" s="1"/>
      <c r="AF135" s="1"/>
      <c r="AG135" s="1"/>
      <c r="AH135" s="1"/>
      <c r="AI135" s="1"/>
    </row>
    <row r="136" spans="1:35" s="18" customFormat="1" x14ac:dyDescent="0.2">
      <c r="A136" s="97"/>
      <c r="B136" s="97"/>
      <c r="C136" s="97"/>
      <c r="D136" s="97"/>
      <c r="E136" s="97"/>
      <c r="F136" s="97"/>
      <c r="G136" s="1"/>
      <c r="H136" s="1"/>
      <c r="I136" s="1"/>
      <c r="J136" s="2"/>
      <c r="K136" s="1"/>
      <c r="L136" s="3"/>
      <c r="M136" s="1"/>
      <c r="AE136" s="1"/>
      <c r="AF136" s="1"/>
      <c r="AG136" s="1"/>
      <c r="AH136" s="1"/>
      <c r="AI136" s="1"/>
    </row>
    <row r="137" spans="1:35" s="18" customFormat="1" x14ac:dyDescent="0.2">
      <c r="A137" s="97"/>
      <c r="B137" s="97"/>
      <c r="C137" s="97"/>
      <c r="D137" s="97"/>
      <c r="E137" s="97"/>
      <c r="F137" s="97"/>
      <c r="G137" s="1"/>
      <c r="H137" s="1"/>
      <c r="I137" s="1"/>
      <c r="J137" s="2"/>
      <c r="K137" s="1"/>
      <c r="L137" s="3"/>
      <c r="M137" s="1"/>
      <c r="AE137" s="1"/>
      <c r="AF137" s="1"/>
      <c r="AG137" s="1"/>
      <c r="AH137" s="1"/>
      <c r="AI137" s="1"/>
    </row>
    <row r="138" spans="1:35" s="18" customFormat="1" x14ac:dyDescent="0.2">
      <c r="A138" s="97"/>
      <c r="B138" s="97"/>
      <c r="C138" s="97"/>
      <c r="D138" s="97"/>
      <c r="E138" s="97"/>
      <c r="F138" s="97"/>
      <c r="G138" s="1"/>
      <c r="H138" s="1"/>
      <c r="I138" s="1"/>
      <c r="J138" s="2"/>
      <c r="K138" s="1"/>
      <c r="L138" s="3"/>
      <c r="M138" s="1"/>
      <c r="AE138" s="1"/>
      <c r="AF138" s="1"/>
      <c r="AG138" s="1"/>
      <c r="AH138" s="1"/>
      <c r="AI138" s="1"/>
    </row>
    <row r="139" spans="1:35" s="18" customFormat="1" x14ac:dyDescent="0.2">
      <c r="A139" s="97"/>
      <c r="B139" s="97"/>
      <c r="C139" s="97"/>
      <c r="D139" s="97"/>
      <c r="E139" s="97"/>
      <c r="F139" s="97"/>
      <c r="G139" s="1"/>
      <c r="H139" s="1"/>
      <c r="I139" s="1"/>
      <c r="J139" s="2"/>
      <c r="K139" s="1"/>
      <c r="L139" s="3"/>
      <c r="M139" s="1"/>
      <c r="AE139" s="1"/>
      <c r="AF139" s="1"/>
      <c r="AG139" s="1"/>
      <c r="AH139" s="1"/>
      <c r="AI139" s="1"/>
    </row>
    <row r="140" spans="1:35" s="18" customFormat="1" x14ac:dyDescent="0.2">
      <c r="A140" s="97"/>
      <c r="B140" s="97"/>
      <c r="C140" s="97"/>
      <c r="D140" s="97"/>
      <c r="E140" s="97"/>
      <c r="F140" s="97"/>
      <c r="G140" s="1"/>
      <c r="H140" s="1"/>
      <c r="I140" s="1"/>
      <c r="J140" s="2"/>
      <c r="K140" s="1"/>
      <c r="L140" s="3"/>
      <c r="M140" s="1"/>
      <c r="AE140" s="1"/>
      <c r="AF140" s="1"/>
      <c r="AG140" s="1"/>
      <c r="AH140" s="1"/>
      <c r="AI140" s="1"/>
    </row>
    <row r="141" spans="1:35" s="18" customFormat="1" x14ac:dyDescent="0.2">
      <c r="A141" s="97"/>
      <c r="B141" s="97"/>
      <c r="C141" s="97"/>
      <c r="D141" s="97"/>
      <c r="E141" s="97"/>
      <c r="F141" s="97"/>
      <c r="G141" s="1"/>
      <c r="H141" s="1"/>
      <c r="I141" s="1"/>
      <c r="J141" s="2"/>
      <c r="K141" s="1"/>
      <c r="L141" s="3"/>
      <c r="M141" s="1"/>
      <c r="AE141" s="1"/>
      <c r="AF141" s="1"/>
      <c r="AG141" s="1"/>
      <c r="AH141" s="1"/>
      <c r="AI141" s="1"/>
    </row>
    <row r="142" spans="1:35" s="18" customFormat="1" x14ac:dyDescent="0.2">
      <c r="A142" s="97"/>
      <c r="B142" s="97"/>
      <c r="C142" s="97"/>
      <c r="D142" s="97"/>
      <c r="E142" s="97"/>
      <c r="F142" s="97"/>
      <c r="G142" s="1"/>
      <c r="H142" s="1"/>
      <c r="I142" s="1"/>
      <c r="J142" s="2"/>
      <c r="K142" s="1"/>
      <c r="L142" s="3"/>
      <c r="M142" s="1"/>
      <c r="AE142" s="1"/>
      <c r="AF142" s="1"/>
      <c r="AG142" s="1"/>
      <c r="AH142" s="1"/>
      <c r="AI142" s="1"/>
    </row>
    <row r="143" spans="1:35" s="18" customFormat="1" x14ac:dyDescent="0.2">
      <c r="A143" s="97"/>
      <c r="B143" s="97"/>
      <c r="C143" s="97"/>
      <c r="D143" s="97"/>
      <c r="E143" s="97"/>
      <c r="F143" s="97"/>
      <c r="G143" s="1"/>
      <c r="H143" s="1"/>
      <c r="I143" s="1"/>
      <c r="J143" s="2"/>
      <c r="K143" s="1"/>
      <c r="L143" s="3"/>
      <c r="M143" s="1"/>
      <c r="AE143" s="1"/>
      <c r="AF143" s="1"/>
      <c r="AG143" s="1"/>
      <c r="AH143" s="1"/>
      <c r="AI143" s="1"/>
    </row>
    <row r="144" spans="1:35" s="18" customFormat="1" x14ac:dyDescent="0.2">
      <c r="A144" s="97"/>
      <c r="B144" s="97"/>
      <c r="C144" s="97"/>
      <c r="D144" s="97"/>
      <c r="E144" s="97"/>
      <c r="F144" s="97"/>
      <c r="G144" s="1"/>
      <c r="H144" s="1"/>
      <c r="I144" s="1"/>
      <c r="J144" s="2"/>
      <c r="K144" s="1"/>
      <c r="L144" s="3"/>
      <c r="M144" s="1"/>
      <c r="AE144" s="1"/>
      <c r="AF144" s="1"/>
      <c r="AG144" s="1"/>
      <c r="AH144" s="1"/>
      <c r="AI144" s="1"/>
    </row>
    <row r="145" spans="1:35" s="18" customFormat="1" x14ac:dyDescent="0.2">
      <c r="A145" s="97"/>
      <c r="B145" s="97"/>
      <c r="C145" s="97"/>
      <c r="D145" s="97"/>
      <c r="E145" s="97"/>
      <c r="F145" s="97"/>
      <c r="G145" s="1"/>
      <c r="H145" s="1"/>
      <c r="I145" s="1"/>
      <c r="J145" s="2"/>
      <c r="K145" s="1"/>
      <c r="L145" s="3"/>
      <c r="M145" s="1"/>
      <c r="AE145" s="1"/>
      <c r="AF145" s="1"/>
      <c r="AG145" s="1"/>
      <c r="AH145" s="1"/>
      <c r="AI145" s="1"/>
    </row>
    <row r="146" spans="1:35" s="18" customFormat="1" x14ac:dyDescent="0.2">
      <c r="A146" s="97"/>
      <c r="B146" s="97"/>
      <c r="C146" s="97"/>
      <c r="D146" s="97"/>
      <c r="E146" s="97"/>
      <c r="F146" s="97"/>
      <c r="G146" s="1"/>
      <c r="H146" s="1"/>
      <c r="I146" s="1"/>
      <c r="J146" s="2"/>
      <c r="K146" s="1"/>
      <c r="L146" s="3"/>
      <c r="M146" s="1"/>
      <c r="AE146" s="1"/>
      <c r="AF146" s="1"/>
      <c r="AG146" s="1"/>
      <c r="AH146" s="1"/>
      <c r="AI146" s="1"/>
    </row>
    <row r="147" spans="1:35" s="18" customFormat="1" x14ac:dyDescent="0.2">
      <c r="A147" s="97"/>
      <c r="B147" s="97"/>
      <c r="C147" s="97"/>
      <c r="D147" s="97"/>
      <c r="E147" s="97"/>
      <c r="F147" s="97"/>
      <c r="G147" s="1"/>
      <c r="H147" s="1"/>
      <c r="I147" s="1"/>
      <c r="J147" s="2"/>
      <c r="K147" s="1"/>
      <c r="L147" s="3"/>
      <c r="M147" s="1"/>
      <c r="AE147" s="1"/>
      <c r="AF147" s="1"/>
      <c r="AG147" s="1"/>
      <c r="AH147" s="1"/>
      <c r="AI147" s="1"/>
    </row>
    <row r="148" spans="1:35" s="18" customFormat="1" x14ac:dyDescent="0.2">
      <c r="A148" s="97"/>
      <c r="B148" s="97"/>
      <c r="C148" s="97"/>
      <c r="D148" s="97"/>
      <c r="E148" s="97"/>
      <c r="F148" s="97"/>
      <c r="G148" s="1"/>
      <c r="H148" s="1"/>
      <c r="I148" s="1"/>
      <c r="J148" s="2"/>
      <c r="K148" s="1"/>
      <c r="L148" s="3"/>
      <c r="M148" s="1"/>
      <c r="AE148" s="1"/>
      <c r="AF148" s="1"/>
      <c r="AG148" s="1"/>
      <c r="AH148" s="1"/>
      <c r="AI148" s="1"/>
    </row>
    <row r="149" spans="1:35" s="18" customFormat="1" x14ac:dyDescent="0.2">
      <c r="A149" s="97"/>
      <c r="B149" s="97"/>
      <c r="C149" s="97"/>
      <c r="D149" s="97"/>
      <c r="E149" s="97"/>
      <c r="F149" s="97"/>
      <c r="G149" s="1"/>
      <c r="H149" s="1"/>
      <c r="I149" s="1"/>
      <c r="J149" s="2"/>
      <c r="K149" s="1"/>
      <c r="L149" s="3"/>
      <c r="M149" s="1"/>
      <c r="AE149" s="1"/>
      <c r="AF149" s="1"/>
      <c r="AG149" s="1"/>
      <c r="AH149" s="1"/>
      <c r="AI149" s="1"/>
    </row>
    <row r="150" spans="1:35" s="18" customFormat="1" x14ac:dyDescent="0.2">
      <c r="A150" s="97"/>
      <c r="B150" s="97"/>
      <c r="C150" s="97"/>
      <c r="D150" s="97"/>
      <c r="E150" s="97"/>
      <c r="F150" s="97"/>
      <c r="G150" s="1"/>
      <c r="H150" s="1"/>
      <c r="I150" s="1"/>
      <c r="J150" s="2"/>
      <c r="K150" s="1"/>
      <c r="L150" s="3"/>
      <c r="M150" s="1"/>
      <c r="AE150" s="1"/>
      <c r="AF150" s="1"/>
      <c r="AG150" s="1"/>
      <c r="AH150" s="1"/>
      <c r="AI150" s="1"/>
    </row>
    <row r="151" spans="1:35" s="18" customFormat="1" x14ac:dyDescent="0.2">
      <c r="A151" s="97"/>
      <c r="B151" s="97"/>
      <c r="C151" s="97"/>
      <c r="D151" s="97"/>
      <c r="E151" s="97"/>
      <c r="F151" s="97"/>
      <c r="G151" s="1"/>
      <c r="H151" s="1"/>
      <c r="I151" s="1"/>
      <c r="J151" s="2"/>
      <c r="K151" s="1"/>
      <c r="L151" s="3"/>
      <c r="M151" s="1"/>
      <c r="AE151" s="1"/>
      <c r="AF151" s="1"/>
      <c r="AG151" s="1"/>
      <c r="AH151" s="1"/>
      <c r="AI151" s="1"/>
    </row>
    <row r="152" spans="1:35" s="18" customFormat="1" x14ac:dyDescent="0.2">
      <c r="A152" s="97"/>
      <c r="B152" s="97"/>
      <c r="C152" s="97"/>
      <c r="D152" s="97"/>
      <c r="E152" s="97"/>
      <c r="F152" s="97"/>
      <c r="G152" s="1"/>
      <c r="H152" s="1"/>
      <c r="I152" s="1"/>
      <c r="J152" s="2"/>
      <c r="K152" s="1"/>
      <c r="L152" s="3"/>
      <c r="M152" s="1"/>
      <c r="AE152" s="1"/>
      <c r="AF152" s="1"/>
      <c r="AG152" s="1"/>
      <c r="AH152" s="1"/>
      <c r="AI152" s="1"/>
    </row>
    <row r="153" spans="1:35" s="18" customFormat="1" x14ac:dyDescent="0.2">
      <c r="A153" s="97"/>
      <c r="B153" s="97"/>
      <c r="C153" s="97"/>
      <c r="D153" s="97"/>
      <c r="E153" s="97"/>
      <c r="F153" s="97"/>
      <c r="G153" s="1"/>
      <c r="H153" s="1"/>
      <c r="I153" s="1"/>
      <c r="J153" s="2"/>
      <c r="K153" s="1"/>
      <c r="L153" s="3"/>
      <c r="M153" s="1"/>
      <c r="AE153" s="1"/>
      <c r="AF153" s="1"/>
      <c r="AG153" s="1"/>
      <c r="AH153" s="1"/>
      <c r="AI153" s="1"/>
    </row>
    <row r="154" spans="1:35" s="18" customFormat="1" x14ac:dyDescent="0.2">
      <c r="A154" s="97"/>
      <c r="B154" s="97"/>
      <c r="C154" s="97"/>
      <c r="D154" s="97"/>
      <c r="E154" s="97"/>
      <c r="F154" s="97"/>
      <c r="G154" s="1"/>
      <c r="H154" s="1"/>
      <c r="I154" s="1"/>
      <c r="J154" s="2"/>
      <c r="K154" s="1"/>
      <c r="L154" s="3"/>
      <c r="M154" s="1"/>
      <c r="AE154" s="1"/>
      <c r="AF154" s="1"/>
      <c r="AG154" s="1"/>
      <c r="AH154" s="1"/>
      <c r="AI154" s="1"/>
    </row>
    <row r="155" spans="1:35" s="18" customFormat="1" x14ac:dyDescent="0.2">
      <c r="A155" s="97"/>
      <c r="B155" s="97"/>
      <c r="C155" s="97"/>
      <c r="D155" s="97"/>
      <c r="E155" s="97"/>
      <c r="F155" s="97"/>
      <c r="G155" s="1"/>
      <c r="H155" s="1"/>
      <c r="I155" s="1"/>
      <c r="J155" s="2"/>
      <c r="K155" s="1"/>
      <c r="L155" s="3"/>
      <c r="M155" s="1"/>
      <c r="AE155" s="1"/>
      <c r="AF155" s="1"/>
      <c r="AG155" s="1"/>
      <c r="AH155" s="1"/>
      <c r="AI155" s="1"/>
    </row>
    <row r="156" spans="1:35" s="18" customFormat="1" x14ac:dyDescent="0.2">
      <c r="A156" s="97"/>
      <c r="B156" s="97"/>
      <c r="C156" s="97"/>
      <c r="D156" s="97"/>
      <c r="E156" s="97"/>
      <c r="F156" s="97"/>
      <c r="G156" s="1"/>
      <c r="H156" s="1"/>
      <c r="I156" s="1"/>
      <c r="J156" s="2"/>
      <c r="K156" s="1"/>
      <c r="L156" s="3"/>
      <c r="M156" s="1"/>
      <c r="AE156" s="1"/>
      <c r="AF156" s="1"/>
      <c r="AG156" s="1"/>
      <c r="AH156" s="1"/>
      <c r="AI156" s="1"/>
    </row>
    <row r="157" spans="1:35" s="18" customFormat="1" x14ac:dyDescent="0.2">
      <c r="A157" s="97"/>
      <c r="B157" s="97"/>
      <c r="C157" s="97"/>
      <c r="D157" s="97"/>
      <c r="E157" s="97"/>
      <c r="F157" s="97"/>
      <c r="G157" s="1"/>
      <c r="H157" s="1"/>
      <c r="I157" s="1"/>
      <c r="J157" s="2"/>
      <c r="K157" s="1"/>
      <c r="L157" s="3"/>
      <c r="M157" s="1"/>
      <c r="AE157" s="1"/>
      <c r="AF157" s="1"/>
      <c r="AG157" s="1"/>
      <c r="AH157" s="1"/>
      <c r="AI157" s="1"/>
    </row>
    <row r="158" spans="1:35" s="18" customFormat="1" x14ac:dyDescent="0.2">
      <c r="A158" s="97"/>
      <c r="B158" s="97"/>
      <c r="C158" s="97"/>
      <c r="D158" s="97"/>
      <c r="E158" s="97"/>
      <c r="F158" s="97"/>
      <c r="G158" s="1"/>
      <c r="H158" s="1"/>
      <c r="I158" s="1"/>
      <c r="J158" s="2"/>
      <c r="K158" s="1"/>
      <c r="L158" s="3"/>
      <c r="M158" s="1"/>
      <c r="AE158" s="1"/>
      <c r="AF158" s="1"/>
      <c r="AG158" s="1"/>
      <c r="AH158" s="1"/>
      <c r="AI158" s="1"/>
    </row>
    <row r="159" spans="1:35" s="18" customFormat="1" x14ac:dyDescent="0.2">
      <c r="A159" s="97"/>
      <c r="B159" s="97"/>
      <c r="C159" s="97"/>
      <c r="D159" s="97"/>
      <c r="E159" s="97"/>
      <c r="F159" s="97"/>
      <c r="G159" s="1"/>
      <c r="H159" s="1"/>
      <c r="I159" s="1"/>
      <c r="J159" s="2"/>
      <c r="K159" s="1"/>
      <c r="L159" s="3"/>
      <c r="M159" s="1"/>
      <c r="AE159" s="1"/>
      <c r="AF159" s="1"/>
      <c r="AG159" s="1"/>
      <c r="AH159" s="1"/>
      <c r="AI159" s="1"/>
    </row>
    <row r="160" spans="1:35" s="18" customFormat="1" x14ac:dyDescent="0.2">
      <c r="A160" s="97"/>
      <c r="B160" s="97"/>
      <c r="C160" s="97"/>
      <c r="D160" s="97"/>
      <c r="E160" s="97"/>
      <c r="F160" s="97"/>
      <c r="G160" s="1"/>
      <c r="H160" s="1"/>
      <c r="I160" s="1"/>
      <c r="J160" s="2"/>
      <c r="K160" s="1"/>
      <c r="L160" s="3"/>
      <c r="M160" s="1"/>
      <c r="AE160" s="1"/>
      <c r="AF160" s="1"/>
      <c r="AG160" s="1"/>
      <c r="AH160" s="1"/>
      <c r="AI160" s="1"/>
    </row>
    <row r="161" spans="1:35" s="18" customFormat="1" x14ac:dyDescent="0.2">
      <c r="A161" s="97"/>
      <c r="B161" s="97"/>
      <c r="C161" s="97"/>
      <c r="D161" s="97"/>
      <c r="E161" s="97"/>
      <c r="F161" s="97"/>
      <c r="G161" s="1"/>
      <c r="H161" s="1"/>
      <c r="I161" s="1"/>
      <c r="J161" s="2"/>
      <c r="K161" s="1"/>
      <c r="L161" s="3"/>
      <c r="M161" s="1"/>
      <c r="AE161" s="1"/>
      <c r="AF161" s="1"/>
      <c r="AG161" s="1"/>
      <c r="AH161" s="1"/>
      <c r="AI161" s="1"/>
    </row>
    <row r="162" spans="1:35" s="18" customFormat="1" x14ac:dyDescent="0.2">
      <c r="A162" s="97"/>
      <c r="B162" s="97"/>
      <c r="C162" s="97"/>
      <c r="D162" s="97"/>
      <c r="E162" s="97"/>
      <c r="F162" s="97"/>
      <c r="G162" s="1"/>
      <c r="H162" s="1"/>
      <c r="I162" s="1"/>
      <c r="J162" s="2"/>
      <c r="K162" s="1"/>
      <c r="L162" s="3"/>
      <c r="M162" s="1"/>
      <c r="AE162" s="1"/>
      <c r="AF162" s="1"/>
      <c r="AG162" s="1"/>
      <c r="AH162" s="1"/>
      <c r="AI162" s="1"/>
    </row>
    <row r="163" spans="1:35" s="18" customFormat="1" x14ac:dyDescent="0.2">
      <c r="A163" s="97"/>
      <c r="B163" s="97"/>
      <c r="C163" s="97"/>
      <c r="D163" s="97"/>
      <c r="E163" s="97"/>
      <c r="F163" s="97"/>
      <c r="G163" s="1"/>
      <c r="H163" s="1"/>
      <c r="I163" s="1"/>
      <c r="J163" s="2"/>
      <c r="K163" s="1"/>
      <c r="L163" s="3"/>
      <c r="M163" s="1"/>
      <c r="AE163" s="1"/>
      <c r="AF163" s="1"/>
      <c r="AG163" s="1"/>
      <c r="AH163" s="1"/>
      <c r="AI163" s="1"/>
    </row>
    <row r="164" spans="1:35" s="18" customFormat="1" x14ac:dyDescent="0.2">
      <c r="A164" s="97"/>
      <c r="B164" s="97"/>
      <c r="C164" s="97"/>
      <c r="D164" s="97"/>
      <c r="E164" s="97"/>
      <c r="F164" s="97"/>
      <c r="G164" s="1"/>
      <c r="H164" s="1"/>
      <c r="I164" s="1"/>
      <c r="J164" s="2"/>
      <c r="K164" s="1"/>
      <c r="L164" s="3"/>
      <c r="M164" s="1"/>
      <c r="AE164" s="1"/>
      <c r="AF164" s="1"/>
      <c r="AG164" s="1"/>
      <c r="AH164" s="1"/>
      <c r="AI164" s="1"/>
    </row>
    <row r="165" spans="1:35" s="18" customFormat="1" x14ac:dyDescent="0.2">
      <c r="A165" s="97"/>
      <c r="B165" s="97"/>
      <c r="C165" s="97"/>
      <c r="D165" s="97"/>
      <c r="E165" s="97"/>
      <c r="F165" s="97"/>
      <c r="G165" s="1"/>
      <c r="H165" s="1"/>
      <c r="I165" s="1"/>
      <c r="J165" s="2"/>
      <c r="K165" s="1"/>
      <c r="L165" s="3"/>
      <c r="M165" s="1"/>
      <c r="AE165" s="1"/>
      <c r="AF165" s="1"/>
      <c r="AG165" s="1"/>
      <c r="AH165" s="1"/>
      <c r="AI165" s="1"/>
    </row>
    <row r="166" spans="1:35" s="18" customFormat="1" x14ac:dyDescent="0.2">
      <c r="A166" s="97"/>
      <c r="B166" s="97"/>
      <c r="C166" s="97"/>
      <c r="D166" s="97"/>
      <c r="E166" s="97"/>
      <c r="F166" s="97"/>
      <c r="G166" s="1"/>
      <c r="H166" s="1"/>
      <c r="I166" s="1"/>
      <c r="J166" s="2"/>
      <c r="K166" s="1"/>
      <c r="L166" s="3"/>
      <c r="M166" s="1"/>
      <c r="AE166" s="1"/>
      <c r="AF166" s="1"/>
      <c r="AG166" s="1"/>
      <c r="AH166" s="1"/>
      <c r="AI166" s="1"/>
    </row>
    <row r="167" spans="1:35" s="18" customFormat="1" x14ac:dyDescent="0.2">
      <c r="A167" s="97"/>
      <c r="B167" s="97"/>
      <c r="C167" s="97"/>
      <c r="D167" s="97"/>
      <c r="E167" s="97"/>
      <c r="F167" s="97"/>
      <c r="G167" s="1"/>
      <c r="H167" s="1"/>
      <c r="I167" s="1"/>
      <c r="J167" s="2"/>
      <c r="K167" s="1"/>
      <c r="L167" s="3"/>
      <c r="M167" s="1"/>
      <c r="AE167" s="1"/>
      <c r="AF167" s="1"/>
      <c r="AG167" s="1"/>
      <c r="AH167" s="1"/>
      <c r="AI167" s="1"/>
    </row>
    <row r="168" spans="1:35" s="18" customFormat="1" x14ac:dyDescent="0.2">
      <c r="A168" s="97"/>
      <c r="B168" s="97"/>
      <c r="C168" s="97"/>
      <c r="D168" s="97"/>
      <c r="E168" s="97"/>
      <c r="F168" s="97"/>
      <c r="G168" s="1"/>
      <c r="H168" s="1"/>
      <c r="I168" s="1"/>
      <c r="J168" s="2"/>
      <c r="K168" s="1"/>
      <c r="L168" s="3"/>
      <c r="M168" s="1"/>
      <c r="AE168" s="1"/>
      <c r="AF168" s="1"/>
      <c r="AG168" s="1"/>
      <c r="AH168" s="1"/>
      <c r="AI168" s="1"/>
    </row>
    <row r="169" spans="1:35" s="18" customFormat="1" x14ac:dyDescent="0.2">
      <c r="A169" s="97"/>
      <c r="B169" s="97"/>
      <c r="C169" s="97"/>
      <c r="D169" s="97"/>
      <c r="E169" s="97"/>
      <c r="F169" s="97"/>
      <c r="G169" s="1"/>
      <c r="H169" s="1"/>
      <c r="I169" s="1"/>
      <c r="J169" s="2"/>
      <c r="K169" s="1"/>
      <c r="L169" s="3"/>
      <c r="M169" s="1"/>
      <c r="AE169" s="1"/>
      <c r="AF169" s="1"/>
      <c r="AG169" s="1"/>
      <c r="AH169" s="1"/>
      <c r="AI169" s="1"/>
    </row>
    <row r="170" spans="1:35" s="18" customFormat="1" x14ac:dyDescent="0.2">
      <c r="A170" s="97"/>
      <c r="B170" s="97"/>
      <c r="C170" s="97"/>
      <c r="D170" s="97"/>
      <c r="E170" s="97"/>
      <c r="F170" s="97"/>
      <c r="G170" s="1"/>
      <c r="H170" s="1"/>
      <c r="I170" s="1"/>
      <c r="J170" s="2"/>
      <c r="K170" s="1"/>
      <c r="L170" s="3"/>
      <c r="M170" s="1"/>
      <c r="AE170" s="1"/>
      <c r="AF170" s="1"/>
      <c r="AG170" s="1"/>
      <c r="AH170" s="1"/>
      <c r="AI170" s="1"/>
    </row>
    <row r="171" spans="1:35" s="18" customFormat="1" x14ac:dyDescent="0.2">
      <c r="A171" s="97"/>
      <c r="B171" s="97"/>
      <c r="C171" s="97"/>
      <c r="D171" s="97"/>
      <c r="E171" s="97"/>
      <c r="F171" s="97"/>
      <c r="G171" s="1"/>
      <c r="H171" s="1"/>
      <c r="I171" s="1"/>
      <c r="J171" s="2"/>
      <c r="K171" s="1"/>
      <c r="L171" s="3"/>
      <c r="M171" s="1"/>
      <c r="AE171" s="1"/>
      <c r="AF171" s="1"/>
      <c r="AG171" s="1"/>
      <c r="AH171" s="1"/>
      <c r="AI171" s="1"/>
    </row>
    <row r="172" spans="1:35" s="18" customFormat="1" x14ac:dyDescent="0.2">
      <c r="A172" s="97"/>
      <c r="B172" s="97"/>
      <c r="C172" s="97"/>
      <c r="D172" s="97"/>
      <c r="E172" s="97"/>
      <c r="F172" s="97"/>
      <c r="G172" s="1"/>
      <c r="H172" s="1"/>
      <c r="I172" s="1"/>
      <c r="J172" s="2"/>
      <c r="K172" s="1"/>
      <c r="L172" s="3"/>
      <c r="M172" s="1"/>
      <c r="AE172" s="1"/>
      <c r="AF172" s="1"/>
      <c r="AG172" s="1"/>
      <c r="AH172" s="1"/>
      <c r="AI172" s="1"/>
    </row>
    <row r="173" spans="1:35" s="18" customFormat="1" x14ac:dyDescent="0.2">
      <c r="A173" s="97"/>
      <c r="B173" s="97"/>
      <c r="C173" s="97"/>
      <c r="D173" s="97"/>
      <c r="E173" s="97"/>
      <c r="F173" s="97"/>
      <c r="G173" s="1"/>
      <c r="H173" s="1"/>
      <c r="I173" s="1"/>
      <c r="J173" s="2"/>
      <c r="K173" s="1"/>
      <c r="L173" s="3"/>
      <c r="M173" s="1"/>
      <c r="AE173" s="1"/>
      <c r="AF173" s="1"/>
      <c r="AG173" s="1"/>
      <c r="AH173" s="1"/>
      <c r="AI173" s="1"/>
    </row>
    <row r="174" spans="1:35" s="18" customFormat="1" x14ac:dyDescent="0.2">
      <c r="A174" s="97"/>
      <c r="B174" s="97"/>
      <c r="C174" s="97"/>
      <c r="D174" s="97"/>
      <c r="E174" s="97"/>
      <c r="F174" s="97"/>
      <c r="G174" s="1"/>
      <c r="H174" s="1"/>
      <c r="I174" s="1"/>
      <c r="J174" s="2"/>
      <c r="K174" s="1"/>
      <c r="L174" s="3"/>
      <c r="M174" s="1"/>
      <c r="AE174" s="1"/>
      <c r="AF174" s="1"/>
      <c r="AG174" s="1"/>
      <c r="AH174" s="1"/>
      <c r="AI174" s="1"/>
    </row>
    <row r="175" spans="1:35" s="18" customFormat="1" x14ac:dyDescent="0.2">
      <c r="A175" s="97"/>
      <c r="B175" s="97"/>
      <c r="C175" s="97"/>
      <c r="D175" s="97"/>
      <c r="E175" s="97"/>
      <c r="F175" s="97"/>
      <c r="G175" s="1"/>
      <c r="H175" s="1"/>
      <c r="I175" s="1"/>
      <c r="J175" s="2"/>
      <c r="K175" s="1"/>
      <c r="L175" s="3"/>
      <c r="M175" s="1"/>
      <c r="AE175" s="1"/>
      <c r="AF175" s="1"/>
      <c r="AG175" s="1"/>
      <c r="AH175" s="1"/>
      <c r="AI175" s="1"/>
    </row>
    <row r="176" spans="1:35" s="18" customFormat="1" x14ac:dyDescent="0.2">
      <c r="A176" s="97"/>
      <c r="B176" s="97"/>
      <c r="C176" s="97"/>
      <c r="D176" s="97"/>
      <c r="E176" s="97"/>
      <c r="F176" s="97"/>
      <c r="G176" s="1"/>
      <c r="H176" s="1"/>
      <c r="I176" s="1"/>
      <c r="J176" s="2"/>
      <c r="K176" s="1"/>
      <c r="L176" s="3"/>
      <c r="M176" s="1"/>
      <c r="AE176" s="1"/>
      <c r="AF176" s="1"/>
      <c r="AG176" s="1"/>
      <c r="AH176" s="1"/>
      <c r="AI176" s="1"/>
    </row>
    <row r="177" spans="1:35" s="18" customFormat="1" x14ac:dyDescent="0.2">
      <c r="A177" s="97"/>
      <c r="B177" s="97"/>
      <c r="C177" s="97"/>
      <c r="D177" s="97"/>
      <c r="E177" s="97"/>
      <c r="F177" s="97"/>
      <c r="G177" s="1"/>
      <c r="H177" s="1"/>
      <c r="I177" s="1"/>
      <c r="J177" s="2"/>
      <c r="K177" s="1"/>
      <c r="L177" s="3"/>
      <c r="M177" s="1"/>
      <c r="AE177" s="1"/>
      <c r="AF177" s="1"/>
      <c r="AG177" s="1"/>
      <c r="AH177" s="1"/>
      <c r="AI177" s="1"/>
    </row>
    <row r="178" spans="1:35" s="18" customFormat="1" x14ac:dyDescent="0.2">
      <c r="A178" s="97"/>
      <c r="B178" s="97"/>
      <c r="C178" s="97"/>
      <c r="D178" s="97"/>
      <c r="E178" s="97"/>
      <c r="F178" s="97"/>
      <c r="G178" s="1"/>
      <c r="H178" s="1"/>
      <c r="I178" s="1"/>
      <c r="J178" s="2"/>
      <c r="K178" s="1"/>
      <c r="L178" s="3"/>
      <c r="M178" s="1"/>
      <c r="AE178" s="1"/>
      <c r="AF178" s="1"/>
      <c r="AG178" s="1"/>
      <c r="AH178" s="1"/>
      <c r="AI178" s="1"/>
    </row>
    <row r="179" spans="1:35" s="18" customFormat="1" x14ac:dyDescent="0.2">
      <c r="A179" s="97"/>
      <c r="B179" s="97"/>
      <c r="C179" s="97"/>
      <c r="D179" s="97"/>
      <c r="E179" s="97"/>
      <c r="F179" s="97"/>
      <c r="G179" s="1"/>
      <c r="H179" s="1"/>
      <c r="I179" s="1"/>
      <c r="J179" s="2"/>
      <c r="K179" s="1"/>
      <c r="L179" s="3"/>
      <c r="M179" s="1"/>
      <c r="AE179" s="1"/>
      <c r="AF179" s="1"/>
      <c r="AG179" s="1"/>
      <c r="AH179" s="1"/>
      <c r="AI179" s="1"/>
    </row>
    <row r="180" spans="1:35" s="18" customFormat="1" x14ac:dyDescent="0.2">
      <c r="A180" s="97"/>
      <c r="B180" s="97"/>
      <c r="C180" s="97"/>
      <c r="D180" s="97"/>
      <c r="E180" s="97"/>
      <c r="F180" s="97"/>
      <c r="G180" s="1"/>
      <c r="H180" s="1"/>
      <c r="I180" s="1"/>
      <c r="J180" s="2"/>
      <c r="K180" s="1"/>
      <c r="L180" s="3"/>
      <c r="M180" s="1"/>
      <c r="AE180" s="1"/>
      <c r="AF180" s="1"/>
      <c r="AG180" s="1"/>
      <c r="AH180" s="1"/>
      <c r="AI180" s="1"/>
    </row>
    <row r="181" spans="1:35" s="18" customFormat="1" x14ac:dyDescent="0.2">
      <c r="A181" s="97"/>
      <c r="B181" s="97"/>
      <c r="C181" s="97"/>
      <c r="D181" s="97"/>
      <c r="E181" s="97"/>
      <c r="F181" s="97"/>
      <c r="G181" s="1"/>
      <c r="H181" s="1"/>
      <c r="I181" s="1"/>
      <c r="J181" s="2"/>
      <c r="K181" s="1"/>
      <c r="L181" s="3"/>
      <c r="M181" s="1"/>
      <c r="AE181" s="1"/>
      <c r="AF181" s="1"/>
      <c r="AG181" s="1"/>
      <c r="AH181" s="1"/>
      <c r="AI181" s="1"/>
    </row>
    <row r="182" spans="1:35" s="18" customFormat="1" x14ac:dyDescent="0.2">
      <c r="A182" s="97"/>
      <c r="B182" s="97"/>
      <c r="C182" s="97"/>
      <c r="D182" s="97"/>
      <c r="E182" s="97"/>
      <c r="F182" s="97"/>
      <c r="G182" s="1"/>
      <c r="H182" s="1"/>
      <c r="I182" s="1"/>
      <c r="J182" s="2"/>
      <c r="K182" s="1"/>
      <c r="L182" s="3"/>
      <c r="M182" s="1"/>
      <c r="AE182" s="1"/>
      <c r="AF182" s="1"/>
      <c r="AG182" s="1"/>
      <c r="AH182" s="1"/>
      <c r="AI182" s="1"/>
    </row>
    <row r="183" spans="1:35" s="18" customFormat="1" x14ac:dyDescent="0.2">
      <c r="A183" s="97"/>
      <c r="B183" s="97"/>
      <c r="C183" s="97"/>
      <c r="D183" s="97"/>
      <c r="E183" s="97"/>
      <c r="F183" s="97"/>
      <c r="G183" s="1"/>
      <c r="H183" s="1"/>
      <c r="I183" s="1"/>
      <c r="J183" s="2"/>
      <c r="K183" s="1"/>
      <c r="L183" s="3"/>
      <c r="M183" s="1"/>
      <c r="AE183" s="1"/>
      <c r="AF183" s="1"/>
      <c r="AG183" s="1"/>
      <c r="AH183" s="1"/>
      <c r="AI183" s="1"/>
    </row>
    <row r="184" spans="1:35" s="18" customFormat="1" x14ac:dyDescent="0.2">
      <c r="A184" s="97"/>
      <c r="B184" s="97"/>
      <c r="C184" s="97"/>
      <c r="D184" s="97"/>
      <c r="E184" s="97"/>
      <c r="F184" s="97"/>
      <c r="G184" s="1"/>
      <c r="H184" s="1"/>
      <c r="I184" s="1"/>
      <c r="J184" s="2"/>
      <c r="K184" s="1"/>
      <c r="L184" s="3"/>
      <c r="M184" s="1"/>
      <c r="AE184" s="1"/>
      <c r="AF184" s="1"/>
      <c r="AG184" s="1"/>
      <c r="AH184" s="1"/>
      <c r="AI184" s="1"/>
    </row>
    <row r="185" spans="1:35" s="18" customFormat="1" x14ac:dyDescent="0.2">
      <c r="A185" s="97"/>
      <c r="B185" s="97"/>
      <c r="C185" s="97"/>
      <c r="D185" s="97"/>
      <c r="E185" s="97"/>
      <c r="F185" s="97"/>
      <c r="G185" s="1"/>
      <c r="H185" s="1"/>
      <c r="I185" s="1"/>
      <c r="J185" s="2"/>
      <c r="K185" s="1"/>
      <c r="L185" s="3"/>
      <c r="M185" s="1"/>
      <c r="AE185" s="1"/>
      <c r="AF185" s="1"/>
      <c r="AG185" s="1"/>
      <c r="AH185" s="1"/>
      <c r="AI185" s="1"/>
    </row>
    <row r="186" spans="1:35" s="18" customFormat="1" x14ac:dyDescent="0.2">
      <c r="A186" s="97"/>
      <c r="B186" s="97"/>
      <c r="C186" s="97"/>
      <c r="D186" s="97"/>
      <c r="E186" s="97"/>
      <c r="F186" s="97"/>
      <c r="G186" s="1"/>
      <c r="H186" s="1"/>
      <c r="I186" s="1"/>
      <c r="J186" s="2"/>
      <c r="K186" s="1"/>
      <c r="L186" s="3"/>
      <c r="M186" s="1"/>
      <c r="AE186" s="1"/>
      <c r="AF186" s="1"/>
      <c r="AG186" s="1"/>
      <c r="AH186" s="1"/>
      <c r="AI186" s="1"/>
    </row>
    <row r="187" spans="1:35" s="18" customFormat="1" x14ac:dyDescent="0.2">
      <c r="A187" s="97"/>
      <c r="B187" s="97"/>
      <c r="C187" s="97"/>
      <c r="D187" s="97"/>
      <c r="E187" s="97"/>
      <c r="F187" s="97"/>
      <c r="G187" s="1"/>
      <c r="H187" s="1"/>
      <c r="I187" s="1"/>
      <c r="J187" s="2"/>
      <c r="K187" s="1"/>
      <c r="L187" s="3"/>
      <c r="M187" s="1"/>
      <c r="AE187" s="1"/>
      <c r="AF187" s="1"/>
      <c r="AG187" s="1"/>
      <c r="AH187" s="1"/>
      <c r="AI187" s="1"/>
    </row>
    <row r="188" spans="1:35" s="18" customFormat="1" x14ac:dyDescent="0.2">
      <c r="A188" s="97"/>
      <c r="B188" s="97"/>
      <c r="C188" s="97"/>
      <c r="D188" s="97"/>
      <c r="E188" s="97"/>
      <c r="F188" s="97"/>
      <c r="G188" s="1"/>
      <c r="H188" s="1"/>
      <c r="I188" s="1"/>
      <c r="J188" s="2"/>
      <c r="K188" s="1"/>
      <c r="L188" s="3"/>
      <c r="M188" s="1"/>
      <c r="AE188" s="1"/>
      <c r="AF188" s="1"/>
      <c r="AG188" s="1"/>
      <c r="AH188" s="1"/>
      <c r="AI188" s="1"/>
    </row>
    <row r="189" spans="1:35" s="18" customFormat="1" x14ac:dyDescent="0.2">
      <c r="A189" s="97"/>
      <c r="B189" s="97"/>
      <c r="C189" s="97"/>
      <c r="D189" s="97"/>
      <c r="E189" s="97"/>
      <c r="F189" s="97"/>
      <c r="G189" s="1"/>
      <c r="H189" s="1"/>
      <c r="I189" s="1"/>
      <c r="J189" s="2"/>
      <c r="K189" s="1"/>
      <c r="L189" s="3"/>
      <c r="M189" s="1"/>
      <c r="AE189" s="1"/>
      <c r="AF189" s="1"/>
      <c r="AG189" s="1"/>
      <c r="AH189" s="1"/>
      <c r="AI189" s="1"/>
    </row>
    <row r="190" spans="1:35" s="18" customFormat="1" x14ac:dyDescent="0.2">
      <c r="A190" s="97"/>
      <c r="B190" s="97"/>
      <c r="C190" s="97"/>
      <c r="D190" s="97"/>
      <c r="E190" s="97"/>
      <c r="F190" s="97"/>
      <c r="G190" s="1"/>
      <c r="H190" s="1"/>
      <c r="I190" s="1"/>
      <c r="J190" s="2"/>
      <c r="K190" s="1"/>
      <c r="L190" s="3"/>
      <c r="M190" s="1"/>
      <c r="AE190" s="1"/>
      <c r="AF190" s="1"/>
      <c r="AG190" s="1"/>
      <c r="AH190" s="1"/>
      <c r="AI190" s="1"/>
    </row>
    <row r="191" spans="1:35" s="18" customFormat="1" x14ac:dyDescent="0.2">
      <c r="A191" s="97"/>
      <c r="B191" s="97"/>
      <c r="C191" s="97"/>
      <c r="D191" s="97"/>
      <c r="E191" s="97"/>
      <c r="F191" s="97"/>
      <c r="G191" s="1"/>
      <c r="H191" s="1"/>
      <c r="I191" s="1"/>
      <c r="J191" s="2"/>
      <c r="K191" s="1"/>
      <c r="L191" s="3"/>
      <c r="M191" s="1"/>
      <c r="AE191" s="1"/>
      <c r="AF191" s="1"/>
      <c r="AG191" s="1"/>
      <c r="AH191" s="1"/>
      <c r="AI191" s="1"/>
    </row>
    <row r="192" spans="1:35" s="18" customFormat="1" x14ac:dyDescent="0.2">
      <c r="A192" s="97"/>
      <c r="B192" s="97"/>
      <c r="C192" s="97"/>
      <c r="D192" s="97"/>
      <c r="E192" s="97"/>
      <c r="F192" s="97"/>
      <c r="G192" s="1"/>
      <c r="H192" s="1"/>
      <c r="I192" s="1"/>
      <c r="J192" s="2"/>
      <c r="K192" s="1"/>
      <c r="L192" s="3"/>
      <c r="M192" s="1"/>
      <c r="AE192" s="1"/>
      <c r="AF192" s="1"/>
      <c r="AG192" s="1"/>
      <c r="AH192" s="1"/>
      <c r="AI192" s="1"/>
    </row>
    <row r="193" spans="1:35" s="18" customFormat="1" x14ac:dyDescent="0.2">
      <c r="A193" s="97"/>
      <c r="B193" s="97"/>
      <c r="C193" s="97"/>
      <c r="D193" s="97"/>
      <c r="E193" s="97"/>
      <c r="F193" s="97"/>
      <c r="G193" s="1"/>
      <c r="H193" s="1"/>
      <c r="I193" s="1"/>
      <c r="J193" s="2"/>
      <c r="K193" s="1"/>
      <c r="L193" s="3"/>
      <c r="M193" s="1"/>
      <c r="AE193" s="1"/>
      <c r="AF193" s="1"/>
      <c r="AG193" s="1"/>
      <c r="AH193" s="1"/>
      <c r="AI193" s="1"/>
    </row>
    <row r="194" spans="1:35" s="18" customFormat="1" x14ac:dyDescent="0.2">
      <c r="A194" s="97"/>
      <c r="B194" s="97"/>
      <c r="C194" s="97"/>
      <c r="D194" s="97"/>
      <c r="E194" s="97"/>
      <c r="F194" s="97"/>
      <c r="G194" s="1"/>
      <c r="H194" s="1"/>
      <c r="I194" s="1"/>
      <c r="J194" s="2"/>
      <c r="K194" s="1"/>
      <c r="L194" s="3"/>
      <c r="M194" s="1"/>
      <c r="AE194" s="1"/>
      <c r="AF194" s="1"/>
      <c r="AG194" s="1"/>
      <c r="AH194" s="1"/>
      <c r="AI194" s="1"/>
    </row>
    <row r="195" spans="1:35" s="18" customFormat="1" x14ac:dyDescent="0.2">
      <c r="A195" s="97"/>
      <c r="B195" s="97"/>
      <c r="C195" s="97"/>
      <c r="D195" s="97"/>
      <c r="E195" s="97"/>
      <c r="F195" s="97"/>
      <c r="G195" s="1"/>
      <c r="H195" s="1"/>
      <c r="I195" s="1"/>
      <c r="J195" s="2"/>
      <c r="K195" s="1"/>
      <c r="L195" s="3"/>
      <c r="M195" s="1"/>
      <c r="AE195" s="1"/>
      <c r="AF195" s="1"/>
      <c r="AG195" s="1"/>
      <c r="AH195" s="1"/>
      <c r="AI195" s="1"/>
    </row>
    <row r="196" spans="1:35" s="18" customFormat="1" x14ac:dyDescent="0.2">
      <c r="A196" s="97"/>
      <c r="B196" s="97"/>
      <c r="C196" s="97"/>
      <c r="D196" s="97"/>
      <c r="E196" s="97"/>
      <c r="F196" s="97"/>
      <c r="G196" s="1"/>
      <c r="H196" s="1"/>
      <c r="I196" s="1"/>
      <c r="J196" s="2"/>
      <c r="K196" s="1"/>
      <c r="L196" s="3"/>
      <c r="M196" s="1"/>
      <c r="AE196" s="1"/>
      <c r="AF196" s="1"/>
      <c r="AG196" s="1"/>
      <c r="AH196" s="1"/>
      <c r="AI196" s="1"/>
    </row>
    <row r="197" spans="1:35" s="18" customFormat="1" x14ac:dyDescent="0.2">
      <c r="A197" s="97"/>
      <c r="B197" s="97"/>
      <c r="C197" s="97"/>
      <c r="D197" s="97"/>
      <c r="E197" s="97"/>
      <c r="F197" s="97"/>
      <c r="G197" s="1"/>
      <c r="H197" s="1"/>
      <c r="I197" s="1"/>
      <c r="J197" s="2"/>
      <c r="K197" s="1"/>
      <c r="L197" s="3"/>
      <c r="M197" s="1"/>
      <c r="AE197" s="1"/>
      <c r="AF197" s="1"/>
      <c r="AG197" s="1"/>
      <c r="AH197" s="1"/>
      <c r="AI197" s="1"/>
    </row>
    <row r="198" spans="1:35" s="18" customFormat="1" x14ac:dyDescent="0.2">
      <c r="A198" s="97"/>
      <c r="B198" s="97"/>
      <c r="C198" s="97"/>
      <c r="D198" s="97"/>
      <c r="E198" s="97"/>
      <c r="F198" s="97"/>
      <c r="G198" s="1"/>
      <c r="H198" s="1"/>
      <c r="I198" s="1"/>
      <c r="J198" s="2"/>
      <c r="K198" s="1"/>
      <c r="L198" s="3"/>
      <c r="M198" s="1"/>
      <c r="AE198" s="1"/>
      <c r="AF198" s="1"/>
      <c r="AG198" s="1"/>
      <c r="AH198" s="1"/>
      <c r="AI198" s="1"/>
    </row>
    <row r="199" spans="1:35" s="18" customFormat="1" x14ac:dyDescent="0.2">
      <c r="A199" s="97"/>
      <c r="B199" s="97"/>
      <c r="C199" s="97"/>
      <c r="D199" s="97"/>
      <c r="E199" s="97"/>
      <c r="F199" s="97"/>
      <c r="G199" s="1"/>
      <c r="H199" s="1"/>
      <c r="I199" s="1"/>
      <c r="J199" s="2"/>
      <c r="K199" s="1"/>
      <c r="L199" s="3"/>
      <c r="M199" s="1"/>
      <c r="AE199" s="1"/>
      <c r="AF199" s="1"/>
      <c r="AG199" s="1"/>
      <c r="AH199" s="1"/>
      <c r="AI199" s="1"/>
    </row>
    <row r="200" spans="1:35" s="18" customFormat="1" x14ac:dyDescent="0.2">
      <c r="A200" s="97"/>
      <c r="B200" s="97"/>
      <c r="C200" s="97"/>
      <c r="D200" s="97"/>
      <c r="E200" s="97"/>
      <c r="F200" s="97"/>
      <c r="G200" s="1"/>
      <c r="H200" s="1"/>
      <c r="I200" s="1"/>
      <c r="J200" s="2"/>
      <c r="K200" s="1"/>
      <c r="L200" s="3"/>
      <c r="M200" s="1"/>
      <c r="AE200" s="1"/>
      <c r="AF200" s="1"/>
      <c r="AG200" s="1"/>
      <c r="AH200" s="1"/>
      <c r="AI200" s="1"/>
    </row>
    <row r="201" spans="1:35" s="18" customFormat="1" x14ac:dyDescent="0.2">
      <c r="A201" s="97"/>
      <c r="B201" s="97"/>
      <c r="C201" s="97"/>
      <c r="D201" s="97"/>
      <c r="E201" s="97"/>
      <c r="F201" s="97"/>
      <c r="G201" s="1"/>
      <c r="H201" s="1"/>
      <c r="I201" s="1"/>
      <c r="J201" s="2"/>
      <c r="K201" s="1"/>
      <c r="L201" s="3"/>
      <c r="M201" s="1"/>
      <c r="AE201" s="1"/>
      <c r="AF201" s="1"/>
      <c r="AG201" s="1"/>
      <c r="AH201" s="1"/>
      <c r="AI201" s="1"/>
    </row>
    <row r="202" spans="1:35" s="18" customFormat="1" x14ac:dyDescent="0.2">
      <c r="A202" s="97"/>
      <c r="B202" s="97"/>
      <c r="C202" s="97"/>
      <c r="D202" s="97"/>
      <c r="E202" s="97"/>
      <c r="F202" s="97"/>
      <c r="G202" s="1"/>
      <c r="H202" s="1"/>
      <c r="I202" s="1"/>
      <c r="J202" s="2"/>
      <c r="K202" s="1"/>
      <c r="L202" s="3"/>
      <c r="M202" s="1"/>
      <c r="AE202" s="1"/>
      <c r="AF202" s="1"/>
      <c r="AG202" s="1"/>
      <c r="AH202" s="1"/>
      <c r="AI202" s="1"/>
    </row>
    <row r="203" spans="1:35" s="18" customFormat="1" x14ac:dyDescent="0.2">
      <c r="A203" s="97"/>
      <c r="B203" s="97"/>
      <c r="C203" s="97"/>
      <c r="D203" s="97"/>
      <c r="E203" s="97"/>
      <c r="F203" s="97"/>
      <c r="G203" s="1"/>
      <c r="H203" s="1"/>
      <c r="I203" s="1"/>
      <c r="J203" s="2"/>
      <c r="K203" s="1"/>
      <c r="L203" s="3"/>
      <c r="M203" s="1"/>
      <c r="AE203" s="1"/>
      <c r="AF203" s="1"/>
      <c r="AG203" s="1"/>
      <c r="AH203" s="1"/>
      <c r="AI203" s="1"/>
    </row>
    <row r="204" spans="1:35" s="18" customFormat="1" x14ac:dyDescent="0.2">
      <c r="A204" s="97"/>
      <c r="B204" s="97"/>
      <c r="C204" s="97"/>
      <c r="D204" s="97"/>
      <c r="E204" s="97"/>
      <c r="F204" s="97"/>
      <c r="G204" s="1"/>
      <c r="H204" s="1"/>
      <c r="I204" s="1"/>
      <c r="J204" s="2"/>
      <c r="K204" s="1"/>
      <c r="L204" s="3"/>
      <c r="M204" s="1"/>
      <c r="AE204" s="1"/>
      <c r="AF204" s="1"/>
      <c r="AG204" s="1"/>
      <c r="AH204" s="1"/>
      <c r="AI204" s="1"/>
    </row>
    <row r="205" spans="1:35" s="18" customFormat="1" x14ac:dyDescent="0.2">
      <c r="A205" s="97"/>
      <c r="B205" s="97"/>
      <c r="C205" s="97"/>
      <c r="D205" s="97"/>
      <c r="E205" s="97"/>
      <c r="F205" s="97"/>
      <c r="G205" s="1"/>
      <c r="H205" s="1"/>
      <c r="I205" s="1"/>
      <c r="J205" s="2"/>
      <c r="K205" s="1"/>
      <c r="L205" s="3"/>
      <c r="M205" s="1"/>
      <c r="AE205" s="1"/>
      <c r="AF205" s="1"/>
      <c r="AG205" s="1"/>
      <c r="AH205" s="1"/>
      <c r="AI205" s="1"/>
    </row>
    <row r="206" spans="1:35" s="18" customFormat="1" x14ac:dyDescent="0.2">
      <c r="A206" s="97"/>
      <c r="B206" s="97"/>
      <c r="C206" s="97"/>
      <c r="D206" s="97"/>
      <c r="E206" s="97"/>
      <c r="F206" s="97"/>
      <c r="G206" s="1"/>
      <c r="H206" s="1"/>
      <c r="I206" s="1"/>
      <c r="J206" s="2"/>
      <c r="K206" s="1"/>
      <c r="L206" s="3"/>
      <c r="M206" s="1"/>
      <c r="AE206" s="1"/>
      <c r="AF206" s="1"/>
      <c r="AG206" s="1"/>
      <c r="AH206" s="1"/>
      <c r="AI206" s="1"/>
    </row>
    <row r="207" spans="1:35" s="18" customFormat="1" x14ac:dyDescent="0.2">
      <c r="A207" s="97"/>
      <c r="B207" s="97"/>
      <c r="C207" s="97"/>
      <c r="D207" s="97"/>
      <c r="E207" s="97"/>
      <c r="F207" s="97"/>
      <c r="G207" s="1"/>
      <c r="H207" s="1"/>
      <c r="I207" s="1"/>
      <c r="J207" s="2"/>
      <c r="K207" s="1"/>
      <c r="L207" s="3"/>
      <c r="M207" s="1"/>
      <c r="AE207" s="1"/>
      <c r="AF207" s="1"/>
      <c r="AG207" s="1"/>
      <c r="AH207" s="1"/>
      <c r="AI207" s="1"/>
    </row>
    <row r="208" spans="1:35" s="18" customFormat="1" x14ac:dyDescent="0.2">
      <c r="A208" s="97"/>
      <c r="B208" s="97"/>
      <c r="C208" s="97"/>
      <c r="D208" s="97"/>
      <c r="E208" s="97"/>
      <c r="F208" s="97"/>
      <c r="G208" s="1"/>
      <c r="H208" s="1"/>
      <c r="I208" s="1"/>
      <c r="J208" s="2"/>
      <c r="K208" s="1"/>
      <c r="L208" s="3"/>
      <c r="M208" s="1"/>
      <c r="AE208" s="1"/>
      <c r="AF208" s="1"/>
      <c r="AG208" s="1"/>
      <c r="AH208" s="1"/>
      <c r="AI208" s="1"/>
    </row>
    <row r="209" spans="1:35" s="18" customFormat="1" x14ac:dyDescent="0.2">
      <c r="A209" s="97"/>
      <c r="B209" s="97"/>
      <c r="C209" s="97"/>
      <c r="D209" s="97"/>
      <c r="E209" s="97"/>
      <c r="F209" s="97"/>
      <c r="G209" s="1"/>
      <c r="H209" s="1"/>
      <c r="I209" s="1"/>
      <c r="J209" s="2"/>
      <c r="K209" s="1"/>
      <c r="L209" s="3"/>
      <c r="M209" s="1"/>
      <c r="AE209" s="1"/>
      <c r="AF209" s="1"/>
      <c r="AG209" s="1"/>
      <c r="AH209" s="1"/>
      <c r="AI209" s="1"/>
    </row>
    <row r="210" spans="1:35" s="18" customFormat="1" x14ac:dyDescent="0.2">
      <c r="A210" s="97"/>
      <c r="B210" s="97"/>
      <c r="C210" s="97"/>
      <c r="D210" s="97"/>
      <c r="E210" s="97"/>
      <c r="F210" s="97"/>
      <c r="G210" s="1"/>
      <c r="H210" s="1"/>
      <c r="I210" s="1"/>
      <c r="J210" s="2"/>
      <c r="K210" s="1"/>
      <c r="L210" s="3"/>
      <c r="M210" s="1"/>
      <c r="AE210" s="1"/>
      <c r="AF210" s="1"/>
      <c r="AG210" s="1"/>
      <c r="AH210" s="1"/>
      <c r="AI210" s="1"/>
    </row>
    <row r="211" spans="1:35" s="18" customFormat="1" x14ac:dyDescent="0.2">
      <c r="A211" s="97"/>
      <c r="B211" s="97"/>
      <c r="C211" s="97"/>
      <c r="D211" s="97"/>
      <c r="E211" s="97"/>
      <c r="F211" s="97"/>
      <c r="G211" s="1"/>
      <c r="H211" s="1"/>
      <c r="I211" s="1"/>
      <c r="J211" s="2"/>
      <c r="K211" s="1"/>
      <c r="L211" s="3"/>
      <c r="M211" s="1"/>
      <c r="AE211" s="1"/>
      <c r="AF211" s="1"/>
      <c r="AG211" s="1"/>
      <c r="AH211" s="1"/>
      <c r="AI211" s="1"/>
    </row>
    <row r="212" spans="1:35" s="18" customFormat="1" x14ac:dyDescent="0.2">
      <c r="A212" s="97"/>
      <c r="B212" s="97"/>
      <c r="C212" s="97"/>
      <c r="D212" s="97"/>
      <c r="E212" s="97"/>
      <c r="F212" s="97"/>
      <c r="G212" s="1"/>
      <c r="H212" s="1"/>
      <c r="I212" s="1"/>
      <c r="J212" s="2"/>
      <c r="K212" s="1"/>
      <c r="L212" s="3"/>
      <c r="M212" s="1"/>
      <c r="AE212" s="1"/>
      <c r="AF212" s="1"/>
      <c r="AG212" s="1"/>
      <c r="AH212" s="1"/>
      <c r="AI212" s="1"/>
    </row>
    <row r="213" spans="1:35" s="18" customFormat="1" x14ac:dyDescent="0.2">
      <c r="A213" s="97"/>
      <c r="B213" s="97"/>
      <c r="C213" s="97"/>
      <c r="D213" s="97"/>
      <c r="E213" s="97"/>
      <c r="F213" s="97"/>
      <c r="G213" s="1"/>
      <c r="H213" s="1"/>
      <c r="I213" s="1"/>
      <c r="J213" s="2"/>
      <c r="K213" s="1"/>
      <c r="L213" s="3"/>
      <c r="M213" s="1"/>
      <c r="AE213" s="1"/>
      <c r="AF213" s="1"/>
      <c r="AG213" s="1"/>
      <c r="AH213" s="1"/>
      <c r="AI213" s="1"/>
    </row>
    <row r="214" spans="1:35" s="18" customFormat="1" x14ac:dyDescent="0.2">
      <c r="A214" s="97"/>
      <c r="B214" s="97"/>
      <c r="C214" s="97"/>
      <c r="D214" s="97"/>
      <c r="E214" s="97"/>
      <c r="F214" s="97"/>
      <c r="G214" s="1"/>
      <c r="H214" s="1"/>
      <c r="I214" s="1"/>
      <c r="J214" s="2"/>
      <c r="K214" s="1"/>
      <c r="L214" s="3"/>
      <c r="M214" s="1"/>
      <c r="AE214" s="1"/>
      <c r="AF214" s="1"/>
      <c r="AG214" s="1"/>
      <c r="AH214" s="1"/>
      <c r="AI214" s="1"/>
    </row>
    <row r="215" spans="1:35" s="18" customFormat="1" x14ac:dyDescent="0.2">
      <c r="A215" s="97"/>
      <c r="B215" s="97"/>
      <c r="C215" s="97"/>
      <c r="D215" s="97"/>
      <c r="E215" s="97"/>
      <c r="F215" s="97"/>
      <c r="G215" s="1"/>
      <c r="H215" s="1"/>
      <c r="I215" s="1"/>
      <c r="J215" s="2"/>
      <c r="K215" s="1"/>
      <c r="L215" s="3"/>
      <c r="M215" s="1"/>
      <c r="AE215" s="1"/>
      <c r="AF215" s="1"/>
      <c r="AG215" s="1"/>
      <c r="AH215" s="1"/>
      <c r="AI215" s="1"/>
    </row>
    <row r="216" spans="1:35" s="18" customFormat="1" x14ac:dyDescent="0.2">
      <c r="A216" s="97"/>
      <c r="B216" s="97"/>
      <c r="C216" s="97"/>
      <c r="D216" s="97"/>
      <c r="E216" s="97"/>
      <c r="F216" s="97"/>
      <c r="G216" s="1"/>
      <c r="H216" s="1"/>
      <c r="I216" s="1"/>
      <c r="J216" s="2"/>
      <c r="K216" s="1"/>
      <c r="L216" s="3"/>
      <c r="M216" s="1"/>
      <c r="AE216" s="1"/>
      <c r="AF216" s="1"/>
      <c r="AG216" s="1"/>
      <c r="AH216" s="1"/>
      <c r="AI216" s="1"/>
    </row>
    <row r="217" spans="1:35" s="18" customFormat="1" x14ac:dyDescent="0.2">
      <c r="A217" s="97"/>
      <c r="B217" s="97"/>
      <c r="C217" s="97"/>
      <c r="D217" s="97"/>
      <c r="E217" s="97"/>
      <c r="F217" s="97"/>
      <c r="G217" s="1"/>
      <c r="H217" s="1"/>
      <c r="I217" s="1"/>
      <c r="J217" s="2"/>
      <c r="K217" s="1"/>
      <c r="L217" s="3"/>
      <c r="M217" s="1"/>
      <c r="AE217" s="1"/>
      <c r="AF217" s="1"/>
      <c r="AG217" s="1"/>
      <c r="AH217" s="1"/>
      <c r="AI217" s="1"/>
    </row>
    <row r="218" spans="1:35" s="18" customFormat="1" x14ac:dyDescent="0.2">
      <c r="A218" s="97"/>
      <c r="B218" s="97"/>
      <c r="C218" s="97"/>
      <c r="D218" s="97"/>
      <c r="E218" s="97"/>
      <c r="F218" s="97"/>
      <c r="G218" s="1"/>
      <c r="H218" s="1"/>
      <c r="I218" s="1"/>
      <c r="J218" s="2"/>
      <c r="K218" s="1"/>
      <c r="L218" s="3"/>
      <c r="M218" s="1"/>
      <c r="AE218" s="1"/>
      <c r="AF218" s="1"/>
      <c r="AG218" s="1"/>
      <c r="AH218" s="1"/>
      <c r="AI218" s="1"/>
    </row>
    <row r="219" spans="1:35" s="18" customFormat="1" x14ac:dyDescent="0.2">
      <c r="A219" s="97"/>
      <c r="B219" s="97"/>
      <c r="C219" s="97"/>
      <c r="D219" s="97"/>
      <c r="E219" s="97"/>
      <c r="F219" s="97"/>
      <c r="G219" s="1"/>
      <c r="H219" s="1"/>
      <c r="I219" s="1"/>
      <c r="J219" s="2"/>
      <c r="K219" s="1"/>
      <c r="L219" s="3"/>
      <c r="M219" s="1"/>
      <c r="AE219" s="1"/>
      <c r="AF219" s="1"/>
      <c r="AG219" s="1"/>
      <c r="AH219" s="1"/>
      <c r="AI219" s="1"/>
    </row>
    <row r="220" spans="1:35" s="18" customFormat="1" x14ac:dyDescent="0.2">
      <c r="A220" s="97"/>
      <c r="B220" s="97"/>
      <c r="C220" s="97"/>
      <c r="D220" s="97"/>
      <c r="E220" s="97"/>
      <c r="F220" s="97"/>
      <c r="G220" s="1"/>
      <c r="H220" s="1"/>
      <c r="I220" s="1"/>
      <c r="J220" s="2"/>
      <c r="K220" s="1"/>
      <c r="L220" s="3"/>
      <c r="M220" s="1"/>
      <c r="AE220" s="1"/>
      <c r="AF220" s="1"/>
      <c r="AG220" s="1"/>
      <c r="AH220" s="1"/>
      <c r="AI220" s="1"/>
    </row>
    <row r="221" spans="1:35" s="18" customFormat="1" x14ac:dyDescent="0.2">
      <c r="A221" s="97"/>
      <c r="B221" s="97"/>
      <c r="C221" s="97"/>
      <c r="D221" s="97"/>
      <c r="E221" s="97"/>
      <c r="F221" s="97"/>
      <c r="G221" s="1"/>
      <c r="H221" s="1"/>
      <c r="I221" s="1"/>
      <c r="J221" s="2"/>
      <c r="K221" s="1"/>
      <c r="L221" s="3"/>
      <c r="M221" s="1"/>
      <c r="AE221" s="1"/>
      <c r="AF221" s="1"/>
      <c r="AG221" s="1"/>
      <c r="AH221" s="1"/>
      <c r="AI221" s="1"/>
    </row>
    <row r="222" spans="1:35" s="18" customFormat="1" x14ac:dyDescent="0.2">
      <c r="A222" s="97"/>
      <c r="B222" s="97"/>
      <c r="C222" s="97"/>
      <c r="D222" s="97"/>
      <c r="E222" s="97"/>
      <c r="F222" s="97"/>
      <c r="G222" s="1"/>
      <c r="H222" s="1"/>
      <c r="I222" s="1"/>
      <c r="J222" s="2"/>
      <c r="K222" s="1"/>
      <c r="L222" s="3"/>
      <c r="M222" s="1"/>
      <c r="AE222" s="1"/>
      <c r="AF222" s="1"/>
      <c r="AG222" s="1"/>
      <c r="AH222" s="1"/>
      <c r="AI222" s="1"/>
    </row>
    <row r="223" spans="1:35" s="18" customFormat="1" x14ac:dyDescent="0.2">
      <c r="A223" s="97"/>
      <c r="B223" s="97"/>
      <c r="C223" s="97"/>
      <c r="D223" s="97"/>
      <c r="E223" s="97"/>
      <c r="F223" s="97"/>
      <c r="G223" s="1"/>
      <c r="H223" s="1"/>
      <c r="I223" s="1"/>
      <c r="J223" s="2"/>
      <c r="K223" s="1"/>
      <c r="L223" s="3"/>
      <c r="M223" s="1"/>
      <c r="AE223" s="1"/>
      <c r="AF223" s="1"/>
      <c r="AG223" s="1"/>
      <c r="AH223" s="1"/>
      <c r="AI223" s="1"/>
    </row>
    <row r="224" spans="1:35" s="18" customFormat="1" x14ac:dyDescent="0.2">
      <c r="A224" s="97"/>
      <c r="B224" s="97"/>
      <c r="C224" s="97"/>
      <c r="D224" s="97"/>
      <c r="E224" s="97"/>
      <c r="F224" s="97"/>
      <c r="G224" s="1"/>
      <c r="H224" s="1"/>
      <c r="I224" s="1"/>
      <c r="J224" s="2"/>
      <c r="K224" s="1"/>
      <c r="L224" s="3"/>
      <c r="M224" s="1"/>
      <c r="AE224" s="1"/>
      <c r="AF224" s="1"/>
      <c r="AG224" s="1"/>
      <c r="AH224" s="1"/>
      <c r="AI224" s="1"/>
    </row>
    <row r="225" spans="1:35" s="18" customFormat="1" x14ac:dyDescent="0.2">
      <c r="A225" s="97"/>
      <c r="B225" s="97"/>
      <c r="C225" s="97"/>
      <c r="D225" s="97"/>
      <c r="E225" s="97"/>
      <c r="F225" s="97"/>
      <c r="G225" s="1"/>
      <c r="H225" s="1"/>
      <c r="I225" s="1"/>
      <c r="J225" s="2"/>
      <c r="K225" s="1"/>
      <c r="L225" s="3"/>
      <c r="M225" s="1"/>
      <c r="AE225" s="1"/>
      <c r="AF225" s="1"/>
      <c r="AG225" s="1"/>
      <c r="AH225" s="1"/>
      <c r="AI225" s="1"/>
    </row>
    <row r="226" spans="1:35" s="18" customFormat="1" x14ac:dyDescent="0.2">
      <c r="A226" s="97"/>
      <c r="B226" s="97"/>
      <c r="C226" s="97"/>
      <c r="D226" s="97"/>
      <c r="E226" s="97"/>
      <c r="F226" s="97"/>
      <c r="G226" s="1"/>
      <c r="H226" s="1"/>
      <c r="I226" s="1"/>
      <c r="J226" s="2"/>
      <c r="K226" s="1"/>
      <c r="L226" s="3"/>
      <c r="M226" s="1"/>
      <c r="AE226" s="1"/>
      <c r="AF226" s="1"/>
      <c r="AG226" s="1"/>
      <c r="AH226" s="1"/>
      <c r="AI226" s="1"/>
    </row>
    <row r="227" spans="1:35" s="18" customFormat="1" x14ac:dyDescent="0.2">
      <c r="A227" s="97"/>
      <c r="B227" s="97"/>
      <c r="C227" s="97"/>
      <c r="D227" s="97"/>
      <c r="E227" s="97"/>
      <c r="F227" s="97"/>
      <c r="G227" s="1"/>
      <c r="H227" s="1"/>
      <c r="I227" s="1"/>
      <c r="J227" s="2"/>
      <c r="K227" s="1"/>
      <c r="L227" s="3"/>
      <c r="M227" s="1"/>
      <c r="AE227" s="1"/>
      <c r="AF227" s="1"/>
      <c r="AG227" s="1"/>
      <c r="AH227" s="1"/>
      <c r="AI227" s="1"/>
    </row>
    <row r="228" spans="1:35" s="18" customFormat="1" x14ac:dyDescent="0.2">
      <c r="A228" s="97"/>
      <c r="B228" s="97"/>
      <c r="C228" s="97"/>
      <c r="D228" s="97"/>
      <c r="E228" s="97"/>
      <c r="F228" s="97"/>
      <c r="G228" s="1"/>
      <c r="H228" s="1"/>
      <c r="I228" s="1"/>
      <c r="J228" s="2"/>
      <c r="K228" s="1"/>
      <c r="L228" s="3"/>
      <c r="M228" s="1"/>
      <c r="AE228" s="1"/>
      <c r="AF228" s="1"/>
      <c r="AG228" s="1"/>
      <c r="AH228" s="1"/>
      <c r="AI228" s="1"/>
    </row>
    <row r="229" spans="1:35" s="18" customFormat="1" x14ac:dyDescent="0.2">
      <c r="A229" s="97"/>
      <c r="B229" s="97"/>
      <c r="C229" s="97"/>
      <c r="D229" s="97"/>
      <c r="E229" s="97"/>
      <c r="F229" s="97"/>
      <c r="G229" s="1"/>
      <c r="H229" s="1"/>
      <c r="I229" s="1"/>
      <c r="J229" s="2"/>
      <c r="K229" s="1"/>
      <c r="L229" s="3"/>
      <c r="M229" s="1"/>
      <c r="AE229" s="1"/>
      <c r="AF229" s="1"/>
      <c r="AG229" s="1"/>
      <c r="AH229" s="1"/>
      <c r="AI229" s="1"/>
    </row>
    <row r="230" spans="1:35" s="18" customFormat="1" x14ac:dyDescent="0.2">
      <c r="A230" s="97"/>
      <c r="B230" s="97"/>
      <c r="C230" s="97"/>
      <c r="D230" s="97"/>
      <c r="E230" s="97"/>
      <c r="F230" s="97"/>
      <c r="G230" s="1"/>
      <c r="H230" s="1"/>
      <c r="I230" s="1"/>
      <c r="J230" s="2"/>
      <c r="K230" s="1"/>
      <c r="L230" s="3"/>
      <c r="M230" s="1"/>
      <c r="AE230" s="1"/>
      <c r="AF230" s="1"/>
      <c r="AG230" s="1"/>
      <c r="AH230" s="1"/>
      <c r="AI230" s="1"/>
    </row>
    <row r="231" spans="1:35" s="18" customFormat="1" x14ac:dyDescent="0.2">
      <c r="A231" s="97"/>
      <c r="B231" s="97"/>
      <c r="C231" s="97"/>
      <c r="D231" s="97"/>
      <c r="E231" s="97"/>
      <c r="F231" s="97"/>
      <c r="G231" s="1"/>
      <c r="H231" s="1"/>
      <c r="I231" s="1"/>
      <c r="J231" s="2"/>
      <c r="K231" s="1"/>
      <c r="L231" s="3"/>
      <c r="M231" s="1"/>
      <c r="AE231" s="1"/>
      <c r="AF231" s="1"/>
      <c r="AG231" s="1"/>
      <c r="AH231" s="1"/>
      <c r="AI231" s="1"/>
    </row>
    <row r="232" spans="1:35" s="18" customFormat="1" x14ac:dyDescent="0.2">
      <c r="A232" s="97"/>
      <c r="B232" s="97"/>
      <c r="C232" s="97"/>
      <c r="D232" s="97"/>
      <c r="E232" s="97"/>
      <c r="F232" s="97"/>
      <c r="G232" s="1"/>
      <c r="H232" s="1"/>
      <c r="I232" s="1"/>
      <c r="J232" s="2"/>
      <c r="K232" s="1"/>
      <c r="L232" s="3"/>
      <c r="M232" s="1"/>
      <c r="AE232" s="1"/>
      <c r="AF232" s="1"/>
      <c r="AG232" s="1"/>
      <c r="AH232" s="1"/>
      <c r="AI232" s="1"/>
    </row>
    <row r="233" spans="1:35" s="18" customFormat="1" x14ac:dyDescent="0.2">
      <c r="A233" s="97"/>
      <c r="B233" s="97"/>
      <c r="C233" s="97"/>
      <c r="D233" s="97"/>
      <c r="E233" s="97"/>
      <c r="F233" s="97"/>
      <c r="G233" s="1"/>
      <c r="H233" s="1"/>
      <c r="I233" s="1"/>
      <c r="J233" s="2"/>
      <c r="K233" s="1"/>
      <c r="L233" s="3"/>
      <c r="M233" s="1"/>
      <c r="AE233" s="1"/>
      <c r="AF233" s="1"/>
      <c r="AG233" s="1"/>
      <c r="AH233" s="1"/>
      <c r="AI233" s="1"/>
    </row>
    <row r="234" spans="1:35" s="18" customFormat="1" x14ac:dyDescent="0.2">
      <c r="A234" s="97"/>
      <c r="B234" s="97"/>
      <c r="C234" s="97"/>
      <c r="D234" s="97"/>
      <c r="E234" s="97"/>
      <c r="F234" s="97"/>
      <c r="G234" s="1"/>
      <c r="H234" s="1"/>
      <c r="I234" s="1"/>
      <c r="J234" s="2"/>
      <c r="K234" s="1"/>
      <c r="L234" s="3"/>
      <c r="M234" s="1"/>
      <c r="AE234" s="1"/>
      <c r="AF234" s="1"/>
      <c r="AG234" s="1"/>
      <c r="AH234" s="1"/>
      <c r="AI234" s="1"/>
    </row>
    <row r="235" spans="1:35" s="18" customFormat="1" x14ac:dyDescent="0.2">
      <c r="A235" s="97"/>
      <c r="B235" s="97"/>
      <c r="C235" s="97"/>
      <c r="D235" s="97"/>
      <c r="E235" s="97"/>
      <c r="F235" s="97"/>
      <c r="G235" s="1"/>
      <c r="H235" s="1"/>
      <c r="I235" s="1"/>
      <c r="J235" s="2"/>
      <c r="K235" s="1"/>
      <c r="L235" s="3"/>
      <c r="M235" s="1"/>
      <c r="AE235" s="1"/>
      <c r="AF235" s="1"/>
      <c r="AG235" s="1"/>
      <c r="AH235" s="1"/>
      <c r="AI235" s="1"/>
    </row>
    <row r="236" spans="1:35" s="18" customFormat="1" x14ac:dyDescent="0.2">
      <c r="A236" s="97"/>
      <c r="B236" s="97"/>
      <c r="C236" s="97"/>
      <c r="D236" s="97"/>
      <c r="E236" s="97"/>
      <c r="F236" s="97"/>
      <c r="G236" s="1"/>
      <c r="H236" s="1"/>
      <c r="I236" s="1"/>
      <c r="J236" s="2"/>
      <c r="K236" s="1"/>
      <c r="L236" s="3"/>
      <c r="M236" s="1"/>
      <c r="AE236" s="1"/>
      <c r="AF236" s="1"/>
      <c r="AG236" s="1"/>
      <c r="AH236" s="1"/>
      <c r="AI236" s="1"/>
    </row>
    <row r="237" spans="1:35" s="18" customFormat="1" x14ac:dyDescent="0.2">
      <c r="A237" s="97"/>
      <c r="B237" s="97"/>
      <c r="C237" s="97"/>
      <c r="D237" s="97"/>
      <c r="E237" s="97"/>
      <c r="F237" s="97"/>
      <c r="G237" s="1"/>
      <c r="H237" s="1"/>
      <c r="I237" s="1"/>
      <c r="J237" s="2"/>
      <c r="K237" s="1"/>
      <c r="L237" s="3"/>
      <c r="M237" s="1"/>
      <c r="AE237" s="1"/>
      <c r="AF237" s="1"/>
      <c r="AG237" s="1"/>
      <c r="AH237" s="1"/>
      <c r="AI237" s="1"/>
    </row>
    <row r="238" spans="1:35" s="18" customFormat="1" x14ac:dyDescent="0.2">
      <c r="A238" s="97"/>
      <c r="B238" s="97"/>
      <c r="C238" s="97"/>
      <c r="D238" s="97"/>
      <c r="E238" s="97"/>
      <c r="F238" s="97"/>
      <c r="G238" s="1"/>
      <c r="H238" s="1"/>
      <c r="I238" s="1"/>
      <c r="J238" s="2"/>
      <c r="K238" s="1"/>
      <c r="L238" s="3"/>
      <c r="M238" s="1"/>
      <c r="AE238" s="1"/>
      <c r="AF238" s="1"/>
      <c r="AG238" s="1"/>
      <c r="AH238" s="1"/>
      <c r="AI238" s="1"/>
    </row>
    <row r="239" spans="1:35" s="18" customFormat="1" x14ac:dyDescent="0.2">
      <c r="A239" s="97"/>
      <c r="B239" s="97"/>
      <c r="C239" s="97"/>
      <c r="D239" s="97"/>
      <c r="E239" s="97"/>
      <c r="F239" s="97"/>
      <c r="G239" s="1"/>
      <c r="H239" s="1"/>
      <c r="I239" s="1"/>
      <c r="J239" s="2"/>
      <c r="K239" s="1"/>
      <c r="L239" s="3"/>
      <c r="M239" s="1"/>
      <c r="AE239" s="1"/>
      <c r="AF239" s="1"/>
      <c r="AG239" s="1"/>
      <c r="AH239" s="1"/>
      <c r="AI239" s="1"/>
    </row>
    <row r="240" spans="1:35" s="18" customFormat="1" x14ac:dyDescent="0.2">
      <c r="A240" s="97"/>
      <c r="B240" s="97"/>
      <c r="C240" s="97"/>
      <c r="D240" s="97"/>
      <c r="E240" s="97"/>
      <c r="F240" s="97"/>
      <c r="G240" s="1"/>
      <c r="H240" s="1"/>
      <c r="I240" s="1"/>
      <c r="J240" s="2"/>
      <c r="K240" s="1"/>
      <c r="L240" s="3"/>
      <c r="M240" s="1"/>
      <c r="AE240" s="1"/>
      <c r="AF240" s="1"/>
      <c r="AG240" s="1"/>
      <c r="AH240" s="1"/>
      <c r="AI240" s="1"/>
    </row>
    <row r="241" spans="1:35" s="18" customFormat="1" x14ac:dyDescent="0.2">
      <c r="A241" s="97"/>
      <c r="B241" s="97"/>
      <c r="C241" s="97"/>
      <c r="D241" s="97"/>
      <c r="E241" s="97"/>
      <c r="F241" s="97"/>
      <c r="G241" s="1"/>
      <c r="H241" s="1"/>
      <c r="I241" s="1"/>
      <c r="J241" s="2"/>
      <c r="K241" s="1"/>
      <c r="L241" s="3"/>
      <c r="M241" s="1"/>
      <c r="N241" s="1"/>
      <c r="AE241" s="1"/>
      <c r="AF241" s="1"/>
      <c r="AG241" s="1"/>
      <c r="AH241" s="1"/>
      <c r="AI241" s="1"/>
    </row>
    <row r="242" spans="1:35" x14ac:dyDescent="0.2">
      <c r="A242" s="97"/>
      <c r="B242" s="97"/>
      <c r="C242" s="97"/>
      <c r="D242" s="97"/>
      <c r="E242" s="97"/>
      <c r="F242" s="97"/>
    </row>
  </sheetData>
  <conditionalFormatting sqref="N9:AD9 T45:AE45 N32:AD48 N13:AD15 N17:AD20 N50:AD50 N22:AD23 N29:AD30">
    <cfRule type="cellIs" dxfId="250" priority="8" operator="lessThan">
      <formula>0</formula>
    </cfRule>
  </conditionalFormatting>
  <conditionalFormatting sqref="N11:AD11">
    <cfRule type="cellIs" dxfId="249" priority="7" operator="lessThan">
      <formula>0</formula>
    </cfRule>
  </conditionalFormatting>
  <conditionalFormatting sqref="N49:AD49">
    <cfRule type="cellIs" dxfId="248" priority="3" operator="lessThan">
      <formula>0</formula>
    </cfRule>
  </conditionalFormatting>
  <conditionalFormatting sqref="N27:AD28">
    <cfRule type="cellIs" dxfId="247" priority="2" operator="lessThan">
      <formula>0</formula>
    </cfRule>
  </conditionalFormatting>
  <conditionalFormatting sqref="N25:AD25">
    <cfRule type="cellIs" dxfId="246" priority="1" operator="lessThan">
      <formula>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62C3AD"/>
  </sheetPr>
  <dimension ref="A1:BA761"/>
  <sheetViews>
    <sheetView zoomScale="85" zoomScaleNormal="85" workbookViewId="0">
      <pane xSplit="11" ySplit="6" topLeftCell="L337" activePane="bottomRight" state="frozen"/>
      <selection activeCell="AA47" sqref="AA47"/>
      <selection pane="topRight" activeCell="AA47" sqref="AA47"/>
      <selection pane="bottomLeft" activeCell="AA47" sqref="AA47"/>
      <selection pane="bottomRight" activeCell="T355" sqref="T355"/>
    </sheetView>
  </sheetViews>
  <sheetFormatPr defaultColWidth="0" defaultRowHeight="12" outlineLevelRow="1"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13.6640625" style="1" bestFit="1" customWidth="1"/>
    <col min="14" max="14" width="17.109375" style="1" hidden="1" customWidth="1" outlineLevel="1"/>
    <col min="15" max="17" width="16" style="18" hidden="1" customWidth="1" outlineLevel="1"/>
    <col min="18" max="18" width="16" style="18" customWidth="1" collapsed="1"/>
    <col min="19"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241</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5"/>
      <c r="AF4" s="5"/>
      <c r="AG4" s="5"/>
      <c r="AH4" s="5"/>
      <c r="AI4" s="5"/>
      <c r="AJ4" s="5"/>
      <c r="AK4" s="5"/>
      <c r="AL4" s="5"/>
      <c r="AM4" s="5"/>
      <c r="AN4" s="5"/>
      <c r="AO4" s="5"/>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97"/>
      <c r="AQ6" s="97"/>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97"/>
      <c r="AQ7" s="97"/>
    </row>
    <row r="8" spans="1:43" ht="13.2" thickTop="1" x14ac:dyDescent="0.25">
      <c r="A8" s="11"/>
      <c r="B8" s="12" t="str">
        <f>B3</f>
        <v>Financing</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9</v>
      </c>
      <c r="F9" s="18"/>
      <c r="N9" s="18"/>
      <c r="O9" s="19"/>
    </row>
    <row r="10" spans="1:43" ht="12.6" thickBot="1" x14ac:dyDescent="0.25">
      <c r="N10" s="18"/>
    </row>
    <row r="11" spans="1:43" ht="12.6" thickTop="1" x14ac:dyDescent="0.2">
      <c r="B11" s="20"/>
      <c r="C11" s="336" t="s">
        <v>237</v>
      </c>
      <c r="D11" s="337"/>
      <c r="E11" s="338"/>
      <c r="F11" s="338"/>
      <c r="G11" s="338"/>
      <c r="H11" s="338"/>
      <c r="I11" s="338"/>
      <c r="J11" s="340"/>
      <c r="K11" s="338"/>
      <c r="L11" s="342"/>
      <c r="M11" s="338"/>
      <c r="N11" s="343"/>
      <c r="O11" s="343"/>
      <c r="P11" s="343"/>
      <c r="Q11" s="343"/>
      <c r="R11" s="343"/>
      <c r="S11" s="343"/>
      <c r="T11" s="343"/>
      <c r="U11" s="343"/>
      <c r="V11" s="343"/>
      <c r="W11" s="343"/>
      <c r="X11" s="343"/>
      <c r="Y11" s="343"/>
      <c r="Z11" s="343"/>
      <c r="AA11" s="343"/>
      <c r="AB11" s="343"/>
      <c r="AC11" s="343"/>
      <c r="AD11" s="343"/>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ht="12.6" x14ac:dyDescent="0.25">
      <c r="C13" s="17"/>
      <c r="D13" s="35" t="s">
        <v>236</v>
      </c>
      <c r="H13" s="25"/>
      <c r="M13" s="25"/>
      <c r="N13" s="25"/>
      <c r="O13" s="25"/>
      <c r="P13" s="18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row>
    <row r="14" spans="1:43" x14ac:dyDescent="0.2">
      <c r="E14" s="1" t="s">
        <v>228</v>
      </c>
      <c r="H14" s="25"/>
      <c r="J14" s="98" t="s">
        <v>1205</v>
      </c>
      <c r="M14" s="25"/>
      <c r="N14" s="25"/>
      <c r="O14" s="25"/>
      <c r="P14" s="25"/>
      <c r="Q14" s="25"/>
      <c r="R14" s="101"/>
      <c r="S14" s="101"/>
      <c r="T14" s="101"/>
      <c r="U14" s="101"/>
      <c r="V14" s="101"/>
      <c r="W14" s="101"/>
      <c r="X14" s="101"/>
      <c r="Y14" s="101"/>
      <c r="Z14" s="101"/>
      <c r="AA14" s="101"/>
      <c r="AB14" s="101"/>
      <c r="AC14" s="101"/>
      <c r="AD14" s="101"/>
      <c r="AE14" s="25"/>
      <c r="AF14" s="25"/>
      <c r="AG14" s="25"/>
      <c r="AH14" s="25"/>
      <c r="AI14" s="25"/>
      <c r="AJ14" s="25"/>
      <c r="AK14" s="25"/>
      <c r="AL14" s="25"/>
      <c r="AM14" s="25"/>
      <c r="AN14" s="25"/>
      <c r="AO14" s="25"/>
    </row>
    <row r="15" spans="1:43" x14ac:dyDescent="0.2">
      <c r="E15" s="97" t="s">
        <v>520</v>
      </c>
      <c r="H15" s="25"/>
      <c r="J15" s="98" t="s">
        <v>1205</v>
      </c>
      <c r="M15" s="25"/>
      <c r="N15" s="25"/>
      <c r="O15" s="25"/>
      <c r="P15" s="25"/>
      <c r="Q15" s="25"/>
      <c r="R15" s="101"/>
      <c r="S15" s="101" t="e">
        <f t="shared" ref="S15:AD15" si="1">Finance_TL1_Finance_Charges</f>
        <v>#NAME?</v>
      </c>
      <c r="T15" s="101" t="e">
        <f t="shared" si="1"/>
        <v>#NAME?</v>
      </c>
      <c r="U15" s="101" t="e">
        <f t="shared" si="1"/>
        <v>#NAME?</v>
      </c>
      <c r="V15" s="101" t="e">
        <f t="shared" si="1"/>
        <v>#NAME?</v>
      </c>
      <c r="W15" s="101" t="e">
        <f t="shared" si="1"/>
        <v>#NAME?</v>
      </c>
      <c r="X15" s="101" t="e">
        <f t="shared" si="1"/>
        <v>#NAME?</v>
      </c>
      <c r="Y15" s="101" t="e">
        <f t="shared" si="1"/>
        <v>#NAME?</v>
      </c>
      <c r="Z15" s="101" t="e">
        <f t="shared" si="1"/>
        <v>#NAME?</v>
      </c>
      <c r="AA15" s="101" t="e">
        <f t="shared" si="1"/>
        <v>#NAME?</v>
      </c>
      <c r="AB15" s="101" t="e">
        <f t="shared" si="1"/>
        <v>#NAME?</v>
      </c>
      <c r="AC15" s="101" t="e">
        <f t="shared" si="1"/>
        <v>#NAME?</v>
      </c>
      <c r="AD15" s="101" t="e">
        <f t="shared" si="1"/>
        <v>#NAME?</v>
      </c>
      <c r="AE15" s="25"/>
      <c r="AF15" s="25"/>
      <c r="AG15" s="25"/>
      <c r="AH15" s="25"/>
      <c r="AI15" s="25"/>
      <c r="AJ15" s="25"/>
      <c r="AK15" s="25"/>
      <c r="AL15" s="25"/>
      <c r="AM15" s="25"/>
      <c r="AN15" s="25"/>
      <c r="AO15" s="25"/>
    </row>
    <row r="16" spans="1:43" x14ac:dyDescent="0.2">
      <c r="E16" s="97" t="s">
        <v>521</v>
      </c>
      <c r="H16" s="25"/>
      <c r="J16" s="98" t="s">
        <v>1205</v>
      </c>
      <c r="M16" s="25"/>
      <c r="N16" s="25"/>
      <c r="O16" s="25"/>
      <c r="P16" s="25"/>
      <c r="Q16" s="25"/>
      <c r="R16" s="101"/>
      <c r="S16" s="101" t="e">
        <f t="shared" ref="S16:AD16" si="2">Finance_TL2_Finance_Charges</f>
        <v>#NAME?</v>
      </c>
      <c r="T16" s="101" t="e">
        <f t="shared" si="2"/>
        <v>#NAME?</v>
      </c>
      <c r="U16" s="101" t="e">
        <f t="shared" si="2"/>
        <v>#NAME?</v>
      </c>
      <c r="V16" s="101" t="e">
        <f t="shared" si="2"/>
        <v>#NAME?</v>
      </c>
      <c r="W16" s="101" t="e">
        <f t="shared" si="2"/>
        <v>#NAME?</v>
      </c>
      <c r="X16" s="101" t="e">
        <f t="shared" si="2"/>
        <v>#NAME?</v>
      </c>
      <c r="Y16" s="101" t="e">
        <f t="shared" si="2"/>
        <v>#NAME?</v>
      </c>
      <c r="Z16" s="101" t="e">
        <f t="shared" si="2"/>
        <v>#NAME?</v>
      </c>
      <c r="AA16" s="101" t="e">
        <f t="shared" si="2"/>
        <v>#NAME?</v>
      </c>
      <c r="AB16" s="101" t="e">
        <f t="shared" si="2"/>
        <v>#NAME?</v>
      </c>
      <c r="AC16" s="101" t="e">
        <f t="shared" si="2"/>
        <v>#NAME?</v>
      </c>
      <c r="AD16" s="101" t="e">
        <f t="shared" si="2"/>
        <v>#NAME?</v>
      </c>
      <c r="AE16" s="25"/>
      <c r="AF16" s="25"/>
      <c r="AG16" s="25"/>
      <c r="AH16" s="25"/>
      <c r="AI16" s="25"/>
      <c r="AJ16" s="25"/>
      <c r="AK16" s="25"/>
      <c r="AL16" s="25"/>
      <c r="AM16" s="25"/>
      <c r="AN16" s="25"/>
      <c r="AO16" s="25"/>
    </row>
    <row r="17" spans="3:42" x14ac:dyDescent="0.2">
      <c r="E17" s="97" t="s">
        <v>522</v>
      </c>
      <c r="H17" s="25"/>
      <c r="J17" s="98" t="s">
        <v>1205</v>
      </c>
      <c r="M17" s="25"/>
      <c r="N17" s="25"/>
      <c r="O17" s="25"/>
      <c r="P17" s="25"/>
      <c r="Q17" s="25"/>
      <c r="R17" s="101"/>
      <c r="S17" s="101" t="e">
        <f t="shared" ref="S17:AD17" si="3">Finance_TL3_Finance_Charges</f>
        <v>#NAME?</v>
      </c>
      <c r="T17" s="101" t="e">
        <f t="shared" si="3"/>
        <v>#NAME?</v>
      </c>
      <c r="U17" s="101" t="e">
        <f t="shared" si="3"/>
        <v>#NAME?</v>
      </c>
      <c r="V17" s="101" t="e">
        <f t="shared" si="3"/>
        <v>#NAME?</v>
      </c>
      <c r="W17" s="101" t="e">
        <f t="shared" si="3"/>
        <v>#NAME?</v>
      </c>
      <c r="X17" s="101" t="e">
        <f t="shared" si="3"/>
        <v>#NAME?</v>
      </c>
      <c r="Y17" s="101" t="e">
        <f t="shared" si="3"/>
        <v>#NAME?</v>
      </c>
      <c r="Z17" s="101" t="e">
        <f t="shared" si="3"/>
        <v>#NAME?</v>
      </c>
      <c r="AA17" s="101" t="e">
        <f t="shared" si="3"/>
        <v>#NAME?</v>
      </c>
      <c r="AB17" s="101" t="e">
        <f t="shared" si="3"/>
        <v>#NAME?</v>
      </c>
      <c r="AC17" s="101" t="e">
        <f t="shared" si="3"/>
        <v>#NAME?</v>
      </c>
      <c r="AD17" s="101" t="e">
        <f t="shared" si="3"/>
        <v>#NAME?</v>
      </c>
      <c r="AE17" s="25"/>
      <c r="AF17" s="25"/>
      <c r="AG17" s="25"/>
      <c r="AH17" s="25"/>
      <c r="AI17" s="25"/>
      <c r="AJ17" s="25"/>
      <c r="AK17" s="25"/>
      <c r="AL17" s="25"/>
      <c r="AM17" s="25"/>
      <c r="AN17" s="25"/>
      <c r="AO17" s="25"/>
    </row>
    <row r="18" spans="3:42" x14ac:dyDescent="0.2">
      <c r="E18" s="1" t="s">
        <v>523</v>
      </c>
      <c r="H18" s="25"/>
      <c r="J18" s="98" t="s">
        <v>1205</v>
      </c>
      <c r="M18" s="25"/>
      <c r="N18" s="25"/>
      <c r="O18" s="25"/>
      <c r="P18" s="25"/>
      <c r="Q18" s="25"/>
      <c r="R18" s="101"/>
      <c r="S18" s="101" t="e">
        <f t="shared" ref="S18:AD18" si="4">Finance_TL4_Finance_Charges</f>
        <v>#NAME?</v>
      </c>
      <c r="T18" s="101" t="e">
        <f t="shared" si="4"/>
        <v>#NAME?</v>
      </c>
      <c r="U18" s="101" t="e">
        <f t="shared" si="4"/>
        <v>#NAME?</v>
      </c>
      <c r="V18" s="101" t="e">
        <f t="shared" si="4"/>
        <v>#NAME?</v>
      </c>
      <c r="W18" s="101" t="e">
        <f t="shared" si="4"/>
        <v>#NAME?</v>
      </c>
      <c r="X18" s="101" t="e">
        <f t="shared" si="4"/>
        <v>#NAME?</v>
      </c>
      <c r="Y18" s="101" t="e">
        <f t="shared" si="4"/>
        <v>#NAME?</v>
      </c>
      <c r="Z18" s="101" t="e">
        <f t="shared" si="4"/>
        <v>#NAME?</v>
      </c>
      <c r="AA18" s="101" t="e">
        <f t="shared" si="4"/>
        <v>#NAME?</v>
      </c>
      <c r="AB18" s="101" t="e">
        <f t="shared" si="4"/>
        <v>#NAME?</v>
      </c>
      <c r="AC18" s="101" t="e">
        <f t="shared" si="4"/>
        <v>#NAME?</v>
      </c>
      <c r="AD18" s="101" t="e">
        <f t="shared" si="4"/>
        <v>#NAME?</v>
      </c>
      <c r="AE18" s="25"/>
      <c r="AF18" s="25"/>
      <c r="AG18" s="25"/>
      <c r="AH18" s="25"/>
      <c r="AI18" s="25"/>
      <c r="AJ18" s="25"/>
      <c r="AK18" s="25"/>
      <c r="AL18" s="25"/>
      <c r="AM18" s="25"/>
      <c r="AN18" s="25"/>
      <c r="AO18" s="25"/>
    </row>
    <row r="19" spans="3:42" x14ac:dyDescent="0.2">
      <c r="E19" s="1" t="s">
        <v>524</v>
      </c>
      <c r="H19" s="25"/>
      <c r="J19" s="98" t="s">
        <v>1205</v>
      </c>
      <c r="M19" s="25"/>
      <c r="N19" s="25"/>
      <c r="O19" s="25"/>
      <c r="P19" s="25"/>
      <c r="Q19" s="25"/>
      <c r="R19" s="101"/>
      <c r="S19" s="101" t="e">
        <f t="shared" ref="S19:AD19" si="5">Finance_TL5_Finance_Charges</f>
        <v>#NAME?</v>
      </c>
      <c r="T19" s="101" t="e">
        <f t="shared" si="5"/>
        <v>#NAME?</v>
      </c>
      <c r="U19" s="101" t="e">
        <f t="shared" si="5"/>
        <v>#NAME?</v>
      </c>
      <c r="V19" s="101" t="e">
        <f t="shared" si="5"/>
        <v>#NAME?</v>
      </c>
      <c r="W19" s="101" t="e">
        <f t="shared" si="5"/>
        <v>#NAME?</v>
      </c>
      <c r="X19" s="101" t="e">
        <f t="shared" si="5"/>
        <v>#NAME?</v>
      </c>
      <c r="Y19" s="101" t="e">
        <f t="shared" si="5"/>
        <v>#NAME?</v>
      </c>
      <c r="Z19" s="101" t="e">
        <f t="shared" si="5"/>
        <v>#NAME?</v>
      </c>
      <c r="AA19" s="101" t="e">
        <f t="shared" si="5"/>
        <v>#NAME?</v>
      </c>
      <c r="AB19" s="101" t="e">
        <f t="shared" si="5"/>
        <v>#NAME?</v>
      </c>
      <c r="AC19" s="101" t="e">
        <f t="shared" si="5"/>
        <v>#NAME?</v>
      </c>
      <c r="AD19" s="101" t="e">
        <f t="shared" si="5"/>
        <v>#NAME?</v>
      </c>
      <c r="AE19" s="25"/>
      <c r="AF19" s="25"/>
      <c r="AG19" s="25"/>
      <c r="AH19" s="25"/>
      <c r="AI19" s="25"/>
      <c r="AJ19" s="25"/>
      <c r="AK19" s="25"/>
      <c r="AL19" s="25"/>
      <c r="AM19" s="25"/>
      <c r="AN19" s="25"/>
      <c r="AO19" s="25"/>
    </row>
    <row r="20" spans="3:42" ht="12.6" x14ac:dyDescent="0.25">
      <c r="E20" s="97"/>
      <c r="F20" s="97"/>
      <c r="G20" s="97"/>
      <c r="H20" s="101"/>
      <c r="I20" s="97"/>
      <c r="J20" s="98"/>
      <c r="K20" s="97"/>
      <c r="L20" s="99"/>
      <c r="M20" s="97"/>
      <c r="N20" s="109"/>
      <c r="O20" s="109"/>
      <c r="P20" s="109"/>
      <c r="Q20" s="109"/>
      <c r="R20" s="101"/>
      <c r="S20" s="103"/>
      <c r="T20" s="103"/>
      <c r="U20" s="103"/>
      <c r="V20" s="103"/>
      <c r="W20" s="103"/>
      <c r="X20" s="103"/>
      <c r="Y20" s="103"/>
      <c r="Z20" s="103"/>
      <c r="AA20" s="103"/>
      <c r="AB20" s="103"/>
      <c r="AC20" s="103"/>
      <c r="AD20" s="103"/>
      <c r="AE20" s="25"/>
      <c r="AF20" s="25"/>
      <c r="AG20" s="25"/>
      <c r="AH20" s="25"/>
      <c r="AI20" s="25"/>
      <c r="AJ20" s="25"/>
      <c r="AK20" s="25"/>
      <c r="AL20" s="25"/>
      <c r="AM20" s="25"/>
      <c r="AN20" s="25"/>
      <c r="AO20" s="25"/>
    </row>
    <row r="21" spans="3:42" x14ac:dyDescent="0.2">
      <c r="E21" s="1" t="s">
        <v>525</v>
      </c>
      <c r="H21" s="25"/>
      <c r="J21" s="98" t="s">
        <v>1205</v>
      </c>
      <c r="M21" s="25"/>
      <c r="N21" s="25"/>
      <c r="O21" s="25"/>
      <c r="P21" s="25"/>
      <c r="Q21" s="25"/>
      <c r="R21" s="101"/>
      <c r="S21" s="101">
        <v>0</v>
      </c>
      <c r="T21" s="101">
        <v>0</v>
      </c>
      <c r="U21" s="101">
        <v>0</v>
      </c>
      <c r="V21" s="101">
        <v>0</v>
      </c>
      <c r="W21" s="101">
        <v>0</v>
      </c>
      <c r="X21" s="101">
        <v>0</v>
      </c>
      <c r="Y21" s="101">
        <v>0</v>
      </c>
      <c r="Z21" s="101">
        <v>0</v>
      </c>
      <c r="AA21" s="101">
        <v>0</v>
      </c>
      <c r="AB21" s="101">
        <v>0</v>
      </c>
      <c r="AC21" s="101">
        <v>0</v>
      </c>
      <c r="AD21" s="101">
        <v>0</v>
      </c>
      <c r="AE21" s="25"/>
      <c r="AF21" s="25"/>
      <c r="AG21" s="25"/>
      <c r="AH21" s="25"/>
      <c r="AI21" s="25"/>
      <c r="AJ21" s="25"/>
      <c r="AK21" s="25"/>
      <c r="AL21" s="25"/>
      <c r="AM21" s="25"/>
      <c r="AN21" s="25"/>
      <c r="AO21" s="25"/>
    </row>
    <row r="22" spans="3:42" x14ac:dyDescent="0.2">
      <c r="E22" s="1" t="s">
        <v>525</v>
      </c>
      <c r="H22" s="25"/>
      <c r="J22" s="98" t="s">
        <v>1205</v>
      </c>
      <c r="M22" s="25"/>
      <c r="N22" s="25"/>
      <c r="O22" s="25"/>
      <c r="P22" s="25"/>
      <c r="Q22" s="25"/>
      <c r="R22" s="101"/>
      <c r="S22" s="101">
        <v>0</v>
      </c>
      <c r="T22" s="101">
        <v>0</v>
      </c>
      <c r="U22" s="101">
        <v>0</v>
      </c>
      <c r="V22" s="101">
        <v>0</v>
      </c>
      <c r="W22" s="101">
        <v>0</v>
      </c>
      <c r="X22" s="101">
        <v>0</v>
      </c>
      <c r="Y22" s="101">
        <v>0</v>
      </c>
      <c r="Z22" s="101">
        <v>0</v>
      </c>
      <c r="AA22" s="101">
        <v>0</v>
      </c>
      <c r="AB22" s="101">
        <v>0</v>
      </c>
      <c r="AC22" s="101">
        <v>0</v>
      </c>
      <c r="AD22" s="101">
        <v>0</v>
      </c>
      <c r="AE22" s="25"/>
      <c r="AF22" s="25"/>
      <c r="AG22" s="25"/>
      <c r="AH22" s="25"/>
      <c r="AI22" s="25"/>
      <c r="AJ22" s="25"/>
      <c r="AK22" s="25"/>
      <c r="AL22" s="25"/>
      <c r="AM22" s="25"/>
      <c r="AN22" s="25"/>
      <c r="AO22" s="25"/>
    </row>
    <row r="23" spans="3:42" x14ac:dyDescent="0.2">
      <c r="E23" s="1" t="s">
        <v>525</v>
      </c>
      <c r="H23" s="25"/>
      <c r="J23" s="98" t="s">
        <v>1205</v>
      </c>
      <c r="M23" s="25"/>
      <c r="N23" s="25"/>
      <c r="O23" s="25"/>
      <c r="P23" s="25"/>
      <c r="Q23" s="25"/>
      <c r="R23" s="101"/>
      <c r="S23" s="101">
        <v>0</v>
      </c>
      <c r="T23" s="101">
        <v>0</v>
      </c>
      <c r="U23" s="101">
        <v>0</v>
      </c>
      <c r="V23" s="101">
        <v>0</v>
      </c>
      <c r="W23" s="101">
        <v>0</v>
      </c>
      <c r="X23" s="101">
        <v>0</v>
      </c>
      <c r="Y23" s="101">
        <v>0</v>
      </c>
      <c r="Z23" s="101">
        <v>0</v>
      </c>
      <c r="AA23" s="101">
        <v>0</v>
      </c>
      <c r="AB23" s="101">
        <v>0</v>
      </c>
      <c r="AC23" s="101">
        <v>0</v>
      </c>
      <c r="AD23" s="101">
        <v>0</v>
      </c>
      <c r="AE23" s="25"/>
      <c r="AF23" s="25"/>
      <c r="AG23" s="25"/>
      <c r="AH23" s="25"/>
      <c r="AI23" s="25"/>
      <c r="AJ23" s="25"/>
      <c r="AK23" s="25"/>
      <c r="AL23" s="25"/>
      <c r="AM23" s="25"/>
      <c r="AN23" s="25"/>
      <c r="AO23" s="25"/>
    </row>
    <row r="24" spans="3:42" x14ac:dyDescent="0.2">
      <c r="E24" s="1" t="s">
        <v>525</v>
      </c>
      <c r="H24" s="25"/>
      <c r="J24" s="98" t="s">
        <v>1205</v>
      </c>
      <c r="M24" s="25"/>
      <c r="N24" s="25"/>
      <c r="O24" s="25"/>
      <c r="P24" s="25"/>
      <c r="Q24" s="25"/>
      <c r="R24" s="101"/>
      <c r="S24" s="101">
        <v>0</v>
      </c>
      <c r="T24" s="101">
        <v>0</v>
      </c>
      <c r="U24" s="101">
        <v>0</v>
      </c>
      <c r="V24" s="101">
        <v>0</v>
      </c>
      <c r="W24" s="101">
        <v>0</v>
      </c>
      <c r="X24" s="101">
        <v>0</v>
      </c>
      <c r="Y24" s="101">
        <v>0</v>
      </c>
      <c r="Z24" s="101">
        <v>0</v>
      </c>
      <c r="AA24" s="101">
        <v>0</v>
      </c>
      <c r="AB24" s="101">
        <v>0</v>
      </c>
      <c r="AC24" s="101">
        <v>0</v>
      </c>
      <c r="AD24" s="101">
        <v>0</v>
      </c>
      <c r="AE24" s="25"/>
      <c r="AF24" s="25"/>
      <c r="AG24" s="25"/>
      <c r="AH24" s="25"/>
      <c r="AI24" s="25"/>
      <c r="AJ24" s="25"/>
      <c r="AK24" s="25"/>
      <c r="AL24" s="25"/>
      <c r="AM24" s="25"/>
      <c r="AN24" s="25"/>
      <c r="AO24" s="25"/>
    </row>
    <row r="25" spans="3:42" x14ac:dyDescent="0.2">
      <c r="E25" s="1" t="s">
        <v>525</v>
      </c>
      <c r="H25" s="25"/>
      <c r="J25" s="98" t="s">
        <v>1205</v>
      </c>
      <c r="M25" s="25"/>
      <c r="N25" s="25"/>
      <c r="O25" s="25"/>
      <c r="P25" s="25"/>
      <c r="Q25" s="25"/>
      <c r="R25" s="101"/>
      <c r="S25" s="101">
        <v>0</v>
      </c>
      <c r="T25" s="101">
        <v>0</v>
      </c>
      <c r="U25" s="101">
        <v>0</v>
      </c>
      <c r="V25" s="101">
        <v>0</v>
      </c>
      <c r="W25" s="101">
        <v>0</v>
      </c>
      <c r="X25" s="101">
        <v>0</v>
      </c>
      <c r="Y25" s="101">
        <v>0</v>
      </c>
      <c r="Z25" s="101">
        <v>0</v>
      </c>
      <c r="AA25" s="101">
        <v>0</v>
      </c>
      <c r="AB25" s="101">
        <v>0</v>
      </c>
      <c r="AC25" s="101">
        <v>0</v>
      </c>
      <c r="AD25" s="101">
        <v>0</v>
      </c>
      <c r="AE25" s="25"/>
      <c r="AF25" s="25"/>
      <c r="AG25" s="25"/>
      <c r="AH25" s="25"/>
      <c r="AI25" s="25"/>
      <c r="AJ25" s="25"/>
      <c r="AK25" s="25"/>
      <c r="AL25" s="25"/>
      <c r="AM25" s="25"/>
      <c r="AN25" s="25"/>
      <c r="AO25" s="25"/>
    </row>
    <row r="26" spans="3:42" x14ac:dyDescent="0.2">
      <c r="E26" s="1" t="s">
        <v>406</v>
      </c>
      <c r="H26" s="25"/>
      <c r="J26" s="98" t="s">
        <v>1205</v>
      </c>
      <c r="M26" s="25"/>
      <c r="N26" s="25"/>
      <c r="O26" s="25"/>
      <c r="P26" s="25"/>
      <c r="Q26" s="25"/>
      <c r="R26" s="101"/>
      <c r="S26" s="101">
        <v>0</v>
      </c>
      <c r="T26" s="101">
        <v>0</v>
      </c>
      <c r="U26" s="101">
        <v>0</v>
      </c>
      <c r="V26" s="101">
        <v>0</v>
      </c>
      <c r="W26" s="101">
        <v>0</v>
      </c>
      <c r="X26" s="101">
        <v>0</v>
      </c>
      <c r="Y26" s="101">
        <v>0</v>
      </c>
      <c r="Z26" s="101">
        <v>0</v>
      </c>
      <c r="AA26" s="101">
        <v>0</v>
      </c>
      <c r="AB26" s="101">
        <v>0</v>
      </c>
      <c r="AC26" s="101">
        <v>0</v>
      </c>
      <c r="AD26" s="101">
        <v>0</v>
      </c>
      <c r="AE26" s="25"/>
      <c r="AF26" s="25"/>
      <c r="AG26" s="25"/>
      <c r="AH26" s="25"/>
      <c r="AI26" s="25"/>
      <c r="AJ26" s="25"/>
      <c r="AK26" s="25"/>
      <c r="AL26" s="25"/>
      <c r="AM26" s="25"/>
      <c r="AN26" s="25"/>
      <c r="AO26" s="25"/>
    </row>
    <row r="27" spans="3:42" x14ac:dyDescent="0.2">
      <c r="H27" s="25"/>
      <c r="J27" s="98"/>
      <c r="M27" s="25"/>
      <c r="N27" s="25"/>
      <c r="O27" s="25"/>
      <c r="P27" s="25"/>
      <c r="Q27" s="25"/>
      <c r="R27" s="101"/>
      <c r="S27" s="101"/>
      <c r="T27" s="101"/>
      <c r="U27" s="101"/>
      <c r="V27" s="101"/>
      <c r="W27" s="101"/>
      <c r="X27" s="101"/>
      <c r="Y27" s="101"/>
      <c r="Z27" s="101"/>
      <c r="AA27" s="101"/>
      <c r="AB27" s="101"/>
      <c r="AC27" s="101"/>
      <c r="AD27" s="101"/>
      <c r="AE27" s="25"/>
      <c r="AF27" s="25"/>
      <c r="AG27" s="25"/>
      <c r="AH27" s="25"/>
      <c r="AI27" s="25"/>
      <c r="AJ27" s="25"/>
      <c r="AK27" s="25"/>
      <c r="AL27" s="25"/>
      <c r="AM27" s="25"/>
      <c r="AN27" s="25"/>
      <c r="AO27" s="25"/>
    </row>
    <row r="28" spans="3:42" ht="12.6" x14ac:dyDescent="0.25">
      <c r="E28" s="27" t="s">
        <v>67</v>
      </c>
      <c r="F28" s="28"/>
      <c r="G28" s="28"/>
      <c r="H28" s="100"/>
      <c r="I28" s="28"/>
      <c r="J28" s="29" t="s">
        <v>1205</v>
      </c>
      <c r="K28" s="28"/>
      <c r="L28" s="30" t="s">
        <v>235</v>
      </c>
      <c r="M28" s="100"/>
      <c r="N28" s="100"/>
      <c r="O28" s="100"/>
      <c r="P28" s="100"/>
      <c r="Q28" s="100"/>
      <c r="R28" s="100"/>
      <c r="S28" s="66" t="e">
        <f>SUM(S14:S27)</f>
        <v>#NAME?</v>
      </c>
      <c r="T28" s="66" t="e">
        <f t="shared" ref="T28:AD28" si="6">SUM(T14:T27)</f>
        <v>#NAME?</v>
      </c>
      <c r="U28" s="66" t="e">
        <f t="shared" si="6"/>
        <v>#NAME?</v>
      </c>
      <c r="V28" s="66" t="e">
        <f t="shared" si="6"/>
        <v>#NAME?</v>
      </c>
      <c r="W28" s="66" t="e">
        <f t="shared" si="6"/>
        <v>#NAME?</v>
      </c>
      <c r="X28" s="66" t="e">
        <f t="shared" si="6"/>
        <v>#NAME?</v>
      </c>
      <c r="Y28" s="66" t="e">
        <f t="shared" si="6"/>
        <v>#NAME?</v>
      </c>
      <c r="Z28" s="66" t="e">
        <f t="shared" si="6"/>
        <v>#NAME?</v>
      </c>
      <c r="AA28" s="66" t="e">
        <f t="shared" si="6"/>
        <v>#NAME?</v>
      </c>
      <c r="AB28" s="66" t="e">
        <f t="shared" si="6"/>
        <v>#NAME?</v>
      </c>
      <c r="AC28" s="66" t="e">
        <f t="shared" si="6"/>
        <v>#NAME?</v>
      </c>
      <c r="AD28" s="66" t="e">
        <f t="shared" si="6"/>
        <v>#NAME?</v>
      </c>
      <c r="AE28" s="101"/>
      <c r="AF28" s="101"/>
      <c r="AG28" s="101"/>
      <c r="AH28" s="101"/>
      <c r="AI28" s="101"/>
      <c r="AJ28" s="101"/>
      <c r="AK28" s="101"/>
      <c r="AL28" s="101"/>
      <c r="AM28" s="101"/>
      <c r="AN28" s="101"/>
      <c r="AO28" s="101"/>
      <c r="AP28" s="97"/>
    </row>
    <row r="29" spans="3:42" s="97" customFormat="1" x14ac:dyDescent="0.2">
      <c r="H29" s="101"/>
      <c r="J29" s="98"/>
      <c r="L29" s="99"/>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row>
    <row r="30" spans="3:42" ht="12.6" x14ac:dyDescent="0.25">
      <c r="C30" s="17"/>
      <c r="D30" s="35" t="s">
        <v>234</v>
      </c>
      <c r="H30" s="25"/>
      <c r="M30" s="25"/>
      <c r="N30" s="25"/>
      <c r="O30" s="25"/>
      <c r="P30" s="18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row>
    <row r="31" spans="3:42" x14ac:dyDescent="0.2">
      <c r="E31" s="1" t="s">
        <v>228</v>
      </c>
      <c r="H31" s="25"/>
      <c r="J31" s="2" t="s">
        <v>1205</v>
      </c>
      <c r="M31" s="25"/>
      <c r="N31" s="25"/>
      <c r="O31" s="25"/>
      <c r="P31" s="25"/>
      <c r="Q31" s="25"/>
      <c r="R31" s="101"/>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spans="3:42" x14ac:dyDescent="0.2">
      <c r="E32" s="97" t="s">
        <v>520</v>
      </c>
      <c r="H32" s="25"/>
      <c r="J32" s="2" t="s">
        <v>1205</v>
      </c>
      <c r="M32" s="25"/>
      <c r="N32" s="25"/>
      <c r="O32" s="25"/>
      <c r="P32" s="25"/>
      <c r="Q32" s="25"/>
      <c r="R32" s="101"/>
      <c r="S32" s="25">
        <f t="shared" ref="S32:AD32" si="7">Finance_TL1_Arrangement_Fee</f>
        <v>0</v>
      </c>
      <c r="T32" s="25">
        <f t="shared" si="7"/>
        <v>0</v>
      </c>
      <c r="U32" s="25">
        <f t="shared" si="7"/>
        <v>0</v>
      </c>
      <c r="V32" s="25">
        <f t="shared" si="7"/>
        <v>0</v>
      </c>
      <c r="W32" s="25">
        <f t="shared" si="7"/>
        <v>0</v>
      </c>
      <c r="X32" s="25">
        <f t="shared" si="7"/>
        <v>0</v>
      </c>
      <c r="Y32" s="25">
        <f t="shared" si="7"/>
        <v>0</v>
      </c>
      <c r="Z32" s="25">
        <f t="shared" si="7"/>
        <v>0</v>
      </c>
      <c r="AA32" s="25">
        <f t="shared" si="7"/>
        <v>0</v>
      </c>
      <c r="AB32" s="25">
        <f t="shared" si="7"/>
        <v>0</v>
      </c>
      <c r="AC32" s="25">
        <f t="shared" si="7"/>
        <v>0</v>
      </c>
      <c r="AD32" s="25">
        <f t="shared" si="7"/>
        <v>0</v>
      </c>
      <c r="AE32" s="25"/>
      <c r="AF32" s="25"/>
      <c r="AG32" s="25"/>
      <c r="AH32" s="25"/>
      <c r="AI32" s="25"/>
      <c r="AJ32" s="25"/>
      <c r="AK32" s="25"/>
      <c r="AL32" s="25"/>
      <c r="AM32" s="25"/>
      <c r="AN32" s="25"/>
      <c r="AO32" s="25"/>
    </row>
    <row r="33" spans="3:42" x14ac:dyDescent="0.2">
      <c r="E33" s="97" t="s">
        <v>521</v>
      </c>
      <c r="H33" s="25"/>
      <c r="J33" s="2" t="s">
        <v>1205</v>
      </c>
      <c r="M33" s="25"/>
      <c r="N33" s="25"/>
      <c r="O33" s="25"/>
      <c r="P33" s="25"/>
      <c r="Q33" s="25"/>
      <c r="R33" s="101"/>
      <c r="S33" s="25">
        <f t="shared" ref="S33:AD33" si="8">Finance_TL2_Arrangement_Fee</f>
        <v>0</v>
      </c>
      <c r="T33" s="25">
        <f t="shared" si="8"/>
        <v>0</v>
      </c>
      <c r="U33" s="25">
        <f t="shared" si="8"/>
        <v>0</v>
      </c>
      <c r="V33" s="25">
        <f t="shared" si="8"/>
        <v>0</v>
      </c>
      <c r="W33" s="25">
        <f t="shared" si="8"/>
        <v>0</v>
      </c>
      <c r="X33" s="25">
        <f t="shared" si="8"/>
        <v>0</v>
      </c>
      <c r="Y33" s="25">
        <f t="shared" si="8"/>
        <v>0</v>
      </c>
      <c r="Z33" s="25">
        <f t="shared" si="8"/>
        <v>0</v>
      </c>
      <c r="AA33" s="25">
        <f t="shared" si="8"/>
        <v>0</v>
      </c>
      <c r="AB33" s="25">
        <f t="shared" si="8"/>
        <v>0</v>
      </c>
      <c r="AC33" s="25">
        <f t="shared" si="8"/>
        <v>0</v>
      </c>
      <c r="AD33" s="25">
        <f t="shared" si="8"/>
        <v>0</v>
      </c>
      <c r="AE33" s="25"/>
      <c r="AF33" s="25"/>
      <c r="AG33" s="25"/>
      <c r="AH33" s="25"/>
      <c r="AI33" s="25"/>
      <c r="AJ33" s="25"/>
      <c r="AK33" s="25"/>
      <c r="AL33" s="25"/>
      <c r="AM33" s="25"/>
      <c r="AN33" s="25"/>
      <c r="AO33" s="25"/>
    </row>
    <row r="34" spans="3:42" x14ac:dyDescent="0.2">
      <c r="E34" s="97" t="s">
        <v>522</v>
      </c>
      <c r="H34" s="25"/>
      <c r="J34" s="2" t="s">
        <v>1205</v>
      </c>
      <c r="M34" s="25"/>
      <c r="N34" s="25"/>
      <c r="O34" s="25"/>
      <c r="P34" s="25"/>
      <c r="Q34" s="25"/>
      <c r="R34" s="101"/>
      <c r="S34" s="25">
        <f t="shared" ref="S34:AD34" si="9">Finance_TL3_Arrangement_Fee</f>
        <v>0</v>
      </c>
      <c r="T34" s="25">
        <f t="shared" si="9"/>
        <v>0</v>
      </c>
      <c r="U34" s="25">
        <f t="shared" si="9"/>
        <v>0</v>
      </c>
      <c r="V34" s="25">
        <f t="shared" si="9"/>
        <v>0</v>
      </c>
      <c r="W34" s="25">
        <f t="shared" si="9"/>
        <v>0</v>
      </c>
      <c r="X34" s="25">
        <f t="shared" si="9"/>
        <v>0</v>
      </c>
      <c r="Y34" s="25">
        <f t="shared" si="9"/>
        <v>0</v>
      </c>
      <c r="Z34" s="25">
        <f t="shared" si="9"/>
        <v>0</v>
      </c>
      <c r="AA34" s="25">
        <f t="shared" si="9"/>
        <v>0</v>
      </c>
      <c r="AB34" s="25">
        <f t="shared" si="9"/>
        <v>0</v>
      </c>
      <c r="AC34" s="25">
        <f t="shared" si="9"/>
        <v>0</v>
      </c>
      <c r="AD34" s="25">
        <f t="shared" si="9"/>
        <v>0</v>
      </c>
      <c r="AE34" s="25"/>
      <c r="AF34" s="25"/>
      <c r="AG34" s="25"/>
      <c r="AH34" s="25"/>
      <c r="AI34" s="25"/>
      <c r="AJ34" s="25"/>
      <c r="AK34" s="25"/>
      <c r="AL34" s="25"/>
      <c r="AM34" s="25"/>
      <c r="AN34" s="25"/>
      <c r="AO34" s="25"/>
    </row>
    <row r="35" spans="3:42" x14ac:dyDescent="0.2">
      <c r="E35" s="1" t="s">
        <v>523</v>
      </c>
      <c r="H35" s="25"/>
      <c r="J35" s="2" t="s">
        <v>1205</v>
      </c>
      <c r="M35" s="25"/>
      <c r="N35" s="25"/>
      <c r="O35" s="25"/>
      <c r="P35" s="25"/>
      <c r="Q35" s="25"/>
      <c r="R35" s="101"/>
      <c r="S35" s="25">
        <f t="shared" ref="S35:AD35" si="10">Finance_TL4_Arrangement_Fee</f>
        <v>0</v>
      </c>
      <c r="T35" s="25">
        <f t="shared" si="10"/>
        <v>0</v>
      </c>
      <c r="U35" s="25">
        <f t="shared" si="10"/>
        <v>0</v>
      </c>
      <c r="V35" s="25">
        <f t="shared" si="10"/>
        <v>0</v>
      </c>
      <c r="W35" s="25">
        <f t="shared" si="10"/>
        <v>0</v>
      </c>
      <c r="X35" s="25">
        <f t="shared" si="10"/>
        <v>0</v>
      </c>
      <c r="Y35" s="25">
        <f t="shared" si="10"/>
        <v>0</v>
      </c>
      <c r="Z35" s="25">
        <f t="shared" si="10"/>
        <v>0</v>
      </c>
      <c r="AA35" s="25">
        <f t="shared" si="10"/>
        <v>0</v>
      </c>
      <c r="AB35" s="25">
        <f t="shared" si="10"/>
        <v>0</v>
      </c>
      <c r="AC35" s="25">
        <f t="shared" si="10"/>
        <v>0</v>
      </c>
      <c r="AD35" s="25">
        <f t="shared" si="10"/>
        <v>0</v>
      </c>
      <c r="AE35" s="25"/>
      <c r="AF35" s="25"/>
      <c r="AG35" s="25"/>
      <c r="AH35" s="25"/>
      <c r="AI35" s="25"/>
      <c r="AJ35" s="25"/>
      <c r="AK35" s="25"/>
      <c r="AL35" s="25"/>
      <c r="AM35" s="25"/>
      <c r="AN35" s="25"/>
      <c r="AO35" s="25"/>
    </row>
    <row r="36" spans="3:42" x14ac:dyDescent="0.2">
      <c r="E36" s="1" t="s">
        <v>524</v>
      </c>
      <c r="H36" s="25"/>
      <c r="J36" s="2" t="s">
        <v>1205</v>
      </c>
      <c r="M36" s="25"/>
      <c r="N36" s="25"/>
      <c r="O36" s="25"/>
      <c r="P36" s="25"/>
      <c r="Q36" s="25"/>
      <c r="R36" s="101"/>
      <c r="S36" s="25">
        <f t="shared" ref="S36:AD36" si="11">Finance_TL5_Arrangement_Fee</f>
        <v>0</v>
      </c>
      <c r="T36" s="25">
        <f t="shared" si="11"/>
        <v>0</v>
      </c>
      <c r="U36" s="25">
        <f t="shared" si="11"/>
        <v>0</v>
      </c>
      <c r="V36" s="25">
        <f t="shared" si="11"/>
        <v>0</v>
      </c>
      <c r="W36" s="25">
        <f t="shared" si="11"/>
        <v>0</v>
      </c>
      <c r="X36" s="25">
        <f t="shared" si="11"/>
        <v>0</v>
      </c>
      <c r="Y36" s="25">
        <f t="shared" si="11"/>
        <v>0</v>
      </c>
      <c r="Z36" s="25">
        <f t="shared" si="11"/>
        <v>0</v>
      </c>
      <c r="AA36" s="25">
        <f t="shared" si="11"/>
        <v>0</v>
      </c>
      <c r="AB36" s="25">
        <f t="shared" si="11"/>
        <v>0</v>
      </c>
      <c r="AC36" s="25">
        <f t="shared" si="11"/>
        <v>0</v>
      </c>
      <c r="AD36" s="25">
        <f t="shared" si="11"/>
        <v>0</v>
      </c>
      <c r="AE36" s="25"/>
      <c r="AF36" s="25"/>
      <c r="AG36" s="25"/>
      <c r="AH36" s="25"/>
      <c r="AI36" s="25"/>
      <c r="AJ36" s="25"/>
      <c r="AK36" s="25"/>
      <c r="AL36" s="25"/>
      <c r="AM36" s="25"/>
      <c r="AN36" s="25"/>
      <c r="AO36" s="25"/>
    </row>
    <row r="37" spans="3:42" x14ac:dyDescent="0.2">
      <c r="E37" s="97"/>
      <c r="F37" s="97"/>
      <c r="H37" s="25"/>
      <c r="M37" s="25"/>
      <c r="N37" s="25"/>
      <c r="O37" s="25"/>
      <c r="P37" s="25"/>
      <c r="Q37" s="25"/>
      <c r="R37" s="101"/>
      <c r="S37" s="25"/>
      <c r="T37" s="25"/>
      <c r="U37" s="25"/>
      <c r="V37" s="25"/>
      <c r="W37" s="25"/>
      <c r="X37" s="25"/>
      <c r="Y37" s="25"/>
      <c r="Z37" s="25"/>
      <c r="AA37" s="25"/>
      <c r="AB37" s="25"/>
      <c r="AC37" s="25"/>
      <c r="AD37" s="25"/>
      <c r="AE37" s="25"/>
      <c r="AF37" s="25"/>
      <c r="AG37" s="25"/>
      <c r="AH37" s="25"/>
      <c r="AI37" s="25"/>
      <c r="AJ37" s="25"/>
      <c r="AK37" s="25"/>
      <c r="AL37" s="25"/>
      <c r="AM37" s="25"/>
      <c r="AN37" s="25"/>
      <c r="AO37" s="25"/>
    </row>
    <row r="38" spans="3:42" x14ac:dyDescent="0.2">
      <c r="E38" s="1" t="s">
        <v>525</v>
      </c>
      <c r="H38" s="25"/>
      <c r="J38" s="2" t="s">
        <v>1205</v>
      </c>
      <c r="M38" s="25"/>
      <c r="N38" s="25"/>
      <c r="O38" s="25"/>
      <c r="P38" s="25"/>
      <c r="Q38" s="25"/>
      <c r="R38" s="101"/>
      <c r="S38" s="101">
        <v>0</v>
      </c>
      <c r="T38" s="101">
        <v>0</v>
      </c>
      <c r="U38" s="101">
        <v>0</v>
      </c>
      <c r="V38" s="101">
        <v>0</v>
      </c>
      <c r="W38" s="101">
        <v>0</v>
      </c>
      <c r="X38" s="101">
        <v>0</v>
      </c>
      <c r="Y38" s="101">
        <v>0</v>
      </c>
      <c r="Z38" s="101">
        <v>0</v>
      </c>
      <c r="AA38" s="101">
        <v>0</v>
      </c>
      <c r="AB38" s="101">
        <v>0</v>
      </c>
      <c r="AC38" s="101">
        <v>0</v>
      </c>
      <c r="AD38" s="101">
        <v>0</v>
      </c>
      <c r="AE38" s="25"/>
      <c r="AF38" s="25"/>
      <c r="AG38" s="25"/>
      <c r="AH38" s="25"/>
      <c r="AI38" s="25"/>
      <c r="AJ38" s="25"/>
      <c r="AK38" s="25"/>
      <c r="AL38" s="25"/>
      <c r="AM38" s="25"/>
      <c r="AN38" s="25"/>
      <c r="AO38" s="25"/>
    </row>
    <row r="39" spans="3:42" x14ac:dyDescent="0.2">
      <c r="E39" s="1" t="s">
        <v>525</v>
      </c>
      <c r="H39" s="25"/>
      <c r="J39" s="2" t="s">
        <v>1205</v>
      </c>
      <c r="M39" s="25"/>
      <c r="N39" s="25"/>
      <c r="O39" s="25"/>
      <c r="P39" s="25"/>
      <c r="Q39" s="25"/>
      <c r="R39" s="101"/>
      <c r="S39" s="101">
        <v>0</v>
      </c>
      <c r="T39" s="101">
        <v>0</v>
      </c>
      <c r="U39" s="101">
        <v>0</v>
      </c>
      <c r="V39" s="101">
        <v>0</v>
      </c>
      <c r="W39" s="101">
        <v>0</v>
      </c>
      <c r="X39" s="101">
        <v>0</v>
      </c>
      <c r="Y39" s="101">
        <v>0</v>
      </c>
      <c r="Z39" s="101">
        <v>0</v>
      </c>
      <c r="AA39" s="101">
        <v>0</v>
      </c>
      <c r="AB39" s="101">
        <v>0</v>
      </c>
      <c r="AC39" s="101">
        <v>0</v>
      </c>
      <c r="AD39" s="101">
        <v>0</v>
      </c>
      <c r="AE39" s="25"/>
      <c r="AF39" s="25"/>
      <c r="AG39" s="25"/>
      <c r="AH39" s="25"/>
      <c r="AI39" s="25"/>
      <c r="AJ39" s="25"/>
      <c r="AK39" s="25"/>
      <c r="AL39" s="25"/>
      <c r="AM39" s="25"/>
      <c r="AN39" s="25"/>
      <c r="AO39" s="25"/>
    </row>
    <row r="40" spans="3:42" x14ac:dyDescent="0.2">
      <c r="E40" s="1" t="s">
        <v>525</v>
      </c>
      <c r="H40" s="25"/>
      <c r="J40" s="2" t="s">
        <v>1205</v>
      </c>
      <c r="M40" s="25"/>
      <c r="N40" s="25"/>
      <c r="O40" s="25"/>
      <c r="P40" s="25"/>
      <c r="Q40" s="25"/>
      <c r="R40" s="101"/>
      <c r="S40" s="101">
        <v>0</v>
      </c>
      <c r="T40" s="101">
        <v>0</v>
      </c>
      <c r="U40" s="101">
        <v>0</v>
      </c>
      <c r="V40" s="101">
        <v>0</v>
      </c>
      <c r="W40" s="101">
        <v>0</v>
      </c>
      <c r="X40" s="101">
        <v>0</v>
      </c>
      <c r="Y40" s="101">
        <v>0</v>
      </c>
      <c r="Z40" s="101">
        <v>0</v>
      </c>
      <c r="AA40" s="101">
        <v>0</v>
      </c>
      <c r="AB40" s="101">
        <v>0</v>
      </c>
      <c r="AC40" s="101">
        <v>0</v>
      </c>
      <c r="AD40" s="101">
        <v>0</v>
      </c>
      <c r="AE40" s="25"/>
      <c r="AF40" s="25"/>
      <c r="AG40" s="25"/>
      <c r="AH40" s="25"/>
      <c r="AI40" s="25"/>
      <c r="AJ40" s="25"/>
      <c r="AK40" s="25"/>
      <c r="AL40" s="25"/>
      <c r="AM40" s="25"/>
      <c r="AN40" s="25"/>
      <c r="AO40" s="25"/>
    </row>
    <row r="41" spans="3:42" x14ac:dyDescent="0.2">
      <c r="E41" s="1" t="s">
        <v>525</v>
      </c>
      <c r="H41" s="25"/>
      <c r="J41" s="2" t="s">
        <v>1205</v>
      </c>
      <c r="M41" s="25"/>
      <c r="N41" s="25"/>
      <c r="O41" s="25"/>
      <c r="P41" s="25"/>
      <c r="Q41" s="25"/>
      <c r="R41" s="101"/>
      <c r="S41" s="101">
        <v>0</v>
      </c>
      <c r="T41" s="101">
        <v>0</v>
      </c>
      <c r="U41" s="101">
        <v>0</v>
      </c>
      <c r="V41" s="101">
        <v>0</v>
      </c>
      <c r="W41" s="101">
        <v>0</v>
      </c>
      <c r="X41" s="101">
        <v>0</v>
      </c>
      <c r="Y41" s="101">
        <v>0</v>
      </c>
      <c r="Z41" s="101">
        <v>0</v>
      </c>
      <c r="AA41" s="101">
        <v>0</v>
      </c>
      <c r="AB41" s="101">
        <v>0</v>
      </c>
      <c r="AC41" s="101">
        <v>0</v>
      </c>
      <c r="AD41" s="101">
        <v>0</v>
      </c>
      <c r="AE41" s="25"/>
      <c r="AF41" s="25"/>
      <c r="AG41" s="25"/>
      <c r="AH41" s="25"/>
      <c r="AI41" s="25"/>
      <c r="AJ41" s="25"/>
      <c r="AK41" s="25"/>
      <c r="AL41" s="25"/>
      <c r="AM41" s="25"/>
      <c r="AN41" s="25"/>
      <c r="AO41" s="25"/>
    </row>
    <row r="42" spans="3:42" x14ac:dyDescent="0.2">
      <c r="E42" s="1" t="s">
        <v>525</v>
      </c>
      <c r="H42" s="25"/>
      <c r="J42" s="2" t="s">
        <v>1205</v>
      </c>
      <c r="M42" s="25"/>
      <c r="N42" s="25"/>
      <c r="O42" s="25"/>
      <c r="P42" s="25"/>
      <c r="Q42" s="25"/>
      <c r="R42" s="101"/>
      <c r="S42" s="101">
        <v>0</v>
      </c>
      <c r="T42" s="101">
        <v>0</v>
      </c>
      <c r="U42" s="101">
        <v>0</v>
      </c>
      <c r="V42" s="101">
        <v>0</v>
      </c>
      <c r="W42" s="101">
        <v>0</v>
      </c>
      <c r="X42" s="101">
        <v>0</v>
      </c>
      <c r="Y42" s="101">
        <v>0</v>
      </c>
      <c r="Z42" s="101">
        <v>0</v>
      </c>
      <c r="AA42" s="101">
        <v>0</v>
      </c>
      <c r="AB42" s="101">
        <v>0</v>
      </c>
      <c r="AC42" s="101">
        <v>0</v>
      </c>
      <c r="AD42" s="101">
        <v>0</v>
      </c>
      <c r="AE42" s="25"/>
      <c r="AF42" s="25"/>
      <c r="AG42" s="25"/>
      <c r="AH42" s="25"/>
      <c r="AI42" s="25"/>
      <c r="AJ42" s="25"/>
      <c r="AK42" s="25"/>
      <c r="AL42" s="25"/>
      <c r="AM42" s="25"/>
      <c r="AN42" s="25"/>
      <c r="AO42" s="25"/>
    </row>
    <row r="43" spans="3:42" x14ac:dyDescent="0.2">
      <c r="E43" s="1" t="s">
        <v>406</v>
      </c>
      <c r="H43" s="25"/>
      <c r="J43" s="98" t="s">
        <v>1205</v>
      </c>
      <c r="M43" s="25"/>
      <c r="N43" s="25"/>
      <c r="O43" s="25"/>
      <c r="P43" s="25"/>
      <c r="Q43" s="25"/>
      <c r="R43" s="101"/>
      <c r="S43" s="101">
        <v>0</v>
      </c>
      <c r="T43" s="101">
        <v>0</v>
      </c>
      <c r="U43" s="101">
        <v>0</v>
      </c>
      <c r="V43" s="101">
        <v>0</v>
      </c>
      <c r="W43" s="101">
        <v>0</v>
      </c>
      <c r="X43" s="101">
        <v>0</v>
      </c>
      <c r="Y43" s="101">
        <v>0</v>
      </c>
      <c r="Z43" s="101">
        <v>0</v>
      </c>
      <c r="AA43" s="101">
        <v>0</v>
      </c>
      <c r="AB43" s="101">
        <v>0</v>
      </c>
      <c r="AC43" s="101">
        <v>0</v>
      </c>
      <c r="AD43" s="101">
        <v>0</v>
      </c>
      <c r="AE43" s="25"/>
      <c r="AF43" s="25"/>
      <c r="AG43" s="25"/>
      <c r="AH43" s="25"/>
      <c r="AI43" s="25"/>
      <c r="AJ43" s="25"/>
      <c r="AK43" s="25"/>
      <c r="AL43" s="25"/>
      <c r="AM43" s="25"/>
      <c r="AN43" s="25"/>
      <c r="AO43" s="25"/>
    </row>
    <row r="44" spans="3:42" x14ac:dyDescent="0.2">
      <c r="E44" s="97"/>
      <c r="F44" s="97"/>
      <c r="G44" s="97"/>
      <c r="H44" s="101"/>
      <c r="I44" s="97"/>
      <c r="J44" s="98"/>
      <c r="K44" s="97"/>
      <c r="L44" s="99"/>
      <c r="M44" s="97"/>
      <c r="N44" s="109"/>
      <c r="O44" s="109"/>
      <c r="P44" s="109"/>
      <c r="Q44" s="109"/>
      <c r="R44" s="101"/>
      <c r="S44" s="25"/>
      <c r="T44" s="25"/>
      <c r="U44" s="25"/>
      <c r="V44" s="25"/>
      <c r="W44" s="25"/>
      <c r="X44" s="25"/>
      <c r="Y44" s="25"/>
      <c r="Z44" s="25"/>
      <c r="AA44" s="25"/>
      <c r="AB44" s="25"/>
      <c r="AC44" s="25"/>
      <c r="AD44" s="25"/>
      <c r="AE44" s="109"/>
      <c r="AF44" s="109"/>
      <c r="AG44" s="109"/>
      <c r="AH44" s="109"/>
      <c r="AI44" s="109"/>
      <c r="AJ44" s="109"/>
      <c r="AK44" s="109"/>
      <c r="AL44" s="109"/>
      <c r="AM44" s="109"/>
      <c r="AN44" s="109"/>
      <c r="AO44" s="109"/>
      <c r="AP44" s="97"/>
    </row>
    <row r="45" spans="3:42" ht="12.6" x14ac:dyDescent="0.25">
      <c r="E45" s="27" t="s">
        <v>67</v>
      </c>
      <c r="F45" s="28"/>
      <c r="G45" s="28"/>
      <c r="H45" s="100"/>
      <c r="I45" s="28"/>
      <c r="J45" s="29" t="s">
        <v>1205</v>
      </c>
      <c r="K45" s="28"/>
      <c r="L45" s="30" t="s">
        <v>233</v>
      </c>
      <c r="M45" s="100"/>
      <c r="N45" s="100"/>
      <c r="O45" s="100"/>
      <c r="P45" s="100"/>
      <c r="Q45" s="100"/>
      <c r="R45" s="100"/>
      <c r="S45" s="100">
        <f>SUM(S32:S44)</f>
        <v>0</v>
      </c>
      <c r="T45" s="100">
        <f t="shared" ref="T45:AD45" si="12">SUM(T32:T44)</f>
        <v>0</v>
      </c>
      <c r="U45" s="100">
        <f t="shared" si="12"/>
        <v>0</v>
      </c>
      <c r="V45" s="100">
        <f t="shared" si="12"/>
        <v>0</v>
      </c>
      <c r="W45" s="100">
        <f t="shared" si="12"/>
        <v>0</v>
      </c>
      <c r="X45" s="100">
        <f t="shared" si="12"/>
        <v>0</v>
      </c>
      <c r="Y45" s="100">
        <f t="shared" si="12"/>
        <v>0</v>
      </c>
      <c r="Z45" s="100">
        <f t="shared" si="12"/>
        <v>0</v>
      </c>
      <c r="AA45" s="100">
        <f t="shared" si="12"/>
        <v>0</v>
      </c>
      <c r="AB45" s="100">
        <f t="shared" si="12"/>
        <v>0</v>
      </c>
      <c r="AC45" s="100">
        <f t="shared" si="12"/>
        <v>0</v>
      </c>
      <c r="AD45" s="100">
        <f t="shared" si="12"/>
        <v>0</v>
      </c>
      <c r="AE45" s="101"/>
      <c r="AF45" s="101"/>
      <c r="AG45" s="101"/>
      <c r="AH45" s="101"/>
      <c r="AI45" s="101"/>
      <c r="AJ45" s="101"/>
      <c r="AK45" s="101"/>
      <c r="AL45" s="101"/>
      <c r="AM45" s="101"/>
      <c r="AN45" s="101"/>
      <c r="AO45" s="101"/>
      <c r="AP45" s="97"/>
    </row>
    <row r="46" spans="3:42" s="97" customFormat="1" x14ac:dyDescent="0.2">
      <c r="H46" s="101"/>
      <c r="J46" s="98"/>
      <c r="L46" s="99"/>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row>
    <row r="47" spans="3:42" ht="12.6" x14ac:dyDescent="0.25">
      <c r="C47" s="17"/>
      <c r="D47" s="35" t="s">
        <v>232</v>
      </c>
      <c r="H47" s="25"/>
      <c r="M47" s="25"/>
      <c r="N47" s="25"/>
      <c r="O47" s="25"/>
      <c r="P47" s="18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3:42" x14ac:dyDescent="0.2">
      <c r="E48" s="1" t="s">
        <v>228</v>
      </c>
      <c r="H48" s="25"/>
      <c r="J48" s="2" t="s">
        <v>1205</v>
      </c>
      <c r="M48" s="25"/>
      <c r="N48" s="25"/>
      <c r="O48" s="25"/>
      <c r="P48" s="25"/>
      <c r="Q48" s="25"/>
      <c r="R48" s="101"/>
      <c r="S48" s="25"/>
      <c r="T48" s="25"/>
      <c r="U48" s="25"/>
      <c r="V48" s="25"/>
      <c r="W48" s="25"/>
      <c r="X48" s="25"/>
      <c r="Y48" s="25"/>
      <c r="Z48" s="25"/>
      <c r="AA48" s="25"/>
      <c r="AB48" s="25"/>
      <c r="AC48" s="25"/>
      <c r="AD48" s="25"/>
      <c r="AE48" s="25"/>
      <c r="AF48" s="25"/>
      <c r="AG48" s="25"/>
      <c r="AH48" s="25"/>
      <c r="AI48" s="25"/>
      <c r="AJ48" s="25"/>
      <c r="AK48" s="25"/>
      <c r="AL48" s="25"/>
      <c r="AM48" s="25"/>
      <c r="AN48" s="25"/>
      <c r="AO48" s="25"/>
    </row>
    <row r="49" spans="3:42" x14ac:dyDescent="0.2">
      <c r="E49" s="97" t="s">
        <v>520</v>
      </c>
      <c r="F49" s="97"/>
      <c r="H49" s="25"/>
      <c r="J49" s="2" t="s">
        <v>1205</v>
      </c>
      <c r="M49" s="25"/>
      <c r="N49" s="25"/>
      <c r="O49" s="25"/>
      <c r="P49" s="25"/>
      <c r="Q49" s="25"/>
      <c r="R49" s="101"/>
      <c r="S49" s="25">
        <f t="shared" ref="S49:AD49" si="13">Finance_TL1_Commitment_Fee</f>
        <v>0</v>
      </c>
      <c r="T49" s="25">
        <f t="shared" si="13"/>
        <v>0</v>
      </c>
      <c r="U49" s="25">
        <f t="shared" si="13"/>
        <v>0</v>
      </c>
      <c r="V49" s="25">
        <f t="shared" si="13"/>
        <v>0</v>
      </c>
      <c r="W49" s="25">
        <f t="shared" si="13"/>
        <v>0</v>
      </c>
      <c r="X49" s="25">
        <f t="shared" si="13"/>
        <v>0</v>
      </c>
      <c r="Y49" s="25">
        <f t="shared" si="13"/>
        <v>0</v>
      </c>
      <c r="Z49" s="25">
        <f t="shared" si="13"/>
        <v>0</v>
      </c>
      <c r="AA49" s="25">
        <f t="shared" si="13"/>
        <v>0</v>
      </c>
      <c r="AB49" s="25">
        <f t="shared" si="13"/>
        <v>0</v>
      </c>
      <c r="AC49" s="25">
        <f t="shared" si="13"/>
        <v>0</v>
      </c>
      <c r="AD49" s="25">
        <f t="shared" si="13"/>
        <v>0</v>
      </c>
      <c r="AE49" s="25"/>
      <c r="AF49" s="25"/>
      <c r="AG49" s="25"/>
      <c r="AH49" s="25"/>
      <c r="AI49" s="25"/>
      <c r="AJ49" s="25"/>
      <c r="AK49" s="25"/>
      <c r="AL49" s="25"/>
      <c r="AM49" s="25"/>
      <c r="AN49" s="25"/>
      <c r="AO49" s="25"/>
    </row>
    <row r="50" spans="3:42" x14ac:dyDescent="0.2">
      <c r="E50" s="97" t="s">
        <v>521</v>
      </c>
      <c r="F50" s="97"/>
      <c r="H50" s="25"/>
      <c r="J50" s="2" t="s">
        <v>1205</v>
      </c>
      <c r="M50" s="25"/>
      <c r="N50" s="25"/>
      <c r="O50" s="25"/>
      <c r="P50" s="25"/>
      <c r="Q50" s="25"/>
      <c r="R50" s="101"/>
      <c r="S50" s="25">
        <f t="shared" ref="S50:AD50" si="14">Finance_TL2_Commitment_Fee</f>
        <v>0</v>
      </c>
      <c r="T50" s="25">
        <f t="shared" si="14"/>
        <v>0</v>
      </c>
      <c r="U50" s="25">
        <f t="shared" si="14"/>
        <v>0</v>
      </c>
      <c r="V50" s="25">
        <f t="shared" si="14"/>
        <v>0</v>
      </c>
      <c r="W50" s="25">
        <f t="shared" si="14"/>
        <v>0</v>
      </c>
      <c r="X50" s="25">
        <f t="shared" si="14"/>
        <v>0</v>
      </c>
      <c r="Y50" s="25">
        <f t="shared" si="14"/>
        <v>0</v>
      </c>
      <c r="Z50" s="25">
        <f t="shared" si="14"/>
        <v>0</v>
      </c>
      <c r="AA50" s="25">
        <f t="shared" si="14"/>
        <v>0</v>
      </c>
      <c r="AB50" s="25">
        <f t="shared" si="14"/>
        <v>0</v>
      </c>
      <c r="AC50" s="25">
        <f t="shared" si="14"/>
        <v>0</v>
      </c>
      <c r="AD50" s="25">
        <f t="shared" si="14"/>
        <v>0</v>
      </c>
      <c r="AE50" s="25"/>
      <c r="AF50" s="25"/>
      <c r="AG50" s="25"/>
      <c r="AH50" s="25"/>
      <c r="AI50" s="25"/>
      <c r="AJ50" s="25"/>
      <c r="AK50" s="25"/>
      <c r="AL50" s="25"/>
      <c r="AM50" s="25"/>
      <c r="AN50" s="25"/>
      <c r="AO50" s="25"/>
    </row>
    <row r="51" spans="3:42" x14ac:dyDescent="0.2">
      <c r="E51" s="97" t="s">
        <v>522</v>
      </c>
      <c r="H51" s="25"/>
      <c r="J51" s="2" t="s">
        <v>1205</v>
      </c>
      <c r="M51" s="25"/>
      <c r="N51" s="25"/>
      <c r="O51" s="25"/>
      <c r="P51" s="25"/>
      <c r="Q51" s="25"/>
      <c r="R51" s="101"/>
      <c r="S51" s="25">
        <f t="shared" ref="S51:AD51" si="15">Finance_TL3_Commitment_Fee</f>
        <v>0</v>
      </c>
      <c r="T51" s="25">
        <f t="shared" si="15"/>
        <v>0</v>
      </c>
      <c r="U51" s="25">
        <f t="shared" si="15"/>
        <v>0</v>
      </c>
      <c r="V51" s="25">
        <f t="shared" si="15"/>
        <v>0</v>
      </c>
      <c r="W51" s="25">
        <f t="shared" si="15"/>
        <v>0</v>
      </c>
      <c r="X51" s="25">
        <f t="shared" si="15"/>
        <v>0</v>
      </c>
      <c r="Y51" s="25">
        <f t="shared" si="15"/>
        <v>0</v>
      </c>
      <c r="Z51" s="25">
        <f t="shared" si="15"/>
        <v>0</v>
      </c>
      <c r="AA51" s="25">
        <f t="shared" si="15"/>
        <v>0</v>
      </c>
      <c r="AB51" s="25">
        <f t="shared" si="15"/>
        <v>0</v>
      </c>
      <c r="AC51" s="25">
        <f t="shared" si="15"/>
        <v>0</v>
      </c>
      <c r="AD51" s="25">
        <f t="shared" si="15"/>
        <v>0</v>
      </c>
      <c r="AE51" s="25"/>
      <c r="AF51" s="25"/>
      <c r="AG51" s="25"/>
      <c r="AH51" s="25"/>
      <c r="AI51" s="25"/>
      <c r="AJ51" s="25"/>
      <c r="AK51" s="25"/>
      <c r="AL51" s="25"/>
      <c r="AM51" s="25"/>
      <c r="AN51" s="25"/>
      <c r="AO51" s="25"/>
    </row>
    <row r="52" spans="3:42" x14ac:dyDescent="0.2">
      <c r="E52" s="1" t="s">
        <v>523</v>
      </c>
      <c r="H52" s="25"/>
      <c r="J52" s="2" t="s">
        <v>1205</v>
      </c>
      <c r="M52" s="25"/>
      <c r="N52" s="25"/>
      <c r="O52" s="25"/>
      <c r="P52" s="25"/>
      <c r="Q52" s="25"/>
      <c r="R52" s="101"/>
      <c r="S52" s="25">
        <f t="shared" ref="S52:AD52" si="16">Finance_TL4_Commitment_Fee</f>
        <v>0</v>
      </c>
      <c r="T52" s="25">
        <f t="shared" si="16"/>
        <v>0</v>
      </c>
      <c r="U52" s="25">
        <f t="shared" si="16"/>
        <v>0</v>
      </c>
      <c r="V52" s="25">
        <f t="shared" si="16"/>
        <v>0</v>
      </c>
      <c r="W52" s="25">
        <f t="shared" si="16"/>
        <v>0</v>
      </c>
      <c r="X52" s="25">
        <f t="shared" si="16"/>
        <v>0</v>
      </c>
      <c r="Y52" s="25">
        <f t="shared" si="16"/>
        <v>0</v>
      </c>
      <c r="Z52" s="25">
        <f t="shared" si="16"/>
        <v>0</v>
      </c>
      <c r="AA52" s="25">
        <f t="shared" si="16"/>
        <v>0</v>
      </c>
      <c r="AB52" s="25">
        <f t="shared" si="16"/>
        <v>0</v>
      </c>
      <c r="AC52" s="25">
        <f t="shared" si="16"/>
        <v>0</v>
      </c>
      <c r="AD52" s="25">
        <f t="shared" si="16"/>
        <v>0</v>
      </c>
      <c r="AE52" s="25"/>
      <c r="AF52" s="25"/>
      <c r="AG52" s="25"/>
      <c r="AH52" s="25"/>
      <c r="AI52" s="25"/>
      <c r="AJ52" s="25"/>
      <c r="AK52" s="25"/>
      <c r="AL52" s="25"/>
      <c r="AM52" s="25"/>
      <c r="AN52" s="25"/>
      <c r="AO52" s="25"/>
    </row>
    <row r="53" spans="3:42" x14ac:dyDescent="0.2">
      <c r="E53" s="1" t="s">
        <v>524</v>
      </c>
      <c r="H53" s="25"/>
      <c r="J53" s="2" t="s">
        <v>1205</v>
      </c>
      <c r="M53" s="25"/>
      <c r="N53" s="25"/>
      <c r="O53" s="25"/>
      <c r="P53" s="25"/>
      <c r="Q53" s="25"/>
      <c r="R53" s="101"/>
      <c r="S53" s="25">
        <f t="shared" ref="S53:AD53" si="17">Finance_TL5_Commitment_Fee</f>
        <v>0</v>
      </c>
      <c r="T53" s="25">
        <f t="shared" si="17"/>
        <v>0</v>
      </c>
      <c r="U53" s="25">
        <f t="shared" si="17"/>
        <v>0</v>
      </c>
      <c r="V53" s="25">
        <f t="shared" si="17"/>
        <v>0</v>
      </c>
      <c r="W53" s="25">
        <f t="shared" si="17"/>
        <v>0</v>
      </c>
      <c r="X53" s="25">
        <f t="shared" si="17"/>
        <v>0</v>
      </c>
      <c r="Y53" s="25">
        <f t="shared" si="17"/>
        <v>0</v>
      </c>
      <c r="Z53" s="25">
        <f t="shared" si="17"/>
        <v>0</v>
      </c>
      <c r="AA53" s="25">
        <f t="shared" si="17"/>
        <v>0</v>
      </c>
      <c r="AB53" s="25">
        <f t="shared" si="17"/>
        <v>0</v>
      </c>
      <c r="AC53" s="25">
        <f t="shared" si="17"/>
        <v>0</v>
      </c>
      <c r="AD53" s="25">
        <f t="shared" si="17"/>
        <v>0</v>
      </c>
      <c r="AE53" s="25"/>
      <c r="AF53" s="25"/>
      <c r="AG53" s="25"/>
      <c r="AH53" s="25"/>
      <c r="AI53" s="25"/>
      <c r="AJ53" s="25"/>
      <c r="AK53" s="25"/>
      <c r="AL53" s="25"/>
      <c r="AM53" s="25"/>
      <c r="AN53" s="25"/>
      <c r="AO53" s="25"/>
    </row>
    <row r="54" spans="3:42" x14ac:dyDescent="0.2">
      <c r="E54" s="97"/>
      <c r="H54" s="25"/>
      <c r="M54" s="25"/>
      <c r="N54" s="25"/>
      <c r="O54" s="25"/>
      <c r="P54" s="25"/>
      <c r="Q54" s="25"/>
      <c r="R54" s="101"/>
      <c r="S54" s="25"/>
      <c r="T54" s="25"/>
      <c r="U54" s="25"/>
      <c r="V54" s="25"/>
      <c r="W54" s="25"/>
      <c r="X54" s="25"/>
      <c r="Y54" s="25"/>
      <c r="Z54" s="25"/>
      <c r="AA54" s="25"/>
      <c r="AB54" s="25"/>
      <c r="AC54" s="25"/>
      <c r="AD54" s="25"/>
      <c r="AE54" s="25"/>
      <c r="AF54" s="25"/>
      <c r="AG54" s="25"/>
      <c r="AH54" s="25"/>
      <c r="AI54" s="25"/>
      <c r="AJ54" s="25"/>
      <c r="AK54" s="25"/>
      <c r="AL54" s="25"/>
      <c r="AM54" s="25"/>
      <c r="AN54" s="25"/>
      <c r="AO54" s="25"/>
    </row>
    <row r="55" spans="3:42" x14ac:dyDescent="0.2">
      <c r="E55" s="1" t="s">
        <v>525</v>
      </c>
      <c r="H55" s="25"/>
      <c r="J55" s="2" t="s">
        <v>1205</v>
      </c>
      <c r="M55" s="25"/>
      <c r="N55" s="25"/>
      <c r="O55" s="25"/>
      <c r="P55" s="25"/>
      <c r="Q55" s="25"/>
      <c r="R55" s="101"/>
      <c r="S55" s="101">
        <v>0</v>
      </c>
      <c r="T55" s="101">
        <v>0</v>
      </c>
      <c r="U55" s="101">
        <v>0</v>
      </c>
      <c r="V55" s="101">
        <v>0</v>
      </c>
      <c r="W55" s="101">
        <v>0</v>
      </c>
      <c r="X55" s="101">
        <v>0</v>
      </c>
      <c r="Y55" s="101">
        <v>0</v>
      </c>
      <c r="Z55" s="101">
        <v>0</v>
      </c>
      <c r="AA55" s="101">
        <v>0</v>
      </c>
      <c r="AB55" s="101">
        <v>0</v>
      </c>
      <c r="AC55" s="101">
        <v>0</v>
      </c>
      <c r="AD55" s="101">
        <v>0</v>
      </c>
      <c r="AE55" s="25"/>
      <c r="AF55" s="25"/>
      <c r="AG55" s="25"/>
      <c r="AH55" s="25"/>
      <c r="AI55" s="25"/>
      <c r="AJ55" s="25"/>
      <c r="AK55" s="25"/>
      <c r="AL55" s="25"/>
      <c r="AM55" s="25"/>
      <c r="AN55" s="25"/>
      <c r="AO55" s="25"/>
    </row>
    <row r="56" spans="3:42" x14ac:dyDescent="0.2">
      <c r="E56" s="1" t="s">
        <v>525</v>
      </c>
      <c r="H56" s="25"/>
      <c r="J56" s="2" t="s">
        <v>1205</v>
      </c>
      <c r="M56" s="25"/>
      <c r="N56" s="25"/>
      <c r="O56" s="25"/>
      <c r="P56" s="25"/>
      <c r="Q56" s="25"/>
      <c r="R56" s="101"/>
      <c r="S56" s="101">
        <v>0</v>
      </c>
      <c r="T56" s="101">
        <v>0</v>
      </c>
      <c r="U56" s="101">
        <v>0</v>
      </c>
      <c r="V56" s="101">
        <v>0</v>
      </c>
      <c r="W56" s="101">
        <v>0</v>
      </c>
      <c r="X56" s="101">
        <v>0</v>
      </c>
      <c r="Y56" s="101">
        <v>0</v>
      </c>
      <c r="Z56" s="101">
        <v>0</v>
      </c>
      <c r="AA56" s="101">
        <v>0</v>
      </c>
      <c r="AB56" s="101">
        <v>0</v>
      </c>
      <c r="AC56" s="101">
        <v>0</v>
      </c>
      <c r="AD56" s="101">
        <v>0</v>
      </c>
      <c r="AE56" s="25"/>
      <c r="AF56" s="25"/>
      <c r="AG56" s="25"/>
      <c r="AH56" s="25"/>
      <c r="AI56" s="25"/>
      <c r="AJ56" s="25"/>
      <c r="AK56" s="25"/>
      <c r="AL56" s="25"/>
      <c r="AM56" s="25"/>
      <c r="AN56" s="25"/>
      <c r="AO56" s="25"/>
    </row>
    <row r="57" spans="3:42" x14ac:dyDescent="0.2">
      <c r="E57" s="1" t="s">
        <v>525</v>
      </c>
      <c r="H57" s="25"/>
      <c r="J57" s="2" t="s">
        <v>1205</v>
      </c>
      <c r="M57" s="25"/>
      <c r="N57" s="25"/>
      <c r="O57" s="25"/>
      <c r="P57" s="25"/>
      <c r="Q57" s="25"/>
      <c r="R57" s="101"/>
      <c r="S57" s="101">
        <v>0</v>
      </c>
      <c r="T57" s="101">
        <v>0</v>
      </c>
      <c r="U57" s="101">
        <v>0</v>
      </c>
      <c r="V57" s="101">
        <v>0</v>
      </c>
      <c r="W57" s="101">
        <v>0</v>
      </c>
      <c r="X57" s="101">
        <v>0</v>
      </c>
      <c r="Y57" s="101">
        <v>0</v>
      </c>
      <c r="Z57" s="101">
        <v>0</v>
      </c>
      <c r="AA57" s="101">
        <v>0</v>
      </c>
      <c r="AB57" s="101">
        <v>0</v>
      </c>
      <c r="AC57" s="101">
        <v>0</v>
      </c>
      <c r="AD57" s="101">
        <v>0</v>
      </c>
      <c r="AE57" s="25"/>
      <c r="AF57" s="25"/>
      <c r="AG57" s="25"/>
      <c r="AH57" s="25"/>
      <c r="AI57" s="25"/>
      <c r="AJ57" s="25"/>
      <c r="AK57" s="25"/>
      <c r="AL57" s="25"/>
      <c r="AM57" s="25"/>
      <c r="AN57" s="25"/>
      <c r="AO57" s="25"/>
    </row>
    <row r="58" spans="3:42" x14ac:dyDescent="0.2">
      <c r="E58" s="1" t="s">
        <v>525</v>
      </c>
      <c r="H58" s="25"/>
      <c r="J58" s="2" t="s">
        <v>1205</v>
      </c>
      <c r="M58" s="25"/>
      <c r="N58" s="25"/>
      <c r="O58" s="25"/>
      <c r="P58" s="25"/>
      <c r="Q58" s="25"/>
      <c r="R58" s="101"/>
      <c r="S58" s="101">
        <v>0</v>
      </c>
      <c r="T58" s="101">
        <v>0</v>
      </c>
      <c r="U58" s="101">
        <v>0</v>
      </c>
      <c r="V58" s="101">
        <v>0</v>
      </c>
      <c r="W58" s="101">
        <v>0</v>
      </c>
      <c r="X58" s="101">
        <v>0</v>
      </c>
      <c r="Y58" s="101">
        <v>0</v>
      </c>
      <c r="Z58" s="101">
        <v>0</v>
      </c>
      <c r="AA58" s="101">
        <v>0</v>
      </c>
      <c r="AB58" s="101">
        <v>0</v>
      </c>
      <c r="AC58" s="101">
        <v>0</v>
      </c>
      <c r="AD58" s="101">
        <v>0</v>
      </c>
      <c r="AE58" s="25"/>
      <c r="AF58" s="25"/>
      <c r="AG58" s="25"/>
      <c r="AH58" s="25"/>
      <c r="AI58" s="25"/>
      <c r="AJ58" s="25"/>
      <c r="AK58" s="25"/>
      <c r="AL58" s="25"/>
      <c r="AM58" s="25"/>
      <c r="AN58" s="25"/>
      <c r="AO58" s="25"/>
    </row>
    <row r="59" spans="3:42" x14ac:dyDescent="0.2">
      <c r="E59" s="1" t="s">
        <v>525</v>
      </c>
      <c r="H59" s="25"/>
      <c r="J59" s="2" t="s">
        <v>1205</v>
      </c>
      <c r="M59" s="25"/>
      <c r="N59" s="25"/>
      <c r="O59" s="25"/>
      <c r="P59" s="25"/>
      <c r="Q59" s="25"/>
      <c r="R59" s="101"/>
      <c r="S59" s="101">
        <v>0</v>
      </c>
      <c r="T59" s="101">
        <v>0</v>
      </c>
      <c r="U59" s="101">
        <v>0</v>
      </c>
      <c r="V59" s="101">
        <v>0</v>
      </c>
      <c r="W59" s="101">
        <v>0</v>
      </c>
      <c r="X59" s="101">
        <v>0</v>
      </c>
      <c r="Y59" s="101">
        <v>0</v>
      </c>
      <c r="Z59" s="101">
        <v>0</v>
      </c>
      <c r="AA59" s="101">
        <v>0</v>
      </c>
      <c r="AB59" s="101">
        <v>0</v>
      </c>
      <c r="AC59" s="101">
        <v>0</v>
      </c>
      <c r="AD59" s="101">
        <v>0</v>
      </c>
      <c r="AE59" s="25"/>
      <c r="AF59" s="25"/>
      <c r="AG59" s="25"/>
      <c r="AH59" s="25"/>
      <c r="AI59" s="25"/>
      <c r="AJ59" s="25"/>
      <c r="AK59" s="25"/>
      <c r="AL59" s="25"/>
      <c r="AM59" s="25"/>
      <c r="AN59" s="25"/>
      <c r="AO59" s="25"/>
    </row>
    <row r="60" spans="3:42" x14ac:dyDescent="0.2">
      <c r="E60" s="1" t="s">
        <v>406</v>
      </c>
      <c r="H60" s="25"/>
      <c r="J60" s="2" t="s">
        <v>1205</v>
      </c>
      <c r="M60" s="25"/>
      <c r="N60" s="25"/>
      <c r="O60" s="25"/>
      <c r="P60" s="25"/>
      <c r="Q60" s="25"/>
      <c r="R60" s="101"/>
      <c r="S60" s="101">
        <v>0</v>
      </c>
      <c r="T60" s="101">
        <v>0</v>
      </c>
      <c r="U60" s="101">
        <v>0</v>
      </c>
      <c r="V60" s="101">
        <v>0</v>
      </c>
      <c r="W60" s="101">
        <v>0</v>
      </c>
      <c r="X60" s="101">
        <v>0</v>
      </c>
      <c r="Y60" s="101">
        <v>0</v>
      </c>
      <c r="Z60" s="101">
        <v>0</v>
      </c>
      <c r="AA60" s="101">
        <v>0</v>
      </c>
      <c r="AB60" s="101">
        <v>0</v>
      </c>
      <c r="AC60" s="101">
        <v>0</v>
      </c>
      <c r="AD60" s="101">
        <v>0</v>
      </c>
      <c r="AE60" s="25"/>
      <c r="AF60" s="25"/>
      <c r="AG60" s="25"/>
      <c r="AH60" s="25"/>
      <c r="AI60" s="25"/>
      <c r="AJ60" s="25"/>
      <c r="AK60" s="25"/>
      <c r="AL60" s="25"/>
      <c r="AM60" s="25"/>
      <c r="AN60" s="25"/>
      <c r="AO60" s="25"/>
    </row>
    <row r="61" spans="3:42" x14ac:dyDescent="0.2">
      <c r="E61" s="97"/>
      <c r="F61" s="97"/>
      <c r="G61" s="97"/>
      <c r="H61" s="101"/>
      <c r="I61" s="97"/>
      <c r="J61" s="98"/>
      <c r="K61" s="97"/>
      <c r="L61" s="99"/>
      <c r="M61" s="97"/>
      <c r="N61" s="109"/>
      <c r="O61" s="109"/>
      <c r="P61" s="109"/>
      <c r="Q61" s="109"/>
      <c r="R61" s="101"/>
      <c r="S61" s="101"/>
      <c r="T61" s="101"/>
      <c r="U61" s="101"/>
      <c r="V61" s="101"/>
      <c r="W61" s="101"/>
      <c r="X61" s="101"/>
      <c r="Y61" s="101"/>
      <c r="Z61" s="101"/>
      <c r="AA61" s="101"/>
      <c r="AB61" s="101"/>
      <c r="AC61" s="101"/>
      <c r="AD61" s="101"/>
      <c r="AE61" s="109"/>
      <c r="AF61" s="109"/>
      <c r="AG61" s="109"/>
      <c r="AH61" s="109"/>
      <c r="AI61" s="109"/>
      <c r="AJ61" s="109"/>
      <c r="AK61" s="109"/>
      <c r="AL61" s="109"/>
      <c r="AM61" s="109"/>
      <c r="AN61" s="109"/>
      <c r="AO61" s="109"/>
      <c r="AP61" s="97"/>
    </row>
    <row r="62" spans="3:42" ht="12.6" x14ac:dyDescent="0.25">
      <c r="E62" s="27" t="s">
        <v>67</v>
      </c>
      <c r="F62" s="28"/>
      <c r="G62" s="28"/>
      <c r="H62" s="100"/>
      <c r="I62" s="28"/>
      <c r="J62" s="29" t="s">
        <v>1205</v>
      </c>
      <c r="K62" s="28"/>
      <c r="L62" s="30" t="s">
        <v>231</v>
      </c>
      <c r="M62" s="100"/>
      <c r="N62" s="100"/>
      <c r="O62" s="100"/>
      <c r="P62" s="100"/>
      <c r="Q62" s="100"/>
      <c r="R62" s="100"/>
      <c r="S62" s="100">
        <f t="shared" ref="S62:AD62" si="18">SUM(S48:S61)</f>
        <v>0</v>
      </c>
      <c r="T62" s="100">
        <f t="shared" si="18"/>
        <v>0</v>
      </c>
      <c r="U62" s="100">
        <f t="shared" si="18"/>
        <v>0</v>
      </c>
      <c r="V62" s="100">
        <f t="shared" si="18"/>
        <v>0</v>
      </c>
      <c r="W62" s="100">
        <f t="shared" si="18"/>
        <v>0</v>
      </c>
      <c r="X62" s="100">
        <f t="shared" si="18"/>
        <v>0</v>
      </c>
      <c r="Y62" s="100">
        <f t="shared" si="18"/>
        <v>0</v>
      </c>
      <c r="Z62" s="100">
        <f t="shared" si="18"/>
        <v>0</v>
      </c>
      <c r="AA62" s="100">
        <f t="shared" si="18"/>
        <v>0</v>
      </c>
      <c r="AB62" s="100">
        <f t="shared" si="18"/>
        <v>0</v>
      </c>
      <c r="AC62" s="100">
        <f t="shared" si="18"/>
        <v>0</v>
      </c>
      <c r="AD62" s="100">
        <f t="shared" si="18"/>
        <v>0</v>
      </c>
      <c r="AE62" s="101"/>
      <c r="AF62" s="101"/>
      <c r="AG62" s="101"/>
      <c r="AH62" s="101"/>
      <c r="AI62" s="101"/>
      <c r="AJ62" s="101"/>
      <c r="AK62" s="101"/>
      <c r="AL62" s="101"/>
      <c r="AM62" s="101"/>
      <c r="AN62" s="101"/>
      <c r="AO62" s="101"/>
      <c r="AP62" s="97"/>
    </row>
    <row r="63" spans="3:42" s="97" customFormat="1" x14ac:dyDescent="0.2">
      <c r="H63" s="101"/>
      <c r="J63" s="98"/>
      <c r="L63" s="9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row>
    <row r="64" spans="3:42" ht="12.6" x14ac:dyDescent="0.25">
      <c r="C64" s="17"/>
      <c r="D64" s="35" t="s">
        <v>163</v>
      </c>
      <c r="H64" s="25"/>
      <c r="M64" s="25"/>
      <c r="N64" s="25"/>
      <c r="O64" s="25"/>
      <c r="P64" s="18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row>
    <row r="65" spans="5:42" x14ac:dyDescent="0.2">
      <c r="E65" s="1" t="s">
        <v>228</v>
      </c>
      <c r="H65" s="25"/>
      <c r="J65" s="2" t="s">
        <v>1205</v>
      </c>
      <c r="M65" s="25"/>
      <c r="N65" s="25"/>
      <c r="O65" s="25"/>
      <c r="P65" s="25"/>
      <c r="Q65" s="25"/>
      <c r="R65" s="101"/>
      <c r="S65" s="25"/>
      <c r="T65" s="25"/>
      <c r="U65" s="25"/>
      <c r="V65" s="25"/>
      <c r="W65" s="25"/>
      <c r="X65" s="25"/>
      <c r="Y65" s="25"/>
      <c r="Z65" s="25"/>
      <c r="AA65" s="25"/>
      <c r="AB65" s="25"/>
      <c r="AC65" s="25"/>
      <c r="AD65" s="25"/>
      <c r="AE65" s="25"/>
      <c r="AF65" s="25"/>
      <c r="AG65" s="25"/>
      <c r="AH65" s="25"/>
      <c r="AI65" s="25"/>
      <c r="AJ65" s="25"/>
      <c r="AK65" s="25"/>
      <c r="AL65" s="25"/>
      <c r="AM65" s="25"/>
      <c r="AN65" s="25"/>
      <c r="AO65" s="25"/>
    </row>
    <row r="66" spans="5:42" x14ac:dyDescent="0.2">
      <c r="E66" s="97" t="s">
        <v>520</v>
      </c>
      <c r="H66" s="25"/>
      <c r="J66" s="2" t="s">
        <v>1205</v>
      </c>
      <c r="M66" s="25"/>
      <c r="N66" s="25"/>
      <c r="O66" s="25"/>
      <c r="P66" s="25"/>
      <c r="Q66" s="25"/>
      <c r="R66" s="101"/>
      <c r="S66" s="25">
        <f t="shared" ref="S66:AD66" si="19">Finance_TL1_Drawdown</f>
        <v>0</v>
      </c>
      <c r="T66" s="25">
        <f t="shared" si="19"/>
        <v>0</v>
      </c>
      <c r="U66" s="25">
        <f t="shared" si="19"/>
        <v>0</v>
      </c>
      <c r="V66" s="25">
        <f t="shared" si="19"/>
        <v>0</v>
      </c>
      <c r="W66" s="25">
        <f t="shared" si="19"/>
        <v>0</v>
      </c>
      <c r="X66" s="25">
        <f t="shared" si="19"/>
        <v>0</v>
      </c>
      <c r="Y66" s="25">
        <f t="shared" si="19"/>
        <v>0</v>
      </c>
      <c r="Z66" s="25">
        <f t="shared" si="19"/>
        <v>0</v>
      </c>
      <c r="AA66" s="25">
        <f t="shared" si="19"/>
        <v>0</v>
      </c>
      <c r="AB66" s="25">
        <f t="shared" si="19"/>
        <v>0</v>
      </c>
      <c r="AC66" s="25">
        <f t="shared" si="19"/>
        <v>0</v>
      </c>
      <c r="AD66" s="25">
        <f t="shared" si="19"/>
        <v>0</v>
      </c>
      <c r="AE66" s="25"/>
      <c r="AF66" s="25"/>
      <c r="AG66" s="25"/>
      <c r="AH66" s="25"/>
      <c r="AI66" s="25"/>
      <c r="AJ66" s="25"/>
      <c r="AK66" s="25"/>
      <c r="AL66" s="25"/>
      <c r="AM66" s="25"/>
      <c r="AN66" s="25"/>
      <c r="AO66" s="25"/>
    </row>
    <row r="67" spans="5:42" x14ac:dyDescent="0.2">
      <c r="E67" s="97" t="s">
        <v>521</v>
      </c>
      <c r="H67" s="25"/>
      <c r="J67" s="2" t="s">
        <v>1205</v>
      </c>
      <c r="M67" s="25"/>
      <c r="N67" s="25"/>
      <c r="O67" s="25"/>
      <c r="P67" s="25"/>
      <c r="Q67" s="25"/>
      <c r="R67" s="101"/>
      <c r="S67" s="25">
        <f t="shared" ref="S67:AD67" si="20">Finance_TL2_Drawdown</f>
        <v>0</v>
      </c>
      <c r="T67" s="25">
        <f t="shared" si="20"/>
        <v>0</v>
      </c>
      <c r="U67" s="25">
        <f t="shared" si="20"/>
        <v>0</v>
      </c>
      <c r="V67" s="25">
        <f t="shared" si="20"/>
        <v>0</v>
      </c>
      <c r="W67" s="25">
        <f t="shared" si="20"/>
        <v>0</v>
      </c>
      <c r="X67" s="25">
        <f t="shared" si="20"/>
        <v>0</v>
      </c>
      <c r="Y67" s="25">
        <f t="shared" si="20"/>
        <v>0</v>
      </c>
      <c r="Z67" s="25">
        <f t="shared" si="20"/>
        <v>0</v>
      </c>
      <c r="AA67" s="25">
        <f t="shared" si="20"/>
        <v>0</v>
      </c>
      <c r="AB67" s="25">
        <f t="shared" si="20"/>
        <v>0</v>
      </c>
      <c r="AC67" s="25">
        <f t="shared" si="20"/>
        <v>0</v>
      </c>
      <c r="AD67" s="25">
        <f t="shared" si="20"/>
        <v>0</v>
      </c>
      <c r="AE67" s="25"/>
      <c r="AF67" s="25"/>
      <c r="AG67" s="25"/>
      <c r="AH67" s="25"/>
      <c r="AI67" s="25"/>
      <c r="AJ67" s="25"/>
      <c r="AK67" s="25"/>
      <c r="AL67" s="25"/>
      <c r="AM67" s="25"/>
      <c r="AN67" s="25"/>
      <c r="AO67" s="25"/>
    </row>
    <row r="68" spans="5:42" x14ac:dyDescent="0.2">
      <c r="E68" s="97" t="s">
        <v>522</v>
      </c>
      <c r="H68" s="25"/>
      <c r="J68" s="2" t="s">
        <v>1205</v>
      </c>
      <c r="M68" s="25"/>
      <c r="N68" s="25"/>
      <c r="O68" s="25"/>
      <c r="P68" s="25"/>
      <c r="Q68" s="25"/>
      <c r="R68" s="101"/>
      <c r="S68" s="25">
        <f t="shared" ref="S68:AD68" si="21">Finance_TL3_Drawdown</f>
        <v>0</v>
      </c>
      <c r="T68" s="25">
        <f t="shared" si="21"/>
        <v>0</v>
      </c>
      <c r="U68" s="25">
        <f t="shared" si="21"/>
        <v>0</v>
      </c>
      <c r="V68" s="25">
        <f t="shared" si="21"/>
        <v>0</v>
      </c>
      <c r="W68" s="25">
        <f t="shared" si="21"/>
        <v>0</v>
      </c>
      <c r="X68" s="25">
        <f t="shared" si="21"/>
        <v>0</v>
      </c>
      <c r="Y68" s="25">
        <f t="shared" si="21"/>
        <v>0</v>
      </c>
      <c r="Z68" s="25">
        <f t="shared" si="21"/>
        <v>0</v>
      </c>
      <c r="AA68" s="25">
        <f t="shared" si="21"/>
        <v>0</v>
      </c>
      <c r="AB68" s="25">
        <f t="shared" si="21"/>
        <v>0</v>
      </c>
      <c r="AC68" s="25">
        <f t="shared" si="21"/>
        <v>0</v>
      </c>
      <c r="AD68" s="25">
        <f t="shared" si="21"/>
        <v>0</v>
      </c>
      <c r="AE68" s="25"/>
      <c r="AF68" s="25"/>
      <c r="AG68" s="25"/>
      <c r="AH68" s="25"/>
      <c r="AI68" s="25"/>
      <c r="AJ68" s="25"/>
      <c r="AK68" s="25"/>
      <c r="AL68" s="25"/>
      <c r="AM68" s="25"/>
      <c r="AN68" s="25"/>
      <c r="AO68" s="25"/>
    </row>
    <row r="69" spans="5:42" x14ac:dyDescent="0.2">
      <c r="E69" s="1" t="s">
        <v>523</v>
      </c>
      <c r="H69" s="25"/>
      <c r="J69" s="2" t="s">
        <v>1205</v>
      </c>
      <c r="M69" s="25"/>
      <c r="N69" s="25"/>
      <c r="O69" s="25"/>
      <c r="P69" s="25"/>
      <c r="Q69" s="25"/>
      <c r="R69" s="101"/>
      <c r="S69" s="25">
        <f t="shared" ref="S69:AD69" si="22">Finance_TL4_Drawdown</f>
        <v>0</v>
      </c>
      <c r="T69" s="25">
        <f t="shared" si="22"/>
        <v>0</v>
      </c>
      <c r="U69" s="25">
        <f t="shared" si="22"/>
        <v>0</v>
      </c>
      <c r="V69" s="25">
        <f t="shared" si="22"/>
        <v>0</v>
      </c>
      <c r="W69" s="25">
        <f t="shared" si="22"/>
        <v>0</v>
      </c>
      <c r="X69" s="25">
        <f t="shared" si="22"/>
        <v>0</v>
      </c>
      <c r="Y69" s="25">
        <f t="shared" si="22"/>
        <v>0</v>
      </c>
      <c r="Z69" s="25">
        <f t="shared" si="22"/>
        <v>0</v>
      </c>
      <c r="AA69" s="25">
        <f t="shared" si="22"/>
        <v>0</v>
      </c>
      <c r="AB69" s="25">
        <f t="shared" si="22"/>
        <v>0</v>
      </c>
      <c r="AC69" s="25">
        <f t="shared" si="22"/>
        <v>0</v>
      </c>
      <c r="AD69" s="25">
        <f t="shared" si="22"/>
        <v>0</v>
      </c>
      <c r="AE69" s="25"/>
      <c r="AF69" s="25"/>
      <c r="AG69" s="25"/>
      <c r="AH69" s="25"/>
      <c r="AI69" s="25"/>
      <c r="AJ69" s="25"/>
      <c r="AK69" s="25"/>
      <c r="AL69" s="25"/>
      <c r="AM69" s="25"/>
      <c r="AN69" s="25"/>
      <c r="AO69" s="25"/>
    </row>
    <row r="70" spans="5:42" x14ac:dyDescent="0.2">
      <c r="E70" s="1" t="s">
        <v>524</v>
      </c>
      <c r="H70" s="25"/>
      <c r="J70" s="2" t="s">
        <v>1205</v>
      </c>
      <c r="M70" s="25"/>
      <c r="N70" s="25"/>
      <c r="O70" s="25"/>
      <c r="P70" s="25"/>
      <c r="Q70" s="25"/>
      <c r="R70" s="101"/>
      <c r="S70" s="25">
        <f t="shared" ref="S70:AD70" si="23">Finance_TL5_Drawdown</f>
        <v>0</v>
      </c>
      <c r="T70" s="25">
        <f t="shared" si="23"/>
        <v>0</v>
      </c>
      <c r="U70" s="25">
        <f t="shared" si="23"/>
        <v>0</v>
      </c>
      <c r="V70" s="25">
        <f t="shared" si="23"/>
        <v>0</v>
      </c>
      <c r="W70" s="25">
        <f t="shared" si="23"/>
        <v>0</v>
      </c>
      <c r="X70" s="25">
        <f t="shared" si="23"/>
        <v>0</v>
      </c>
      <c r="Y70" s="25">
        <f t="shared" si="23"/>
        <v>0</v>
      </c>
      <c r="Z70" s="25">
        <f t="shared" si="23"/>
        <v>0</v>
      </c>
      <c r="AA70" s="25">
        <f t="shared" si="23"/>
        <v>0</v>
      </c>
      <c r="AB70" s="25">
        <f t="shared" si="23"/>
        <v>0</v>
      </c>
      <c r="AC70" s="25">
        <f t="shared" si="23"/>
        <v>0</v>
      </c>
      <c r="AD70" s="25">
        <f t="shared" si="23"/>
        <v>0</v>
      </c>
      <c r="AE70" s="25"/>
      <c r="AF70" s="25"/>
      <c r="AG70" s="25"/>
      <c r="AH70" s="25"/>
      <c r="AI70" s="25"/>
      <c r="AJ70" s="25"/>
      <c r="AK70" s="25"/>
      <c r="AL70" s="25"/>
      <c r="AM70" s="25"/>
      <c r="AN70" s="25"/>
      <c r="AO70" s="25"/>
    </row>
    <row r="71" spans="5:42" x14ac:dyDescent="0.2">
      <c r="E71" s="97"/>
      <c r="H71" s="25"/>
      <c r="M71" s="25"/>
      <c r="N71" s="25"/>
      <c r="O71" s="25"/>
      <c r="P71" s="25"/>
      <c r="Q71" s="25"/>
      <c r="R71" s="101"/>
      <c r="S71" s="25"/>
      <c r="T71" s="25"/>
      <c r="U71" s="25"/>
      <c r="V71" s="25"/>
      <c r="W71" s="25"/>
      <c r="X71" s="25"/>
      <c r="Y71" s="25"/>
      <c r="Z71" s="25"/>
      <c r="AA71" s="25"/>
      <c r="AB71" s="25"/>
      <c r="AC71" s="25"/>
      <c r="AD71" s="25"/>
      <c r="AE71" s="25"/>
      <c r="AF71" s="25"/>
      <c r="AG71" s="25"/>
      <c r="AH71" s="25"/>
      <c r="AI71" s="25"/>
      <c r="AJ71" s="25"/>
      <c r="AK71" s="25"/>
      <c r="AL71" s="25"/>
      <c r="AM71" s="25"/>
      <c r="AN71" s="25"/>
      <c r="AO71" s="25"/>
    </row>
    <row r="72" spans="5:42" x14ac:dyDescent="0.2">
      <c r="E72" s="1" t="s">
        <v>525</v>
      </c>
      <c r="H72" s="25"/>
      <c r="J72" s="2" t="s">
        <v>1205</v>
      </c>
      <c r="M72" s="25"/>
      <c r="N72" s="25"/>
      <c r="O72" s="25"/>
      <c r="P72" s="25"/>
      <c r="Q72" s="25"/>
      <c r="R72" s="101"/>
      <c r="S72" s="101">
        <v>0</v>
      </c>
      <c r="T72" s="101">
        <v>0</v>
      </c>
      <c r="U72" s="101">
        <v>0</v>
      </c>
      <c r="V72" s="101">
        <v>0</v>
      </c>
      <c r="W72" s="101">
        <v>0</v>
      </c>
      <c r="X72" s="101">
        <v>0</v>
      </c>
      <c r="Y72" s="101">
        <v>0</v>
      </c>
      <c r="Z72" s="101">
        <v>0</v>
      </c>
      <c r="AA72" s="101">
        <v>0</v>
      </c>
      <c r="AB72" s="101">
        <v>0</v>
      </c>
      <c r="AC72" s="101">
        <v>0</v>
      </c>
      <c r="AD72" s="101">
        <v>0</v>
      </c>
      <c r="AE72" s="25"/>
      <c r="AF72" s="25"/>
      <c r="AG72" s="25"/>
      <c r="AH72" s="25"/>
      <c r="AI72" s="25"/>
      <c r="AJ72" s="25"/>
      <c r="AK72" s="25"/>
      <c r="AL72" s="25"/>
      <c r="AM72" s="25"/>
      <c r="AN72" s="25"/>
      <c r="AO72" s="25"/>
    </row>
    <row r="73" spans="5:42" x14ac:dyDescent="0.2">
      <c r="E73" s="1" t="s">
        <v>525</v>
      </c>
      <c r="H73" s="25"/>
      <c r="J73" s="2" t="s">
        <v>1205</v>
      </c>
      <c r="M73" s="25"/>
      <c r="N73" s="25"/>
      <c r="O73" s="25"/>
      <c r="P73" s="25"/>
      <c r="Q73" s="25"/>
      <c r="R73" s="101"/>
      <c r="S73" s="101">
        <v>0</v>
      </c>
      <c r="T73" s="101">
        <v>0</v>
      </c>
      <c r="U73" s="101">
        <v>0</v>
      </c>
      <c r="V73" s="101">
        <v>0</v>
      </c>
      <c r="W73" s="101">
        <v>0</v>
      </c>
      <c r="X73" s="101">
        <v>0</v>
      </c>
      <c r="Y73" s="101">
        <v>0</v>
      </c>
      <c r="Z73" s="101">
        <v>0</v>
      </c>
      <c r="AA73" s="101">
        <v>0</v>
      </c>
      <c r="AB73" s="101">
        <v>0</v>
      </c>
      <c r="AC73" s="101">
        <v>0</v>
      </c>
      <c r="AD73" s="101">
        <v>0</v>
      </c>
      <c r="AE73" s="25"/>
      <c r="AF73" s="25"/>
      <c r="AG73" s="25"/>
      <c r="AH73" s="25"/>
      <c r="AI73" s="25"/>
      <c r="AJ73" s="25"/>
      <c r="AK73" s="25"/>
      <c r="AL73" s="25"/>
      <c r="AM73" s="25"/>
      <c r="AN73" s="25"/>
      <c r="AO73" s="25"/>
    </row>
    <row r="74" spans="5:42" x14ac:dyDescent="0.2">
      <c r="E74" s="1" t="s">
        <v>525</v>
      </c>
      <c r="H74" s="25"/>
      <c r="J74" s="2" t="s">
        <v>1205</v>
      </c>
      <c r="M74" s="25"/>
      <c r="N74" s="25"/>
      <c r="O74" s="25"/>
      <c r="P74" s="25"/>
      <c r="Q74" s="25"/>
      <c r="R74" s="101"/>
      <c r="S74" s="101">
        <v>0</v>
      </c>
      <c r="T74" s="101">
        <v>0</v>
      </c>
      <c r="U74" s="101">
        <v>0</v>
      </c>
      <c r="V74" s="101">
        <v>0</v>
      </c>
      <c r="W74" s="101">
        <v>0</v>
      </c>
      <c r="X74" s="101">
        <v>0</v>
      </c>
      <c r="Y74" s="101">
        <v>0</v>
      </c>
      <c r="Z74" s="101">
        <v>0</v>
      </c>
      <c r="AA74" s="101">
        <v>0</v>
      </c>
      <c r="AB74" s="101">
        <v>0</v>
      </c>
      <c r="AC74" s="101">
        <v>0</v>
      </c>
      <c r="AD74" s="101">
        <v>0</v>
      </c>
      <c r="AE74" s="25"/>
      <c r="AF74" s="25"/>
      <c r="AG74" s="25"/>
      <c r="AH74" s="25"/>
      <c r="AI74" s="25"/>
      <c r="AJ74" s="25"/>
      <c r="AK74" s="25"/>
      <c r="AL74" s="25"/>
      <c r="AM74" s="25"/>
      <c r="AN74" s="25"/>
      <c r="AO74" s="25"/>
    </row>
    <row r="75" spans="5:42" x14ac:dyDescent="0.2">
      <c r="E75" s="1" t="s">
        <v>525</v>
      </c>
      <c r="H75" s="25"/>
      <c r="J75" s="2" t="s">
        <v>1205</v>
      </c>
      <c r="M75" s="25"/>
      <c r="N75" s="25"/>
      <c r="O75" s="25"/>
      <c r="P75" s="25"/>
      <c r="Q75" s="25"/>
      <c r="R75" s="101"/>
      <c r="S75" s="101">
        <v>0</v>
      </c>
      <c r="T75" s="101">
        <v>0</v>
      </c>
      <c r="U75" s="101">
        <v>0</v>
      </c>
      <c r="V75" s="101">
        <v>0</v>
      </c>
      <c r="W75" s="101">
        <v>0</v>
      </c>
      <c r="X75" s="101">
        <v>0</v>
      </c>
      <c r="Y75" s="101">
        <v>0</v>
      </c>
      <c r="Z75" s="101">
        <v>0</v>
      </c>
      <c r="AA75" s="101">
        <v>0</v>
      </c>
      <c r="AB75" s="101">
        <v>0</v>
      </c>
      <c r="AC75" s="101">
        <v>0</v>
      </c>
      <c r="AD75" s="101">
        <v>0</v>
      </c>
      <c r="AE75" s="25"/>
      <c r="AF75" s="25"/>
      <c r="AG75" s="25"/>
      <c r="AH75" s="25"/>
      <c r="AI75" s="25"/>
      <c r="AJ75" s="25"/>
      <c r="AK75" s="25"/>
      <c r="AL75" s="25"/>
      <c r="AM75" s="25"/>
      <c r="AN75" s="25"/>
      <c r="AO75" s="25"/>
    </row>
    <row r="76" spans="5:42" x14ac:dyDescent="0.2">
      <c r="E76" s="1" t="s">
        <v>525</v>
      </c>
      <c r="H76" s="25"/>
      <c r="J76" s="2" t="s">
        <v>1205</v>
      </c>
      <c r="M76" s="25"/>
      <c r="N76" s="25"/>
      <c r="O76" s="25"/>
      <c r="P76" s="25"/>
      <c r="Q76" s="25"/>
      <c r="R76" s="101"/>
      <c r="S76" s="101">
        <v>0</v>
      </c>
      <c r="T76" s="101">
        <v>0</v>
      </c>
      <c r="U76" s="101">
        <v>0</v>
      </c>
      <c r="V76" s="101">
        <v>0</v>
      </c>
      <c r="W76" s="101">
        <v>0</v>
      </c>
      <c r="X76" s="101">
        <v>0</v>
      </c>
      <c r="Y76" s="101">
        <v>0</v>
      </c>
      <c r="Z76" s="101">
        <v>0</v>
      </c>
      <c r="AA76" s="101">
        <v>0</v>
      </c>
      <c r="AB76" s="101">
        <v>0</v>
      </c>
      <c r="AC76" s="101">
        <v>0</v>
      </c>
      <c r="AD76" s="101">
        <v>0</v>
      </c>
      <c r="AE76" s="25"/>
      <c r="AF76" s="25"/>
      <c r="AG76" s="25"/>
      <c r="AH76" s="25"/>
      <c r="AI76" s="25"/>
      <c r="AJ76" s="25"/>
      <c r="AK76" s="25"/>
      <c r="AL76" s="25"/>
      <c r="AM76" s="25"/>
      <c r="AN76" s="25"/>
      <c r="AO76" s="25"/>
    </row>
    <row r="77" spans="5:42" x14ac:dyDescent="0.2">
      <c r="E77" s="1" t="s">
        <v>406</v>
      </c>
      <c r="H77" s="25"/>
      <c r="J77" s="2" t="s">
        <v>1205</v>
      </c>
      <c r="M77" s="25"/>
      <c r="N77" s="25"/>
      <c r="O77" s="25"/>
      <c r="P77" s="25"/>
      <c r="Q77" s="25"/>
      <c r="R77" s="101"/>
      <c r="S77" s="101">
        <v>0</v>
      </c>
      <c r="T77" s="101">
        <v>0</v>
      </c>
      <c r="U77" s="101">
        <v>0</v>
      </c>
      <c r="V77" s="101">
        <v>0</v>
      </c>
      <c r="W77" s="101">
        <v>0</v>
      </c>
      <c r="X77" s="101">
        <v>0</v>
      </c>
      <c r="Y77" s="101">
        <v>0</v>
      </c>
      <c r="Z77" s="101">
        <v>0</v>
      </c>
      <c r="AA77" s="101">
        <v>0</v>
      </c>
      <c r="AB77" s="101">
        <v>0</v>
      </c>
      <c r="AC77" s="101">
        <v>0</v>
      </c>
      <c r="AD77" s="101">
        <v>0</v>
      </c>
      <c r="AE77" s="25"/>
      <c r="AF77" s="25"/>
      <c r="AG77" s="25"/>
      <c r="AH77" s="25"/>
      <c r="AI77" s="25"/>
      <c r="AJ77" s="25"/>
      <c r="AK77" s="25"/>
      <c r="AL77" s="25"/>
      <c r="AM77" s="25"/>
      <c r="AN77" s="25"/>
      <c r="AO77" s="25"/>
    </row>
    <row r="78" spans="5:42" x14ac:dyDescent="0.2">
      <c r="H78" s="25"/>
      <c r="M78" s="25"/>
      <c r="N78" s="25"/>
      <c r="O78" s="25"/>
      <c r="P78" s="25"/>
      <c r="Q78" s="25"/>
      <c r="R78" s="101"/>
      <c r="S78" s="25"/>
      <c r="T78" s="25"/>
      <c r="U78" s="25"/>
      <c r="V78" s="25"/>
      <c r="W78" s="25"/>
      <c r="X78" s="25"/>
      <c r="Y78" s="25"/>
      <c r="Z78" s="25"/>
      <c r="AA78" s="25"/>
      <c r="AB78" s="25"/>
      <c r="AC78" s="25"/>
      <c r="AD78" s="25"/>
      <c r="AE78" s="25"/>
      <c r="AF78" s="25"/>
      <c r="AG78" s="25"/>
      <c r="AH78" s="25"/>
      <c r="AI78" s="25"/>
      <c r="AJ78" s="25"/>
      <c r="AK78" s="25"/>
      <c r="AL78" s="25"/>
      <c r="AM78" s="25"/>
      <c r="AN78" s="25"/>
      <c r="AO78" s="25"/>
    </row>
    <row r="79" spans="5:42" ht="12.6" x14ac:dyDescent="0.25">
      <c r="E79" s="27" t="s">
        <v>67</v>
      </c>
      <c r="F79" s="28"/>
      <c r="G79" s="28"/>
      <c r="H79" s="100"/>
      <c r="I79" s="28"/>
      <c r="J79" s="29" t="s">
        <v>1205</v>
      </c>
      <c r="K79" s="28"/>
      <c r="L79" s="30" t="s">
        <v>230</v>
      </c>
      <c r="M79" s="100"/>
      <c r="N79" s="100"/>
      <c r="O79" s="100"/>
      <c r="P79" s="100"/>
      <c r="Q79" s="100"/>
      <c r="R79" s="100"/>
      <c r="S79" s="100">
        <f t="shared" ref="S79:AD79" si="24">SUM(S65:S78)</f>
        <v>0</v>
      </c>
      <c r="T79" s="100">
        <f t="shared" si="24"/>
        <v>0</v>
      </c>
      <c r="U79" s="100">
        <f t="shared" si="24"/>
        <v>0</v>
      </c>
      <c r="V79" s="100">
        <f t="shared" si="24"/>
        <v>0</v>
      </c>
      <c r="W79" s="100">
        <f t="shared" si="24"/>
        <v>0</v>
      </c>
      <c r="X79" s="100">
        <f t="shared" si="24"/>
        <v>0</v>
      </c>
      <c r="Y79" s="100">
        <f t="shared" si="24"/>
        <v>0</v>
      </c>
      <c r="Z79" s="100">
        <f t="shared" si="24"/>
        <v>0</v>
      </c>
      <c r="AA79" s="100">
        <f t="shared" si="24"/>
        <v>0</v>
      </c>
      <c r="AB79" s="100">
        <f t="shared" si="24"/>
        <v>0</v>
      </c>
      <c r="AC79" s="100">
        <f t="shared" si="24"/>
        <v>0</v>
      </c>
      <c r="AD79" s="100">
        <f t="shared" si="24"/>
        <v>0</v>
      </c>
      <c r="AE79" s="101"/>
      <c r="AF79" s="101"/>
      <c r="AG79" s="101"/>
      <c r="AH79" s="101"/>
      <c r="AI79" s="101"/>
      <c r="AJ79" s="101"/>
      <c r="AK79" s="101"/>
      <c r="AL79" s="101"/>
      <c r="AM79" s="101"/>
      <c r="AN79" s="101"/>
      <c r="AO79" s="101"/>
      <c r="AP79" s="97"/>
    </row>
    <row r="80" spans="5:42" s="97" customFormat="1" x14ac:dyDescent="0.2">
      <c r="H80" s="101"/>
      <c r="J80" s="98"/>
      <c r="L80" s="99"/>
      <c r="N80" s="109"/>
      <c r="O80" s="109"/>
      <c r="P80" s="109"/>
      <c r="Q80" s="109"/>
      <c r="R80" s="109"/>
      <c r="S80" s="109"/>
      <c r="T80" s="109"/>
      <c r="U80" s="109"/>
      <c r="V80" s="109"/>
      <c r="W80" s="109"/>
      <c r="X80" s="109"/>
      <c r="Y80" s="109"/>
      <c r="Z80" s="109"/>
      <c r="AA80" s="109"/>
      <c r="AB80" s="109"/>
      <c r="AC80" s="109"/>
      <c r="AD80" s="109"/>
      <c r="AE80" s="109"/>
      <c r="AF80" s="109"/>
      <c r="AG80" s="109"/>
      <c r="AH80" s="109"/>
      <c r="AI80" s="109"/>
      <c r="AJ80" s="109"/>
      <c r="AK80" s="109"/>
      <c r="AL80" s="109"/>
      <c r="AM80" s="109"/>
      <c r="AN80" s="109"/>
      <c r="AO80" s="109"/>
    </row>
    <row r="81" spans="3:42" ht="12.6" x14ac:dyDescent="0.25">
      <c r="C81" s="20"/>
      <c r="D81" s="32" t="s">
        <v>224</v>
      </c>
      <c r="E81" s="97"/>
      <c r="F81" s="97"/>
      <c r="H81" s="25"/>
      <c r="M81" s="25"/>
      <c r="N81" s="25"/>
      <c r="O81" s="25"/>
      <c r="P81" s="18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row>
    <row r="82" spans="3:42" x14ac:dyDescent="0.2">
      <c r="C82" s="97"/>
      <c r="D82" s="97"/>
      <c r="E82" s="1" t="s">
        <v>228</v>
      </c>
      <c r="F82" s="97"/>
      <c r="H82" s="25"/>
      <c r="J82" s="2" t="s">
        <v>1205</v>
      </c>
      <c r="M82" s="25"/>
      <c r="N82" s="25"/>
      <c r="O82" s="25"/>
      <c r="P82" s="25"/>
      <c r="Q82" s="25"/>
      <c r="R82" s="101"/>
      <c r="S82" s="25"/>
      <c r="T82" s="25"/>
      <c r="U82" s="25"/>
      <c r="V82" s="25"/>
      <c r="W82" s="25"/>
      <c r="X82" s="25"/>
      <c r="Y82" s="25"/>
      <c r="Z82" s="25"/>
      <c r="AA82" s="25"/>
      <c r="AB82" s="25"/>
      <c r="AC82" s="25"/>
      <c r="AD82" s="25"/>
      <c r="AE82" s="25"/>
      <c r="AF82" s="25"/>
      <c r="AG82" s="25"/>
      <c r="AH82" s="25"/>
      <c r="AI82" s="25"/>
      <c r="AJ82" s="25"/>
      <c r="AK82" s="25"/>
      <c r="AL82" s="25"/>
      <c r="AM82" s="25"/>
      <c r="AN82" s="25"/>
      <c r="AO82" s="25"/>
    </row>
    <row r="83" spans="3:42" x14ac:dyDescent="0.2">
      <c r="C83" s="97"/>
      <c r="D83" s="97"/>
      <c r="E83" s="97" t="s">
        <v>520</v>
      </c>
      <c r="F83" s="97"/>
      <c r="H83" s="25"/>
      <c r="J83" s="2" t="s">
        <v>1205</v>
      </c>
      <c r="M83" s="25"/>
      <c r="N83" s="25"/>
      <c r="O83" s="25"/>
      <c r="P83" s="25"/>
      <c r="Q83" s="25"/>
      <c r="R83" s="101"/>
      <c r="S83" s="25">
        <f t="shared" ref="S83:AD83" si="25">Finance_TL1_Repayment</f>
        <v>0</v>
      </c>
      <c r="T83" s="25">
        <f t="shared" si="25"/>
        <v>-31171.125</v>
      </c>
      <c r="U83" s="25">
        <f t="shared" si="25"/>
        <v>-31171.125</v>
      </c>
      <c r="V83" s="25">
        <f t="shared" si="25"/>
        <v>-31171.125</v>
      </c>
      <c r="W83" s="25">
        <f t="shared" si="25"/>
        <v>-31171.125</v>
      </c>
      <c r="X83" s="25">
        <f t="shared" si="25"/>
        <v>-31171.125</v>
      </c>
      <c r="Y83" s="25">
        <f t="shared" si="25"/>
        <v>-31171.125</v>
      </c>
      <c r="Z83" s="25">
        <f t="shared" si="25"/>
        <v>-31171.125</v>
      </c>
      <c r="AA83" s="25">
        <f t="shared" si="25"/>
        <v>-31171.125</v>
      </c>
      <c r="AB83" s="25">
        <f t="shared" si="25"/>
        <v>0</v>
      </c>
      <c r="AC83" s="25">
        <f t="shared" si="25"/>
        <v>0</v>
      </c>
      <c r="AD83" s="25">
        <f t="shared" si="25"/>
        <v>0</v>
      </c>
      <c r="AE83" s="25"/>
      <c r="AF83" s="25"/>
      <c r="AG83" s="25"/>
      <c r="AH83" s="25"/>
      <c r="AI83" s="25"/>
      <c r="AJ83" s="25"/>
      <c r="AK83" s="25"/>
      <c r="AL83" s="25"/>
      <c r="AM83" s="25"/>
      <c r="AN83" s="25"/>
      <c r="AO83" s="25"/>
    </row>
    <row r="84" spans="3:42" x14ac:dyDescent="0.2">
      <c r="C84" s="97"/>
      <c r="D84" s="97"/>
      <c r="E84" s="97" t="s">
        <v>521</v>
      </c>
      <c r="F84" s="97"/>
      <c r="H84" s="25"/>
      <c r="J84" s="2" t="s">
        <v>1205</v>
      </c>
      <c r="M84" s="25"/>
      <c r="N84" s="25"/>
      <c r="O84" s="25"/>
      <c r="P84" s="25"/>
      <c r="Q84" s="25"/>
      <c r="R84" s="101"/>
      <c r="S84" s="25">
        <f t="shared" ref="S84:AD84" si="26">Finance_TL2_Repayment</f>
        <v>0</v>
      </c>
      <c r="T84" s="25">
        <f t="shared" si="26"/>
        <v>0</v>
      </c>
      <c r="U84" s="25">
        <f t="shared" si="26"/>
        <v>0</v>
      </c>
      <c r="V84" s="25">
        <f t="shared" si="26"/>
        <v>-18750</v>
      </c>
      <c r="W84" s="25">
        <f t="shared" si="26"/>
        <v>-18750</v>
      </c>
      <c r="X84" s="25">
        <f t="shared" si="26"/>
        <v>-18750</v>
      </c>
      <c r="Y84" s="25">
        <f t="shared" si="26"/>
        <v>-18750</v>
      </c>
      <c r="Z84" s="25">
        <f t="shared" si="26"/>
        <v>0</v>
      </c>
      <c r="AA84" s="25">
        <f t="shared" si="26"/>
        <v>0</v>
      </c>
      <c r="AB84" s="25">
        <f t="shared" si="26"/>
        <v>0</v>
      </c>
      <c r="AC84" s="25">
        <f t="shared" si="26"/>
        <v>0</v>
      </c>
      <c r="AD84" s="25">
        <f t="shared" si="26"/>
        <v>0</v>
      </c>
      <c r="AE84" s="25"/>
      <c r="AF84" s="25"/>
      <c r="AG84" s="25"/>
      <c r="AH84" s="25"/>
      <c r="AI84" s="25"/>
      <c r="AJ84" s="25"/>
      <c r="AK84" s="25"/>
      <c r="AL84" s="25"/>
      <c r="AM84" s="25"/>
      <c r="AN84" s="25"/>
      <c r="AO84" s="25"/>
    </row>
    <row r="85" spans="3:42" x14ac:dyDescent="0.2">
      <c r="E85" s="97" t="s">
        <v>522</v>
      </c>
      <c r="H85" s="25"/>
      <c r="J85" s="2" t="s">
        <v>1205</v>
      </c>
      <c r="M85" s="25"/>
      <c r="N85" s="25"/>
      <c r="O85" s="25"/>
      <c r="P85" s="25"/>
      <c r="Q85" s="25"/>
      <c r="R85" s="101"/>
      <c r="S85" s="25">
        <f t="shared" ref="S85:AD85" si="27">Finance_TL3_Repayment</f>
        <v>-16652</v>
      </c>
      <c r="T85" s="25">
        <f t="shared" si="27"/>
        <v>0</v>
      </c>
      <c r="U85" s="25">
        <f t="shared" si="27"/>
        <v>0</v>
      </c>
      <c r="V85" s="25">
        <f t="shared" si="27"/>
        <v>0</v>
      </c>
      <c r="W85" s="25">
        <f t="shared" si="27"/>
        <v>0</v>
      </c>
      <c r="X85" s="25">
        <f t="shared" si="27"/>
        <v>0</v>
      </c>
      <c r="Y85" s="25">
        <f t="shared" si="27"/>
        <v>0</v>
      </c>
      <c r="Z85" s="25">
        <f t="shared" si="27"/>
        <v>0</v>
      </c>
      <c r="AA85" s="25">
        <f t="shared" si="27"/>
        <v>0</v>
      </c>
      <c r="AB85" s="25">
        <f t="shared" si="27"/>
        <v>0</v>
      </c>
      <c r="AC85" s="25">
        <f t="shared" si="27"/>
        <v>0</v>
      </c>
      <c r="AD85" s="25">
        <f t="shared" si="27"/>
        <v>0</v>
      </c>
      <c r="AE85" s="25"/>
      <c r="AF85" s="25"/>
      <c r="AG85" s="25"/>
      <c r="AH85" s="25"/>
      <c r="AI85" s="25"/>
      <c r="AJ85" s="25"/>
      <c r="AK85" s="25"/>
      <c r="AL85" s="25"/>
      <c r="AM85" s="25"/>
      <c r="AN85" s="25"/>
      <c r="AO85" s="25"/>
    </row>
    <row r="86" spans="3:42" x14ac:dyDescent="0.2">
      <c r="E86" s="1" t="s">
        <v>523</v>
      </c>
      <c r="H86" s="25"/>
      <c r="J86" s="2" t="s">
        <v>1205</v>
      </c>
      <c r="M86" s="25"/>
      <c r="N86" s="25"/>
      <c r="O86" s="25"/>
      <c r="P86" s="25"/>
      <c r="Q86" s="25"/>
      <c r="R86" s="101"/>
      <c r="S86" s="25">
        <f t="shared" ref="S86:AD86" si="28">Finance_TL4_Repayment</f>
        <v>-1078</v>
      </c>
      <c r="T86" s="25">
        <f t="shared" si="28"/>
        <v>-1078</v>
      </c>
      <c r="U86" s="25">
        <f t="shared" si="28"/>
        <v>-1078</v>
      </c>
      <c r="V86" s="25">
        <f t="shared" si="28"/>
        <v>-1078</v>
      </c>
      <c r="W86" s="25">
        <f t="shared" si="28"/>
        <v>-1078</v>
      </c>
      <c r="X86" s="25">
        <f t="shared" si="28"/>
        <v>0</v>
      </c>
      <c r="Y86" s="25">
        <f t="shared" si="28"/>
        <v>0</v>
      </c>
      <c r="Z86" s="25">
        <f t="shared" si="28"/>
        <v>0</v>
      </c>
      <c r="AA86" s="25">
        <f t="shared" si="28"/>
        <v>0</v>
      </c>
      <c r="AB86" s="25">
        <f t="shared" si="28"/>
        <v>0</v>
      </c>
      <c r="AC86" s="25">
        <f t="shared" si="28"/>
        <v>0</v>
      </c>
      <c r="AD86" s="25">
        <f t="shared" si="28"/>
        <v>0</v>
      </c>
      <c r="AE86" s="25"/>
      <c r="AF86" s="25"/>
      <c r="AG86" s="25"/>
      <c r="AH86" s="25"/>
      <c r="AI86" s="25"/>
      <c r="AJ86" s="25"/>
      <c r="AK86" s="25"/>
      <c r="AL86" s="25"/>
      <c r="AM86" s="25"/>
      <c r="AN86" s="25"/>
      <c r="AO86" s="25"/>
    </row>
    <row r="87" spans="3:42" x14ac:dyDescent="0.2">
      <c r="E87" s="1" t="s">
        <v>524</v>
      </c>
      <c r="H87" s="25"/>
      <c r="J87" s="2" t="s">
        <v>1205</v>
      </c>
      <c r="M87" s="25"/>
      <c r="N87" s="25"/>
      <c r="O87" s="25"/>
      <c r="P87" s="25"/>
      <c r="Q87" s="25"/>
      <c r="R87" s="101"/>
      <c r="S87" s="25">
        <f t="shared" ref="S87:AD87" si="29">Finance_TL5_Repayment</f>
        <v>0</v>
      </c>
      <c r="T87" s="25">
        <f t="shared" si="29"/>
        <v>0</v>
      </c>
      <c r="U87" s="25">
        <f t="shared" si="29"/>
        <v>0</v>
      </c>
      <c r="V87" s="25">
        <f t="shared" si="29"/>
        <v>0</v>
      </c>
      <c r="W87" s="25">
        <f t="shared" si="29"/>
        <v>0</v>
      </c>
      <c r="X87" s="25">
        <f t="shared" si="29"/>
        <v>0</v>
      </c>
      <c r="Y87" s="25">
        <f t="shared" si="29"/>
        <v>0</v>
      </c>
      <c r="Z87" s="25">
        <f t="shared" si="29"/>
        <v>0</v>
      </c>
      <c r="AA87" s="25">
        <f t="shared" si="29"/>
        <v>0</v>
      </c>
      <c r="AB87" s="25">
        <f t="shared" si="29"/>
        <v>0</v>
      </c>
      <c r="AC87" s="25">
        <f t="shared" si="29"/>
        <v>0</v>
      </c>
      <c r="AD87" s="25">
        <f t="shared" si="29"/>
        <v>0</v>
      </c>
      <c r="AE87" s="25"/>
      <c r="AF87" s="25"/>
      <c r="AG87" s="25"/>
      <c r="AH87" s="25"/>
      <c r="AI87" s="25"/>
      <c r="AJ87" s="25"/>
      <c r="AK87" s="25"/>
      <c r="AL87" s="25"/>
      <c r="AM87" s="25"/>
      <c r="AN87" s="25"/>
      <c r="AO87" s="25"/>
    </row>
    <row r="88" spans="3:42" x14ac:dyDescent="0.2">
      <c r="E88" s="97"/>
      <c r="H88" s="25"/>
      <c r="M88" s="25"/>
      <c r="N88" s="25"/>
      <c r="O88" s="25"/>
      <c r="P88" s="25"/>
      <c r="Q88" s="25"/>
      <c r="R88" s="101"/>
      <c r="S88" s="25"/>
      <c r="T88" s="25"/>
      <c r="U88" s="25"/>
      <c r="V88" s="25"/>
      <c r="W88" s="25"/>
      <c r="X88" s="25"/>
      <c r="Y88" s="25"/>
      <c r="Z88" s="25"/>
      <c r="AA88" s="25"/>
      <c r="AB88" s="25"/>
      <c r="AC88" s="25"/>
      <c r="AD88" s="25"/>
      <c r="AE88" s="25"/>
      <c r="AF88" s="25"/>
      <c r="AG88" s="25"/>
      <c r="AH88" s="25"/>
      <c r="AI88" s="25"/>
      <c r="AJ88" s="25"/>
      <c r="AK88" s="25"/>
      <c r="AL88" s="25"/>
      <c r="AM88" s="25"/>
      <c r="AN88" s="25"/>
      <c r="AO88" s="25"/>
    </row>
    <row r="89" spans="3:42" x14ac:dyDescent="0.2">
      <c r="E89" s="1" t="s">
        <v>525</v>
      </c>
      <c r="H89" s="25"/>
      <c r="J89" s="2" t="s">
        <v>1205</v>
      </c>
      <c r="M89" s="25"/>
      <c r="N89" s="25"/>
      <c r="O89" s="25"/>
      <c r="P89" s="25"/>
      <c r="Q89" s="25"/>
      <c r="R89" s="101"/>
      <c r="S89" s="101">
        <v>0</v>
      </c>
      <c r="T89" s="101">
        <v>0</v>
      </c>
      <c r="U89" s="101">
        <v>0</v>
      </c>
      <c r="V89" s="101">
        <v>0</v>
      </c>
      <c r="W89" s="101">
        <v>0</v>
      </c>
      <c r="X89" s="101">
        <v>0</v>
      </c>
      <c r="Y89" s="101">
        <v>0</v>
      </c>
      <c r="Z89" s="101">
        <v>0</v>
      </c>
      <c r="AA89" s="101">
        <v>0</v>
      </c>
      <c r="AB89" s="101">
        <v>0</v>
      </c>
      <c r="AC89" s="101">
        <v>0</v>
      </c>
      <c r="AD89" s="101">
        <v>0</v>
      </c>
      <c r="AE89" s="25"/>
      <c r="AF89" s="25"/>
      <c r="AG89" s="25"/>
      <c r="AH89" s="25"/>
      <c r="AI89" s="25"/>
      <c r="AJ89" s="25"/>
      <c r="AK89" s="25"/>
      <c r="AL89" s="25"/>
      <c r="AM89" s="25"/>
      <c r="AN89" s="25"/>
      <c r="AO89" s="25"/>
    </row>
    <row r="90" spans="3:42" x14ac:dyDescent="0.2">
      <c r="E90" s="1" t="s">
        <v>525</v>
      </c>
      <c r="H90" s="25"/>
      <c r="J90" s="2" t="s">
        <v>1205</v>
      </c>
      <c r="M90" s="25"/>
      <c r="N90" s="25"/>
      <c r="O90" s="25"/>
      <c r="P90" s="25"/>
      <c r="Q90" s="25"/>
      <c r="R90" s="101"/>
      <c r="S90" s="101">
        <v>0</v>
      </c>
      <c r="T90" s="101">
        <v>0</v>
      </c>
      <c r="U90" s="101">
        <v>0</v>
      </c>
      <c r="V90" s="101">
        <v>0</v>
      </c>
      <c r="W90" s="101">
        <v>0</v>
      </c>
      <c r="X90" s="101">
        <v>0</v>
      </c>
      <c r="Y90" s="101">
        <v>0</v>
      </c>
      <c r="Z90" s="101">
        <v>0</v>
      </c>
      <c r="AA90" s="101">
        <v>0</v>
      </c>
      <c r="AB90" s="101">
        <v>0</v>
      </c>
      <c r="AC90" s="101">
        <v>0</v>
      </c>
      <c r="AD90" s="101">
        <v>0</v>
      </c>
      <c r="AE90" s="25"/>
      <c r="AF90" s="25"/>
      <c r="AG90" s="25"/>
      <c r="AH90" s="25"/>
      <c r="AI90" s="25"/>
      <c r="AJ90" s="25"/>
      <c r="AK90" s="25"/>
      <c r="AL90" s="25"/>
      <c r="AM90" s="25"/>
      <c r="AN90" s="25"/>
      <c r="AO90" s="25"/>
    </row>
    <row r="91" spans="3:42" x14ac:dyDescent="0.2">
      <c r="E91" s="1" t="s">
        <v>525</v>
      </c>
      <c r="H91" s="25"/>
      <c r="J91" s="2" t="s">
        <v>1205</v>
      </c>
      <c r="M91" s="25"/>
      <c r="N91" s="25"/>
      <c r="O91" s="25"/>
      <c r="P91" s="25"/>
      <c r="Q91" s="25"/>
      <c r="R91" s="101"/>
      <c r="S91" s="101">
        <v>0</v>
      </c>
      <c r="T91" s="101">
        <v>0</v>
      </c>
      <c r="U91" s="101">
        <v>0</v>
      </c>
      <c r="V91" s="101">
        <v>0</v>
      </c>
      <c r="W91" s="101">
        <v>0</v>
      </c>
      <c r="X91" s="101">
        <v>0</v>
      </c>
      <c r="Y91" s="101">
        <v>0</v>
      </c>
      <c r="Z91" s="101">
        <v>0</v>
      </c>
      <c r="AA91" s="101">
        <v>0</v>
      </c>
      <c r="AB91" s="101">
        <v>0</v>
      </c>
      <c r="AC91" s="101">
        <v>0</v>
      </c>
      <c r="AD91" s="101">
        <v>0</v>
      </c>
      <c r="AE91" s="25"/>
      <c r="AF91" s="25"/>
      <c r="AG91" s="25"/>
      <c r="AH91" s="25"/>
      <c r="AI91" s="25"/>
      <c r="AJ91" s="25"/>
      <c r="AK91" s="25"/>
      <c r="AL91" s="25"/>
      <c r="AM91" s="25"/>
      <c r="AN91" s="25"/>
      <c r="AO91" s="25"/>
    </row>
    <row r="92" spans="3:42" x14ac:dyDescent="0.2">
      <c r="E92" s="1" t="s">
        <v>525</v>
      </c>
      <c r="H92" s="25"/>
      <c r="J92" s="2" t="s">
        <v>1205</v>
      </c>
      <c r="M92" s="25"/>
      <c r="N92" s="25"/>
      <c r="O92" s="25"/>
      <c r="P92" s="25"/>
      <c r="Q92" s="25"/>
      <c r="R92" s="101"/>
      <c r="S92" s="101">
        <v>0</v>
      </c>
      <c r="T92" s="101">
        <v>0</v>
      </c>
      <c r="U92" s="101">
        <v>0</v>
      </c>
      <c r="V92" s="101">
        <v>0</v>
      </c>
      <c r="W92" s="101">
        <v>0</v>
      </c>
      <c r="X92" s="101">
        <v>0</v>
      </c>
      <c r="Y92" s="101">
        <v>0</v>
      </c>
      <c r="Z92" s="101">
        <v>0</v>
      </c>
      <c r="AA92" s="101">
        <v>0</v>
      </c>
      <c r="AB92" s="101">
        <v>0</v>
      </c>
      <c r="AC92" s="101">
        <v>0</v>
      </c>
      <c r="AD92" s="101">
        <v>0</v>
      </c>
      <c r="AE92" s="25"/>
      <c r="AF92" s="25"/>
      <c r="AG92" s="25"/>
      <c r="AH92" s="25"/>
      <c r="AI92" s="25"/>
      <c r="AJ92" s="25"/>
      <c r="AK92" s="25"/>
      <c r="AL92" s="25"/>
      <c r="AM92" s="25"/>
      <c r="AN92" s="25"/>
      <c r="AO92" s="25"/>
    </row>
    <row r="93" spans="3:42" x14ac:dyDescent="0.2">
      <c r="E93" s="1" t="s">
        <v>525</v>
      </c>
      <c r="H93" s="25"/>
      <c r="J93" s="2" t="s">
        <v>1205</v>
      </c>
      <c r="M93" s="25"/>
      <c r="N93" s="25"/>
      <c r="O93" s="25"/>
      <c r="P93" s="25"/>
      <c r="Q93" s="25"/>
      <c r="R93" s="101"/>
      <c r="S93" s="101">
        <v>0</v>
      </c>
      <c r="T93" s="101">
        <v>0</v>
      </c>
      <c r="U93" s="101">
        <v>0</v>
      </c>
      <c r="V93" s="101">
        <v>0</v>
      </c>
      <c r="W93" s="101">
        <v>0</v>
      </c>
      <c r="X93" s="101">
        <v>0</v>
      </c>
      <c r="Y93" s="101">
        <v>0</v>
      </c>
      <c r="Z93" s="101">
        <v>0</v>
      </c>
      <c r="AA93" s="101">
        <v>0</v>
      </c>
      <c r="AB93" s="101">
        <v>0</v>
      </c>
      <c r="AC93" s="101">
        <v>0</v>
      </c>
      <c r="AD93" s="101">
        <v>0</v>
      </c>
      <c r="AE93" s="25"/>
      <c r="AF93" s="25"/>
      <c r="AG93" s="25"/>
      <c r="AH93" s="25"/>
      <c r="AI93" s="25"/>
      <c r="AJ93" s="25"/>
      <c r="AK93" s="25"/>
      <c r="AL93" s="25"/>
      <c r="AM93" s="25"/>
      <c r="AN93" s="25"/>
      <c r="AO93" s="25"/>
    </row>
    <row r="94" spans="3:42" x14ac:dyDescent="0.2">
      <c r="E94" s="1" t="s">
        <v>406</v>
      </c>
      <c r="H94" s="25"/>
      <c r="J94" s="2" t="s">
        <v>1205</v>
      </c>
      <c r="M94" s="25"/>
      <c r="N94" s="25"/>
      <c r="O94" s="25"/>
      <c r="P94" s="25"/>
      <c r="Q94" s="25"/>
      <c r="R94" s="101"/>
      <c r="S94" s="101">
        <v>0</v>
      </c>
      <c r="T94" s="101">
        <v>0</v>
      </c>
      <c r="U94" s="101">
        <v>0</v>
      </c>
      <c r="V94" s="101">
        <v>0</v>
      </c>
      <c r="W94" s="101">
        <v>0</v>
      </c>
      <c r="X94" s="101">
        <v>0</v>
      </c>
      <c r="Y94" s="101">
        <v>0</v>
      </c>
      <c r="Z94" s="101">
        <v>0</v>
      </c>
      <c r="AA94" s="101">
        <v>0</v>
      </c>
      <c r="AB94" s="101">
        <v>0</v>
      </c>
      <c r="AC94" s="101">
        <v>0</v>
      </c>
      <c r="AD94" s="101">
        <v>0</v>
      </c>
      <c r="AE94" s="25"/>
      <c r="AF94" s="25"/>
      <c r="AG94" s="25"/>
      <c r="AH94" s="25"/>
      <c r="AI94" s="25"/>
      <c r="AJ94" s="25"/>
      <c r="AK94" s="25"/>
      <c r="AL94" s="25"/>
      <c r="AM94" s="25"/>
      <c r="AN94" s="25"/>
      <c r="AO94" s="25"/>
    </row>
    <row r="95" spans="3:42" x14ac:dyDescent="0.2">
      <c r="E95" s="97"/>
      <c r="F95" s="97"/>
      <c r="G95" s="97"/>
      <c r="H95" s="101"/>
      <c r="I95" s="97"/>
      <c r="J95" s="98"/>
      <c r="K95" s="97"/>
      <c r="L95" s="99"/>
      <c r="M95" s="97"/>
      <c r="N95" s="109"/>
      <c r="O95" s="109"/>
      <c r="P95" s="109"/>
      <c r="Q95" s="109"/>
      <c r="R95" s="101"/>
      <c r="S95" s="101"/>
      <c r="T95" s="101"/>
      <c r="U95" s="101"/>
      <c r="V95" s="101"/>
      <c r="W95" s="101"/>
      <c r="X95" s="101"/>
      <c r="Y95" s="101"/>
      <c r="Z95" s="101"/>
      <c r="AA95" s="101"/>
      <c r="AB95" s="101"/>
      <c r="AC95" s="101"/>
      <c r="AD95" s="101"/>
      <c r="AE95" s="109"/>
      <c r="AF95" s="109"/>
      <c r="AG95" s="109"/>
      <c r="AH95" s="109"/>
      <c r="AI95" s="109"/>
      <c r="AJ95" s="109"/>
      <c r="AK95" s="109"/>
      <c r="AL95" s="109"/>
      <c r="AM95" s="109"/>
      <c r="AN95" s="109"/>
      <c r="AO95" s="109"/>
      <c r="AP95" s="97"/>
    </row>
    <row r="96" spans="3:42" ht="12.6" x14ac:dyDescent="0.25">
      <c r="E96" s="27" t="s">
        <v>67</v>
      </c>
      <c r="F96" s="28"/>
      <c r="G96" s="28"/>
      <c r="H96" s="100"/>
      <c r="I96" s="28"/>
      <c r="J96" s="29" t="s">
        <v>1205</v>
      </c>
      <c r="K96" s="28"/>
      <c r="L96" s="30" t="s">
        <v>229</v>
      </c>
      <c r="M96" s="100"/>
      <c r="N96" s="100"/>
      <c r="O96" s="100"/>
      <c r="P96" s="100"/>
      <c r="Q96" s="100"/>
      <c r="R96" s="100"/>
      <c r="S96" s="100">
        <f t="shared" ref="S96:AD96" si="30">SUM(S83:S95)</f>
        <v>-17730</v>
      </c>
      <c r="T96" s="100">
        <f t="shared" si="30"/>
        <v>-32249.125</v>
      </c>
      <c r="U96" s="100">
        <f t="shared" si="30"/>
        <v>-32249.125</v>
      </c>
      <c r="V96" s="100">
        <f t="shared" si="30"/>
        <v>-50999.125</v>
      </c>
      <c r="W96" s="100">
        <f t="shared" si="30"/>
        <v>-50999.125</v>
      </c>
      <c r="X96" s="100">
        <f t="shared" si="30"/>
        <v>-49921.125</v>
      </c>
      <c r="Y96" s="100">
        <f t="shared" si="30"/>
        <v>-49921.125</v>
      </c>
      <c r="Z96" s="100">
        <f t="shared" si="30"/>
        <v>-31171.125</v>
      </c>
      <c r="AA96" s="100">
        <f t="shared" si="30"/>
        <v>-31171.125</v>
      </c>
      <c r="AB96" s="100">
        <f t="shared" si="30"/>
        <v>0</v>
      </c>
      <c r="AC96" s="100">
        <f t="shared" si="30"/>
        <v>0</v>
      </c>
      <c r="AD96" s="100">
        <f t="shared" si="30"/>
        <v>0</v>
      </c>
      <c r="AE96" s="101"/>
      <c r="AF96" s="101"/>
      <c r="AG96" s="101"/>
      <c r="AH96" s="101"/>
      <c r="AI96" s="101"/>
      <c r="AJ96" s="101"/>
      <c r="AK96" s="101"/>
      <c r="AL96" s="101"/>
      <c r="AM96" s="101"/>
      <c r="AN96" s="101"/>
      <c r="AO96" s="101"/>
      <c r="AP96" s="97"/>
    </row>
    <row r="97" spans="3:42" s="97" customFormat="1" x14ac:dyDescent="0.2">
      <c r="H97" s="101"/>
      <c r="J97" s="98"/>
      <c r="L97" s="99"/>
      <c r="N97" s="109"/>
      <c r="O97" s="109"/>
      <c r="P97" s="109"/>
      <c r="Q97" s="109"/>
      <c r="R97" s="109"/>
      <c r="S97" s="109"/>
      <c r="T97" s="109"/>
      <c r="U97" s="109"/>
      <c r="V97" s="109"/>
      <c r="W97" s="109"/>
      <c r="X97" s="109"/>
      <c r="Y97" s="109"/>
      <c r="Z97" s="109"/>
      <c r="AA97" s="109"/>
      <c r="AB97" s="109"/>
      <c r="AC97" s="109"/>
      <c r="AD97" s="109"/>
      <c r="AE97" s="109"/>
      <c r="AF97" s="109"/>
      <c r="AG97" s="109"/>
      <c r="AH97" s="109"/>
      <c r="AI97" s="109"/>
      <c r="AJ97" s="109"/>
      <c r="AK97" s="109"/>
      <c r="AL97" s="109"/>
      <c r="AM97" s="109"/>
      <c r="AN97" s="109"/>
      <c r="AO97" s="109"/>
    </row>
    <row r="98" spans="3:42" ht="12.6" x14ac:dyDescent="0.25">
      <c r="C98" s="17"/>
      <c r="D98" s="35" t="s">
        <v>157</v>
      </c>
      <c r="H98" s="25"/>
      <c r="M98" s="25"/>
      <c r="N98" s="25"/>
      <c r="O98" s="25"/>
      <c r="P98" s="18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row>
    <row r="99" spans="3:42" x14ac:dyDescent="0.2">
      <c r="E99" s="1" t="s">
        <v>228</v>
      </c>
      <c r="H99" s="25"/>
      <c r="J99" s="2" t="s">
        <v>1205</v>
      </c>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row>
    <row r="100" spans="3:42" x14ac:dyDescent="0.2">
      <c r="E100" s="97" t="s">
        <v>520</v>
      </c>
      <c r="F100" s="97"/>
      <c r="H100" s="25"/>
      <c r="J100" s="2" t="s">
        <v>1205</v>
      </c>
      <c r="M100" s="25"/>
      <c r="N100" s="25"/>
      <c r="O100" s="25"/>
      <c r="P100" s="25"/>
      <c r="Q100" s="25"/>
      <c r="R100" s="25"/>
      <c r="S100" s="25">
        <f t="shared" ref="S100:AD100" si="31">Finance_TL1_Cash_Sweep</f>
        <v>0</v>
      </c>
      <c r="T100" s="25">
        <f t="shared" si="31"/>
        <v>0</v>
      </c>
      <c r="U100" s="25">
        <f t="shared" si="31"/>
        <v>0</v>
      </c>
      <c r="V100" s="25">
        <f t="shared" si="31"/>
        <v>0</v>
      </c>
      <c r="W100" s="25">
        <f t="shared" si="31"/>
        <v>0</v>
      </c>
      <c r="X100" s="25">
        <f t="shared" si="31"/>
        <v>0</v>
      </c>
      <c r="Y100" s="25">
        <f t="shared" si="31"/>
        <v>0</v>
      </c>
      <c r="Z100" s="25">
        <f t="shared" si="31"/>
        <v>0</v>
      </c>
      <c r="AA100" s="25">
        <f t="shared" si="31"/>
        <v>0</v>
      </c>
      <c r="AB100" s="25">
        <f t="shared" si="31"/>
        <v>0</v>
      </c>
      <c r="AC100" s="25">
        <f t="shared" si="31"/>
        <v>0</v>
      </c>
      <c r="AD100" s="25">
        <f t="shared" si="31"/>
        <v>0</v>
      </c>
      <c r="AE100" s="25"/>
      <c r="AF100" s="25"/>
      <c r="AG100" s="25"/>
      <c r="AH100" s="25"/>
      <c r="AI100" s="25"/>
      <c r="AJ100" s="25"/>
      <c r="AK100" s="25"/>
      <c r="AL100" s="25"/>
      <c r="AM100" s="25"/>
      <c r="AN100" s="25"/>
      <c r="AO100" s="25"/>
    </row>
    <row r="101" spans="3:42" x14ac:dyDescent="0.2">
      <c r="E101" s="97" t="s">
        <v>521</v>
      </c>
      <c r="F101" s="97"/>
      <c r="H101" s="25"/>
      <c r="J101" s="2" t="s">
        <v>1205</v>
      </c>
      <c r="M101" s="25"/>
      <c r="N101" s="25"/>
      <c r="O101" s="25"/>
      <c r="P101" s="25"/>
      <c r="Q101" s="25"/>
      <c r="R101" s="25"/>
      <c r="S101" s="25">
        <f t="shared" ref="S101:AD101" si="32">Finance_TL2_Cash_Sweep</f>
        <v>0</v>
      </c>
      <c r="T101" s="25">
        <f t="shared" si="32"/>
        <v>0</v>
      </c>
      <c r="U101" s="25">
        <f t="shared" si="32"/>
        <v>0</v>
      </c>
      <c r="V101" s="25">
        <f t="shared" si="32"/>
        <v>0</v>
      </c>
      <c r="W101" s="25">
        <f t="shared" si="32"/>
        <v>0</v>
      </c>
      <c r="X101" s="25">
        <f t="shared" si="32"/>
        <v>0</v>
      </c>
      <c r="Y101" s="25">
        <f t="shared" si="32"/>
        <v>0</v>
      </c>
      <c r="Z101" s="25">
        <f t="shared" si="32"/>
        <v>0</v>
      </c>
      <c r="AA101" s="25">
        <f t="shared" si="32"/>
        <v>0</v>
      </c>
      <c r="AB101" s="25">
        <f t="shared" si="32"/>
        <v>0</v>
      </c>
      <c r="AC101" s="25">
        <f t="shared" si="32"/>
        <v>0</v>
      </c>
      <c r="AD101" s="25">
        <f t="shared" si="32"/>
        <v>0</v>
      </c>
      <c r="AE101" s="25"/>
      <c r="AF101" s="25"/>
      <c r="AG101" s="25"/>
      <c r="AH101" s="25"/>
      <c r="AI101" s="25"/>
      <c r="AJ101" s="25"/>
      <c r="AK101" s="25"/>
      <c r="AL101" s="25"/>
      <c r="AM101" s="25"/>
      <c r="AN101" s="25"/>
      <c r="AO101" s="25"/>
    </row>
    <row r="102" spans="3:42" x14ac:dyDescent="0.2">
      <c r="E102" s="97" t="s">
        <v>522</v>
      </c>
      <c r="H102" s="25"/>
      <c r="J102" s="2" t="s">
        <v>1205</v>
      </c>
      <c r="M102" s="25"/>
      <c r="N102" s="25"/>
      <c r="O102" s="25"/>
      <c r="P102" s="25"/>
      <c r="Q102" s="25"/>
      <c r="R102" s="25"/>
      <c r="S102" s="25">
        <f t="shared" ref="S102:AD102" si="33">Finance_TL3_Cash_Sweep</f>
        <v>0</v>
      </c>
      <c r="T102" s="25">
        <f t="shared" si="33"/>
        <v>0</v>
      </c>
      <c r="U102" s="25">
        <f t="shared" si="33"/>
        <v>0</v>
      </c>
      <c r="V102" s="25">
        <f t="shared" si="33"/>
        <v>0</v>
      </c>
      <c r="W102" s="25">
        <f t="shared" si="33"/>
        <v>0</v>
      </c>
      <c r="X102" s="25">
        <f t="shared" si="33"/>
        <v>0</v>
      </c>
      <c r="Y102" s="25">
        <f t="shared" si="33"/>
        <v>0</v>
      </c>
      <c r="Z102" s="25">
        <f t="shared" si="33"/>
        <v>0</v>
      </c>
      <c r="AA102" s="25">
        <f t="shared" si="33"/>
        <v>0</v>
      </c>
      <c r="AB102" s="25">
        <f t="shared" si="33"/>
        <v>0</v>
      </c>
      <c r="AC102" s="25">
        <f t="shared" si="33"/>
        <v>0</v>
      </c>
      <c r="AD102" s="25">
        <f t="shared" si="33"/>
        <v>0</v>
      </c>
      <c r="AE102" s="25"/>
      <c r="AF102" s="25"/>
      <c r="AG102" s="25"/>
      <c r="AH102" s="25"/>
      <c r="AI102" s="25"/>
      <c r="AJ102" s="25"/>
      <c r="AK102" s="25"/>
      <c r="AL102" s="25"/>
      <c r="AM102" s="25"/>
      <c r="AN102" s="25"/>
      <c r="AO102" s="25"/>
    </row>
    <row r="103" spans="3:42" x14ac:dyDescent="0.2">
      <c r="E103" s="1" t="s">
        <v>523</v>
      </c>
      <c r="H103" s="25"/>
      <c r="J103" s="2" t="s">
        <v>1205</v>
      </c>
      <c r="M103" s="25"/>
      <c r="N103" s="25"/>
      <c r="O103" s="25"/>
      <c r="P103" s="25"/>
      <c r="Q103" s="25"/>
      <c r="R103" s="25"/>
      <c r="S103" s="25">
        <f t="shared" ref="S103:AD103" si="34">Finance_TL4_Cash_Sweep</f>
        <v>0</v>
      </c>
      <c r="T103" s="25">
        <f t="shared" si="34"/>
        <v>0</v>
      </c>
      <c r="U103" s="25">
        <f t="shared" si="34"/>
        <v>0</v>
      </c>
      <c r="V103" s="25">
        <f t="shared" si="34"/>
        <v>0</v>
      </c>
      <c r="W103" s="25">
        <f t="shared" si="34"/>
        <v>0</v>
      </c>
      <c r="X103" s="25">
        <f t="shared" si="34"/>
        <v>0</v>
      </c>
      <c r="Y103" s="25">
        <f t="shared" si="34"/>
        <v>0</v>
      </c>
      <c r="Z103" s="25">
        <f t="shared" si="34"/>
        <v>0</v>
      </c>
      <c r="AA103" s="25">
        <f t="shared" si="34"/>
        <v>0</v>
      </c>
      <c r="AB103" s="25">
        <f t="shared" si="34"/>
        <v>0</v>
      </c>
      <c r="AC103" s="25">
        <f t="shared" si="34"/>
        <v>0</v>
      </c>
      <c r="AD103" s="25">
        <f t="shared" si="34"/>
        <v>0</v>
      </c>
      <c r="AE103" s="25"/>
      <c r="AF103" s="25"/>
      <c r="AG103" s="25"/>
      <c r="AH103" s="25"/>
      <c r="AI103" s="25"/>
      <c r="AJ103" s="25"/>
      <c r="AK103" s="25"/>
      <c r="AL103" s="25"/>
      <c r="AM103" s="25"/>
      <c r="AN103" s="25"/>
      <c r="AO103" s="25"/>
    </row>
    <row r="104" spans="3:42" x14ac:dyDescent="0.2">
      <c r="E104" s="1" t="s">
        <v>524</v>
      </c>
      <c r="H104" s="25"/>
      <c r="J104" s="2" t="s">
        <v>1205</v>
      </c>
      <c r="M104" s="25"/>
      <c r="N104" s="25"/>
      <c r="O104" s="25"/>
      <c r="P104" s="25"/>
      <c r="Q104" s="25"/>
      <c r="R104" s="25"/>
      <c r="S104" s="25">
        <f t="shared" ref="S104:AD104" si="35">Finance_TL5_Cash_Sweep</f>
        <v>0</v>
      </c>
      <c r="T104" s="25">
        <f t="shared" si="35"/>
        <v>0</v>
      </c>
      <c r="U104" s="25">
        <f t="shared" si="35"/>
        <v>0</v>
      </c>
      <c r="V104" s="25">
        <f t="shared" si="35"/>
        <v>0</v>
      </c>
      <c r="W104" s="25">
        <f t="shared" si="35"/>
        <v>0</v>
      </c>
      <c r="X104" s="25">
        <f t="shared" si="35"/>
        <v>0</v>
      </c>
      <c r="Y104" s="25">
        <f t="shared" si="35"/>
        <v>0</v>
      </c>
      <c r="Z104" s="25">
        <f t="shared" si="35"/>
        <v>0</v>
      </c>
      <c r="AA104" s="25">
        <f t="shared" si="35"/>
        <v>0</v>
      </c>
      <c r="AB104" s="25">
        <f t="shared" si="35"/>
        <v>0</v>
      </c>
      <c r="AC104" s="25">
        <f t="shared" si="35"/>
        <v>0</v>
      </c>
      <c r="AD104" s="25">
        <f t="shared" si="35"/>
        <v>0</v>
      </c>
      <c r="AE104" s="25"/>
      <c r="AF104" s="25"/>
      <c r="AG104" s="25"/>
      <c r="AH104" s="25"/>
      <c r="AI104" s="25"/>
      <c r="AJ104" s="25"/>
      <c r="AK104" s="25"/>
      <c r="AL104" s="25"/>
      <c r="AM104" s="25"/>
      <c r="AN104" s="25"/>
      <c r="AO104" s="25"/>
    </row>
    <row r="105" spans="3:42" x14ac:dyDescent="0.2">
      <c r="E105" s="97"/>
      <c r="H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row>
    <row r="106" spans="3:42" x14ac:dyDescent="0.2">
      <c r="E106" s="1" t="s">
        <v>525</v>
      </c>
      <c r="H106" s="25"/>
      <c r="J106" s="2" t="s">
        <v>1205</v>
      </c>
      <c r="M106" s="25"/>
      <c r="N106" s="25"/>
      <c r="O106" s="25"/>
      <c r="P106" s="25"/>
      <c r="Q106" s="25"/>
      <c r="R106" s="25"/>
      <c r="S106" s="101">
        <v>0</v>
      </c>
      <c r="T106" s="101">
        <v>0</v>
      </c>
      <c r="U106" s="101">
        <v>0</v>
      </c>
      <c r="V106" s="101">
        <v>0</v>
      </c>
      <c r="W106" s="101">
        <v>0</v>
      </c>
      <c r="X106" s="101">
        <v>0</v>
      </c>
      <c r="Y106" s="101">
        <v>0</v>
      </c>
      <c r="Z106" s="101">
        <v>0</v>
      </c>
      <c r="AA106" s="101">
        <v>0</v>
      </c>
      <c r="AB106" s="101">
        <v>0</v>
      </c>
      <c r="AC106" s="101">
        <v>0</v>
      </c>
      <c r="AD106" s="101">
        <v>0</v>
      </c>
      <c r="AE106" s="25"/>
      <c r="AF106" s="25"/>
      <c r="AG106" s="25"/>
      <c r="AH106" s="25"/>
      <c r="AI106" s="25"/>
      <c r="AJ106" s="25"/>
      <c r="AK106" s="25"/>
      <c r="AL106" s="25"/>
      <c r="AM106" s="25"/>
      <c r="AN106" s="25"/>
      <c r="AO106" s="25"/>
    </row>
    <row r="107" spans="3:42" x14ac:dyDescent="0.2">
      <c r="E107" s="1" t="s">
        <v>525</v>
      </c>
      <c r="H107" s="25"/>
      <c r="J107" s="2" t="s">
        <v>1205</v>
      </c>
      <c r="M107" s="25"/>
      <c r="N107" s="25"/>
      <c r="O107" s="25"/>
      <c r="P107" s="25"/>
      <c r="Q107" s="25"/>
      <c r="R107" s="25"/>
      <c r="S107" s="101">
        <v>0</v>
      </c>
      <c r="T107" s="101">
        <v>0</v>
      </c>
      <c r="U107" s="101">
        <v>0</v>
      </c>
      <c r="V107" s="101">
        <v>0</v>
      </c>
      <c r="W107" s="101">
        <v>0</v>
      </c>
      <c r="X107" s="101">
        <v>0</v>
      </c>
      <c r="Y107" s="101">
        <v>0</v>
      </c>
      <c r="Z107" s="101">
        <v>0</v>
      </c>
      <c r="AA107" s="101">
        <v>0</v>
      </c>
      <c r="AB107" s="101">
        <v>0</v>
      </c>
      <c r="AC107" s="101">
        <v>0</v>
      </c>
      <c r="AD107" s="101">
        <v>0</v>
      </c>
      <c r="AE107" s="25"/>
      <c r="AF107" s="25"/>
      <c r="AG107" s="25"/>
      <c r="AH107" s="25"/>
      <c r="AI107" s="25"/>
      <c r="AJ107" s="25"/>
      <c r="AK107" s="25"/>
      <c r="AL107" s="25"/>
      <c r="AM107" s="25"/>
      <c r="AN107" s="25"/>
      <c r="AO107" s="25"/>
    </row>
    <row r="108" spans="3:42" x14ac:dyDescent="0.2">
      <c r="E108" s="1" t="s">
        <v>525</v>
      </c>
      <c r="H108" s="25"/>
      <c r="J108" s="2" t="s">
        <v>1205</v>
      </c>
      <c r="M108" s="25"/>
      <c r="N108" s="25"/>
      <c r="O108" s="25"/>
      <c r="P108" s="25"/>
      <c r="Q108" s="25"/>
      <c r="R108" s="25"/>
      <c r="S108" s="101">
        <v>0</v>
      </c>
      <c r="T108" s="101">
        <v>0</v>
      </c>
      <c r="U108" s="101">
        <v>0</v>
      </c>
      <c r="V108" s="101">
        <v>0</v>
      </c>
      <c r="W108" s="101">
        <v>0</v>
      </c>
      <c r="X108" s="101">
        <v>0</v>
      </c>
      <c r="Y108" s="101">
        <v>0</v>
      </c>
      <c r="Z108" s="101">
        <v>0</v>
      </c>
      <c r="AA108" s="101">
        <v>0</v>
      </c>
      <c r="AB108" s="101">
        <v>0</v>
      </c>
      <c r="AC108" s="101">
        <v>0</v>
      </c>
      <c r="AD108" s="101">
        <v>0</v>
      </c>
      <c r="AE108" s="25"/>
      <c r="AF108" s="25"/>
      <c r="AG108" s="25"/>
      <c r="AH108" s="25"/>
      <c r="AI108" s="25"/>
      <c r="AJ108" s="25"/>
      <c r="AK108" s="25"/>
      <c r="AL108" s="25"/>
      <c r="AM108" s="25"/>
      <c r="AN108" s="25"/>
      <c r="AO108" s="25"/>
    </row>
    <row r="109" spans="3:42" x14ac:dyDescent="0.2">
      <c r="E109" s="1" t="s">
        <v>525</v>
      </c>
      <c r="H109" s="25"/>
      <c r="J109" s="2" t="s">
        <v>1205</v>
      </c>
      <c r="M109" s="25"/>
      <c r="N109" s="25"/>
      <c r="O109" s="25"/>
      <c r="P109" s="25"/>
      <c r="Q109" s="25"/>
      <c r="R109" s="25"/>
      <c r="S109" s="101">
        <v>0</v>
      </c>
      <c r="T109" s="101">
        <v>0</v>
      </c>
      <c r="U109" s="101">
        <v>0</v>
      </c>
      <c r="V109" s="101">
        <v>0</v>
      </c>
      <c r="W109" s="101">
        <v>0</v>
      </c>
      <c r="X109" s="101">
        <v>0</v>
      </c>
      <c r="Y109" s="101">
        <v>0</v>
      </c>
      <c r="Z109" s="101">
        <v>0</v>
      </c>
      <c r="AA109" s="101">
        <v>0</v>
      </c>
      <c r="AB109" s="101">
        <v>0</v>
      </c>
      <c r="AC109" s="101">
        <v>0</v>
      </c>
      <c r="AD109" s="101">
        <v>0</v>
      </c>
      <c r="AE109" s="25"/>
      <c r="AF109" s="25"/>
      <c r="AG109" s="25"/>
      <c r="AH109" s="25"/>
      <c r="AI109" s="25"/>
      <c r="AJ109" s="25"/>
      <c r="AK109" s="25"/>
      <c r="AL109" s="25"/>
      <c r="AM109" s="25"/>
      <c r="AN109" s="25"/>
      <c r="AO109" s="25"/>
    </row>
    <row r="110" spans="3:42" x14ac:dyDescent="0.2">
      <c r="E110" s="1" t="s">
        <v>525</v>
      </c>
      <c r="H110" s="25"/>
      <c r="J110" s="2" t="s">
        <v>1205</v>
      </c>
      <c r="M110" s="25"/>
      <c r="N110" s="25"/>
      <c r="O110" s="25"/>
      <c r="P110" s="25"/>
      <c r="Q110" s="25"/>
      <c r="R110" s="25"/>
      <c r="S110" s="101">
        <v>0</v>
      </c>
      <c r="T110" s="101">
        <v>0</v>
      </c>
      <c r="U110" s="101">
        <v>0</v>
      </c>
      <c r="V110" s="101">
        <v>0</v>
      </c>
      <c r="W110" s="101">
        <v>0</v>
      </c>
      <c r="X110" s="101">
        <v>0</v>
      </c>
      <c r="Y110" s="101">
        <v>0</v>
      </c>
      <c r="Z110" s="101">
        <v>0</v>
      </c>
      <c r="AA110" s="101">
        <v>0</v>
      </c>
      <c r="AB110" s="101">
        <v>0</v>
      </c>
      <c r="AC110" s="101">
        <v>0</v>
      </c>
      <c r="AD110" s="101">
        <v>0</v>
      </c>
      <c r="AE110" s="25"/>
      <c r="AF110" s="25"/>
      <c r="AG110" s="25"/>
      <c r="AH110" s="25"/>
      <c r="AI110" s="25"/>
      <c r="AJ110" s="25"/>
      <c r="AK110" s="25"/>
      <c r="AL110" s="25"/>
      <c r="AM110" s="25"/>
      <c r="AN110" s="25"/>
      <c r="AO110" s="25"/>
    </row>
    <row r="111" spans="3:42" x14ac:dyDescent="0.2">
      <c r="E111" s="1" t="s">
        <v>406</v>
      </c>
      <c r="H111" s="25"/>
      <c r="J111" s="2" t="s">
        <v>1205</v>
      </c>
      <c r="M111" s="25"/>
      <c r="N111" s="25"/>
      <c r="O111" s="25"/>
      <c r="P111" s="25"/>
      <c r="Q111" s="25"/>
      <c r="R111" s="25"/>
      <c r="S111" s="101">
        <v>0</v>
      </c>
      <c r="T111" s="101">
        <v>0</v>
      </c>
      <c r="U111" s="101">
        <v>0</v>
      </c>
      <c r="V111" s="101">
        <v>0</v>
      </c>
      <c r="W111" s="101">
        <v>0</v>
      </c>
      <c r="X111" s="101">
        <v>0</v>
      </c>
      <c r="Y111" s="101">
        <v>0</v>
      </c>
      <c r="Z111" s="101">
        <v>0</v>
      </c>
      <c r="AA111" s="101">
        <v>0</v>
      </c>
      <c r="AB111" s="101">
        <v>0</v>
      </c>
      <c r="AC111" s="101">
        <v>0</v>
      </c>
      <c r="AD111" s="101">
        <v>0</v>
      </c>
      <c r="AE111" s="25"/>
      <c r="AF111" s="25"/>
      <c r="AG111" s="25"/>
      <c r="AH111" s="25"/>
      <c r="AI111" s="25"/>
      <c r="AJ111" s="25"/>
      <c r="AK111" s="25"/>
      <c r="AL111" s="25"/>
      <c r="AM111" s="25"/>
      <c r="AN111" s="25"/>
      <c r="AO111" s="25"/>
    </row>
    <row r="112" spans="3:42" x14ac:dyDescent="0.2">
      <c r="E112" s="97"/>
      <c r="F112" s="97"/>
      <c r="G112" s="97"/>
      <c r="H112" s="101"/>
      <c r="I112" s="97"/>
      <c r="J112" s="98"/>
      <c r="K112" s="97"/>
      <c r="L112" s="99"/>
      <c r="M112" s="97"/>
      <c r="N112" s="109"/>
      <c r="O112" s="109"/>
      <c r="P112" s="109"/>
      <c r="Q112" s="109"/>
      <c r="R112" s="101"/>
      <c r="S112" s="101"/>
      <c r="T112" s="101"/>
      <c r="U112" s="101"/>
      <c r="V112" s="101"/>
      <c r="W112" s="101"/>
      <c r="X112" s="101"/>
      <c r="Y112" s="101"/>
      <c r="Z112" s="101"/>
      <c r="AA112" s="101"/>
      <c r="AB112" s="101"/>
      <c r="AC112" s="101"/>
      <c r="AD112" s="101"/>
      <c r="AE112" s="109"/>
      <c r="AF112" s="109"/>
      <c r="AG112" s="109"/>
      <c r="AH112" s="109"/>
      <c r="AI112" s="109"/>
      <c r="AJ112" s="109"/>
      <c r="AK112" s="109"/>
      <c r="AL112" s="109"/>
      <c r="AM112" s="109"/>
      <c r="AN112" s="109"/>
      <c r="AO112" s="109"/>
      <c r="AP112" s="97"/>
    </row>
    <row r="113" spans="3:42" ht="12.6" x14ac:dyDescent="0.25">
      <c r="E113" s="27" t="s">
        <v>67</v>
      </c>
      <c r="F113" s="28"/>
      <c r="G113" s="28"/>
      <c r="H113" s="100"/>
      <c r="I113" s="28"/>
      <c r="J113" s="29" t="s">
        <v>1205</v>
      </c>
      <c r="K113" s="28"/>
      <c r="L113" s="30" t="s">
        <v>227</v>
      </c>
      <c r="M113" s="100"/>
      <c r="N113" s="100"/>
      <c r="O113" s="100"/>
      <c r="P113" s="100"/>
      <c r="Q113" s="100"/>
      <c r="R113" s="100"/>
      <c r="S113" s="100">
        <f>SUM(S100:S112)</f>
        <v>0</v>
      </c>
      <c r="T113" s="100">
        <f t="shared" ref="T113:AD113" si="36">SUM(T100:T112)</f>
        <v>0</v>
      </c>
      <c r="U113" s="100">
        <f t="shared" si="36"/>
        <v>0</v>
      </c>
      <c r="V113" s="100">
        <f t="shared" si="36"/>
        <v>0</v>
      </c>
      <c r="W113" s="100">
        <f t="shared" si="36"/>
        <v>0</v>
      </c>
      <c r="X113" s="100">
        <f t="shared" si="36"/>
        <v>0</v>
      </c>
      <c r="Y113" s="100">
        <f t="shared" si="36"/>
        <v>0</v>
      </c>
      <c r="Z113" s="100">
        <f t="shared" si="36"/>
        <v>0</v>
      </c>
      <c r="AA113" s="100">
        <f t="shared" si="36"/>
        <v>0</v>
      </c>
      <c r="AB113" s="100">
        <f t="shared" si="36"/>
        <v>0</v>
      </c>
      <c r="AC113" s="100">
        <f t="shared" si="36"/>
        <v>0</v>
      </c>
      <c r="AD113" s="100">
        <f t="shared" si="36"/>
        <v>0</v>
      </c>
      <c r="AE113" s="101"/>
      <c r="AF113" s="101"/>
      <c r="AG113" s="101"/>
      <c r="AH113" s="101"/>
      <c r="AI113" s="101"/>
      <c r="AJ113" s="101"/>
      <c r="AK113" s="101"/>
      <c r="AL113" s="101"/>
      <c r="AM113" s="101"/>
      <c r="AN113" s="101"/>
      <c r="AO113" s="101"/>
      <c r="AP113" s="97"/>
    </row>
    <row r="114" spans="3:42" s="97" customFormat="1" x14ac:dyDescent="0.2">
      <c r="H114" s="101"/>
      <c r="J114" s="98"/>
      <c r="L114" s="99"/>
      <c r="N114" s="109"/>
      <c r="O114" s="109"/>
      <c r="P114" s="109"/>
      <c r="Q114" s="109"/>
      <c r="R114" s="109"/>
      <c r="S114" s="109"/>
      <c r="T114" s="109"/>
      <c r="U114" s="109"/>
      <c r="V114" s="109"/>
      <c r="W114" s="109"/>
      <c r="X114" s="109"/>
      <c r="Y114" s="109"/>
      <c r="Z114" s="109"/>
      <c r="AA114" s="109"/>
      <c r="AB114" s="109"/>
      <c r="AC114" s="109"/>
      <c r="AD114" s="109"/>
      <c r="AE114" s="109"/>
      <c r="AF114" s="109"/>
      <c r="AG114" s="109"/>
      <c r="AH114" s="109"/>
      <c r="AI114" s="109"/>
      <c r="AJ114" s="109"/>
      <c r="AK114" s="109"/>
      <c r="AL114" s="109"/>
      <c r="AM114" s="109"/>
      <c r="AN114" s="109"/>
      <c r="AO114" s="109"/>
    </row>
    <row r="115" spans="3:42" ht="12.6" x14ac:dyDescent="0.25">
      <c r="C115" s="17"/>
      <c r="D115" s="35" t="s">
        <v>144</v>
      </c>
      <c r="H115" s="25"/>
      <c r="M115" s="25"/>
      <c r="N115" s="25"/>
      <c r="O115" s="25"/>
      <c r="P115" s="18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row>
    <row r="116" spans="3:42" ht="12.6" x14ac:dyDescent="0.25">
      <c r="C116" s="17"/>
      <c r="D116" s="35"/>
      <c r="E116" s="1" t="s">
        <v>228</v>
      </c>
      <c r="H116" s="25"/>
      <c r="J116" s="2" t="s">
        <v>1205</v>
      </c>
      <c r="M116" s="25"/>
      <c r="N116" s="25"/>
      <c r="O116" s="25"/>
      <c r="P116" s="185"/>
      <c r="Q116" s="25"/>
      <c r="R116" s="25"/>
      <c r="S116" s="25">
        <f t="shared" ref="S116:AD116" si="37">Finance_TL1_Current_Portion</f>
        <v>31171.125</v>
      </c>
      <c r="T116" s="25">
        <f t="shared" si="37"/>
        <v>31171.125</v>
      </c>
      <c r="U116" s="25">
        <f t="shared" si="37"/>
        <v>31171.125</v>
      </c>
      <c r="V116" s="25">
        <f t="shared" si="37"/>
        <v>31171.125</v>
      </c>
      <c r="W116" s="25">
        <f t="shared" si="37"/>
        <v>31171.125</v>
      </c>
      <c r="X116" s="25">
        <f t="shared" si="37"/>
        <v>31171.125</v>
      </c>
      <c r="Y116" s="25">
        <f t="shared" si="37"/>
        <v>31171.125</v>
      </c>
      <c r="Z116" s="25">
        <f t="shared" si="37"/>
        <v>31171.125</v>
      </c>
      <c r="AA116" s="25">
        <f t="shared" si="37"/>
        <v>0</v>
      </c>
      <c r="AB116" s="25">
        <f t="shared" si="37"/>
        <v>0</v>
      </c>
      <c r="AC116" s="25">
        <f t="shared" si="37"/>
        <v>0</v>
      </c>
      <c r="AD116" s="25">
        <f t="shared" si="37"/>
        <v>0</v>
      </c>
      <c r="AE116" s="25"/>
      <c r="AF116" s="25"/>
      <c r="AG116" s="25"/>
      <c r="AH116" s="25"/>
      <c r="AI116" s="25"/>
      <c r="AJ116" s="25"/>
      <c r="AK116" s="25"/>
      <c r="AL116" s="25"/>
      <c r="AM116" s="25"/>
      <c r="AN116" s="25"/>
      <c r="AO116" s="25"/>
    </row>
    <row r="117" spans="3:42" ht="12.6" x14ac:dyDescent="0.25">
      <c r="C117" s="17"/>
      <c r="D117" s="35"/>
      <c r="E117" s="97" t="s">
        <v>520</v>
      </c>
      <c r="H117" s="25"/>
      <c r="J117" s="2" t="s">
        <v>1205</v>
      </c>
      <c r="M117" s="25"/>
      <c r="N117" s="25"/>
      <c r="O117" s="25"/>
      <c r="P117" s="185"/>
      <c r="Q117" s="25"/>
      <c r="R117" s="25"/>
      <c r="S117" s="25">
        <f t="shared" ref="S117:AD117" si="38">Finance_TL2_Current_Portion</f>
        <v>0</v>
      </c>
      <c r="T117" s="25">
        <f t="shared" si="38"/>
        <v>0</v>
      </c>
      <c r="U117" s="25">
        <f t="shared" si="38"/>
        <v>18750</v>
      </c>
      <c r="V117" s="25">
        <f t="shared" si="38"/>
        <v>18750</v>
      </c>
      <c r="W117" s="25">
        <f t="shared" si="38"/>
        <v>18750</v>
      </c>
      <c r="X117" s="25">
        <f t="shared" si="38"/>
        <v>18750</v>
      </c>
      <c r="Y117" s="25">
        <f t="shared" si="38"/>
        <v>0</v>
      </c>
      <c r="Z117" s="25">
        <f t="shared" si="38"/>
        <v>0</v>
      </c>
      <c r="AA117" s="25">
        <f t="shared" si="38"/>
        <v>0</v>
      </c>
      <c r="AB117" s="25">
        <f t="shared" si="38"/>
        <v>0</v>
      </c>
      <c r="AC117" s="25">
        <f t="shared" si="38"/>
        <v>0</v>
      </c>
      <c r="AD117" s="25">
        <f t="shared" si="38"/>
        <v>0</v>
      </c>
      <c r="AE117" s="25"/>
      <c r="AF117" s="25"/>
      <c r="AG117" s="25"/>
      <c r="AH117" s="25"/>
      <c r="AI117" s="25"/>
      <c r="AJ117" s="25"/>
      <c r="AK117" s="25"/>
      <c r="AL117" s="25"/>
      <c r="AM117" s="25"/>
      <c r="AN117" s="25"/>
      <c r="AO117" s="25"/>
    </row>
    <row r="118" spans="3:42" ht="12.6" x14ac:dyDescent="0.25">
      <c r="C118" s="17"/>
      <c r="D118" s="35"/>
      <c r="E118" s="97" t="s">
        <v>521</v>
      </c>
      <c r="H118" s="25"/>
      <c r="J118" s="2" t="s">
        <v>1205</v>
      </c>
      <c r="M118" s="25"/>
      <c r="N118" s="25"/>
      <c r="O118" s="25"/>
      <c r="P118" s="185"/>
      <c r="Q118" s="25"/>
      <c r="R118" s="25"/>
      <c r="S118" s="25">
        <f t="shared" ref="S118:AD118" si="39">Finance_TL3_Current_Portion</f>
        <v>0</v>
      </c>
      <c r="T118" s="25">
        <f t="shared" si="39"/>
        <v>0</v>
      </c>
      <c r="U118" s="25">
        <f t="shared" si="39"/>
        <v>0</v>
      </c>
      <c r="V118" s="25">
        <f t="shared" si="39"/>
        <v>0</v>
      </c>
      <c r="W118" s="25">
        <f t="shared" si="39"/>
        <v>0</v>
      </c>
      <c r="X118" s="25">
        <f t="shared" si="39"/>
        <v>0</v>
      </c>
      <c r="Y118" s="25">
        <f t="shared" si="39"/>
        <v>0</v>
      </c>
      <c r="Z118" s="25">
        <f t="shared" si="39"/>
        <v>0</v>
      </c>
      <c r="AA118" s="25">
        <f t="shared" si="39"/>
        <v>0</v>
      </c>
      <c r="AB118" s="25">
        <f t="shared" si="39"/>
        <v>0</v>
      </c>
      <c r="AC118" s="25">
        <f t="shared" si="39"/>
        <v>0</v>
      </c>
      <c r="AD118" s="25">
        <f t="shared" si="39"/>
        <v>0</v>
      </c>
      <c r="AE118" s="25"/>
      <c r="AF118" s="25"/>
      <c r="AG118" s="25"/>
      <c r="AH118" s="25"/>
      <c r="AI118" s="25"/>
      <c r="AJ118" s="25"/>
      <c r="AK118" s="25"/>
      <c r="AL118" s="25"/>
      <c r="AM118" s="25"/>
      <c r="AN118" s="25"/>
      <c r="AO118" s="25"/>
    </row>
    <row r="119" spans="3:42" ht="12.6" x14ac:dyDescent="0.25">
      <c r="C119" s="17"/>
      <c r="D119" s="35"/>
      <c r="E119" s="97" t="s">
        <v>522</v>
      </c>
      <c r="H119" s="25"/>
      <c r="J119" s="2" t="s">
        <v>1205</v>
      </c>
      <c r="M119" s="25"/>
      <c r="N119" s="25"/>
      <c r="O119" s="25"/>
      <c r="P119" s="185"/>
      <c r="Q119" s="25"/>
      <c r="R119" s="25"/>
      <c r="S119" s="25">
        <f t="shared" ref="S119:AD119" si="40">Finance_TL4_Current_Portion</f>
        <v>1078</v>
      </c>
      <c r="T119" s="25">
        <f t="shared" si="40"/>
        <v>1078</v>
      </c>
      <c r="U119" s="25">
        <f t="shared" si="40"/>
        <v>1078</v>
      </c>
      <c r="V119" s="25">
        <f t="shared" si="40"/>
        <v>1078</v>
      </c>
      <c r="W119" s="25">
        <f t="shared" si="40"/>
        <v>0</v>
      </c>
      <c r="X119" s="25">
        <f t="shared" si="40"/>
        <v>0</v>
      </c>
      <c r="Y119" s="25">
        <f t="shared" si="40"/>
        <v>0</v>
      </c>
      <c r="Z119" s="25">
        <f t="shared" si="40"/>
        <v>0</v>
      </c>
      <c r="AA119" s="25">
        <f t="shared" si="40"/>
        <v>0</v>
      </c>
      <c r="AB119" s="25">
        <f t="shared" si="40"/>
        <v>0</v>
      </c>
      <c r="AC119" s="25">
        <f t="shared" si="40"/>
        <v>0</v>
      </c>
      <c r="AD119" s="25">
        <f t="shared" si="40"/>
        <v>0</v>
      </c>
      <c r="AE119" s="25"/>
      <c r="AF119" s="25"/>
      <c r="AG119" s="25"/>
      <c r="AH119" s="25"/>
      <c r="AI119" s="25"/>
      <c r="AJ119" s="25"/>
      <c r="AK119" s="25"/>
      <c r="AL119" s="25"/>
      <c r="AM119" s="25"/>
      <c r="AN119" s="25"/>
      <c r="AO119" s="25"/>
    </row>
    <row r="120" spans="3:42" ht="12.6" x14ac:dyDescent="0.25">
      <c r="C120" s="17"/>
      <c r="D120" s="35"/>
      <c r="E120" s="1" t="s">
        <v>523</v>
      </c>
      <c r="H120" s="25"/>
      <c r="J120" s="2" t="s">
        <v>1205</v>
      </c>
      <c r="M120" s="25"/>
      <c r="N120" s="25"/>
      <c r="O120" s="25"/>
      <c r="P120" s="185"/>
      <c r="Q120" s="25"/>
      <c r="R120" s="25"/>
      <c r="S120" s="25">
        <f t="shared" ref="S120:AD120" si="41">Finance_TL5_Current_Portion</f>
        <v>0</v>
      </c>
      <c r="T120" s="25">
        <f t="shared" si="41"/>
        <v>0</v>
      </c>
      <c r="U120" s="25">
        <f t="shared" si="41"/>
        <v>0</v>
      </c>
      <c r="V120" s="25">
        <f t="shared" si="41"/>
        <v>0</v>
      </c>
      <c r="W120" s="25">
        <f t="shared" si="41"/>
        <v>0</v>
      </c>
      <c r="X120" s="25">
        <f t="shared" si="41"/>
        <v>0</v>
      </c>
      <c r="Y120" s="25">
        <f t="shared" si="41"/>
        <v>0</v>
      </c>
      <c r="Z120" s="25">
        <f t="shared" si="41"/>
        <v>0</v>
      </c>
      <c r="AA120" s="25">
        <f t="shared" si="41"/>
        <v>0</v>
      </c>
      <c r="AB120" s="25">
        <f t="shared" si="41"/>
        <v>0</v>
      </c>
      <c r="AC120" s="25">
        <f t="shared" si="41"/>
        <v>0</v>
      </c>
      <c r="AD120" s="25">
        <f t="shared" si="41"/>
        <v>0</v>
      </c>
      <c r="AE120" s="25"/>
      <c r="AF120" s="25"/>
      <c r="AG120" s="25"/>
      <c r="AH120" s="25"/>
      <c r="AI120" s="25"/>
      <c r="AJ120" s="25"/>
      <c r="AK120" s="25"/>
      <c r="AL120" s="25"/>
      <c r="AM120" s="25"/>
      <c r="AN120" s="25"/>
      <c r="AO120" s="25"/>
    </row>
    <row r="121" spans="3:42" ht="12.6" x14ac:dyDescent="0.25">
      <c r="C121" s="17"/>
      <c r="D121" s="35"/>
      <c r="E121" s="1" t="s">
        <v>524</v>
      </c>
      <c r="H121" s="25"/>
      <c r="M121" s="25"/>
      <c r="N121" s="25"/>
      <c r="O121" s="25"/>
      <c r="P121" s="18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row>
    <row r="122" spans="3:42" ht="12.6" x14ac:dyDescent="0.25">
      <c r="C122" s="17"/>
      <c r="D122" s="35"/>
      <c r="E122" s="97"/>
      <c r="H122" s="25"/>
      <c r="J122" s="2" t="s">
        <v>1205</v>
      </c>
      <c r="M122" s="25"/>
      <c r="N122" s="25"/>
      <c r="O122" s="25"/>
      <c r="P122" s="185"/>
      <c r="Q122" s="25"/>
      <c r="R122" s="25"/>
      <c r="S122" s="101">
        <v>0</v>
      </c>
      <c r="T122" s="101">
        <v>0</v>
      </c>
      <c r="U122" s="101">
        <v>0</v>
      </c>
      <c r="V122" s="101">
        <v>0</v>
      </c>
      <c r="W122" s="101">
        <v>0</v>
      </c>
      <c r="X122" s="101">
        <v>0</v>
      </c>
      <c r="Y122" s="101">
        <v>0</v>
      </c>
      <c r="Z122" s="101">
        <v>0</v>
      </c>
      <c r="AA122" s="101">
        <v>0</v>
      </c>
      <c r="AB122" s="101">
        <v>0</v>
      </c>
      <c r="AC122" s="101">
        <v>0</v>
      </c>
      <c r="AD122" s="101">
        <v>0</v>
      </c>
      <c r="AE122" s="25"/>
      <c r="AF122" s="25"/>
      <c r="AG122" s="25"/>
      <c r="AH122" s="25"/>
      <c r="AI122" s="25"/>
      <c r="AJ122" s="25"/>
      <c r="AK122" s="25"/>
      <c r="AL122" s="25"/>
      <c r="AM122" s="25"/>
      <c r="AN122" s="25"/>
      <c r="AO122" s="25"/>
    </row>
    <row r="123" spans="3:42" ht="12.6" x14ac:dyDescent="0.25">
      <c r="C123" s="17"/>
      <c r="D123" s="35"/>
      <c r="E123" s="1" t="s">
        <v>525</v>
      </c>
      <c r="H123" s="25"/>
      <c r="J123" s="2" t="s">
        <v>1205</v>
      </c>
      <c r="M123" s="25"/>
      <c r="N123" s="25"/>
      <c r="O123" s="25"/>
      <c r="P123" s="185"/>
      <c r="Q123" s="25"/>
      <c r="R123" s="25"/>
      <c r="S123" s="101">
        <v>0</v>
      </c>
      <c r="T123" s="101">
        <v>0</v>
      </c>
      <c r="U123" s="101">
        <v>0</v>
      </c>
      <c r="V123" s="101">
        <v>0</v>
      </c>
      <c r="W123" s="101">
        <v>0</v>
      </c>
      <c r="X123" s="101">
        <v>0</v>
      </c>
      <c r="Y123" s="101">
        <v>0</v>
      </c>
      <c r="Z123" s="101">
        <v>0</v>
      </c>
      <c r="AA123" s="101">
        <v>0</v>
      </c>
      <c r="AB123" s="101">
        <v>0</v>
      </c>
      <c r="AC123" s="101">
        <v>0</v>
      </c>
      <c r="AD123" s="101">
        <v>0</v>
      </c>
      <c r="AE123" s="25"/>
      <c r="AF123" s="25"/>
      <c r="AG123" s="25"/>
      <c r="AH123" s="25"/>
      <c r="AI123" s="25"/>
      <c r="AJ123" s="25"/>
      <c r="AK123" s="25"/>
      <c r="AL123" s="25"/>
      <c r="AM123" s="25"/>
      <c r="AN123" s="25"/>
      <c r="AO123" s="25"/>
    </row>
    <row r="124" spans="3:42" ht="12.6" x14ac:dyDescent="0.25">
      <c r="C124" s="17"/>
      <c r="D124" s="35"/>
      <c r="E124" s="1" t="s">
        <v>525</v>
      </c>
      <c r="H124" s="25"/>
      <c r="J124" s="2" t="s">
        <v>1205</v>
      </c>
      <c r="M124" s="25"/>
      <c r="N124" s="25"/>
      <c r="O124" s="25"/>
      <c r="P124" s="185"/>
      <c r="Q124" s="25"/>
      <c r="R124" s="25"/>
      <c r="S124" s="101">
        <v>0</v>
      </c>
      <c r="T124" s="101">
        <v>0</v>
      </c>
      <c r="U124" s="101">
        <v>0</v>
      </c>
      <c r="V124" s="101">
        <v>0</v>
      </c>
      <c r="W124" s="101">
        <v>0</v>
      </c>
      <c r="X124" s="101">
        <v>0</v>
      </c>
      <c r="Y124" s="101">
        <v>0</v>
      </c>
      <c r="Z124" s="101">
        <v>0</v>
      </c>
      <c r="AA124" s="101">
        <v>0</v>
      </c>
      <c r="AB124" s="101">
        <v>0</v>
      </c>
      <c r="AC124" s="101">
        <v>0</v>
      </c>
      <c r="AD124" s="101">
        <v>0</v>
      </c>
      <c r="AE124" s="25"/>
      <c r="AF124" s="25"/>
      <c r="AG124" s="25"/>
      <c r="AH124" s="25"/>
      <c r="AI124" s="25"/>
      <c r="AJ124" s="25"/>
      <c r="AK124" s="25"/>
      <c r="AL124" s="25"/>
      <c r="AM124" s="25"/>
      <c r="AN124" s="25"/>
      <c r="AO124" s="25"/>
    </row>
    <row r="125" spans="3:42" ht="12.6" x14ac:dyDescent="0.25">
      <c r="C125" s="17"/>
      <c r="D125" s="35"/>
      <c r="E125" s="1" t="s">
        <v>525</v>
      </c>
      <c r="H125" s="25"/>
      <c r="J125" s="2" t="s">
        <v>1205</v>
      </c>
      <c r="M125" s="25"/>
      <c r="N125" s="25"/>
      <c r="O125" s="25"/>
      <c r="P125" s="185"/>
      <c r="Q125" s="25"/>
      <c r="R125" s="25"/>
      <c r="S125" s="101">
        <v>0</v>
      </c>
      <c r="T125" s="101">
        <v>0</v>
      </c>
      <c r="U125" s="101">
        <v>0</v>
      </c>
      <c r="V125" s="101">
        <v>0</v>
      </c>
      <c r="W125" s="101">
        <v>0</v>
      </c>
      <c r="X125" s="101">
        <v>0</v>
      </c>
      <c r="Y125" s="101">
        <v>0</v>
      </c>
      <c r="Z125" s="101">
        <v>0</v>
      </c>
      <c r="AA125" s="101">
        <v>0</v>
      </c>
      <c r="AB125" s="101">
        <v>0</v>
      </c>
      <c r="AC125" s="101">
        <v>0</v>
      </c>
      <c r="AD125" s="101">
        <v>0</v>
      </c>
      <c r="AE125" s="25"/>
      <c r="AF125" s="25"/>
      <c r="AG125" s="25"/>
      <c r="AH125" s="25"/>
      <c r="AI125" s="25"/>
      <c r="AJ125" s="25"/>
      <c r="AK125" s="25"/>
      <c r="AL125" s="25"/>
      <c r="AM125" s="25"/>
      <c r="AN125" s="25"/>
      <c r="AO125" s="25"/>
    </row>
    <row r="126" spans="3:42" ht="12.6" x14ac:dyDescent="0.25">
      <c r="C126" s="17"/>
      <c r="D126" s="35"/>
      <c r="E126" s="1" t="s">
        <v>525</v>
      </c>
      <c r="H126" s="25"/>
      <c r="J126" s="2" t="s">
        <v>1205</v>
      </c>
      <c r="M126" s="25"/>
      <c r="N126" s="25"/>
      <c r="O126" s="25"/>
      <c r="P126" s="185"/>
      <c r="Q126" s="25"/>
      <c r="R126" s="25"/>
      <c r="S126" s="101">
        <v>0</v>
      </c>
      <c r="T126" s="101">
        <v>0</v>
      </c>
      <c r="U126" s="101">
        <v>0</v>
      </c>
      <c r="V126" s="101">
        <v>0</v>
      </c>
      <c r="W126" s="101">
        <v>0</v>
      </c>
      <c r="X126" s="101">
        <v>0</v>
      </c>
      <c r="Y126" s="101">
        <v>0</v>
      </c>
      <c r="Z126" s="101">
        <v>0</v>
      </c>
      <c r="AA126" s="101">
        <v>0</v>
      </c>
      <c r="AB126" s="101">
        <v>0</v>
      </c>
      <c r="AC126" s="101">
        <v>0</v>
      </c>
      <c r="AD126" s="101">
        <v>0</v>
      </c>
      <c r="AE126" s="25"/>
      <c r="AF126" s="25"/>
      <c r="AG126" s="25"/>
      <c r="AH126" s="25"/>
      <c r="AI126" s="25"/>
      <c r="AJ126" s="25"/>
      <c r="AK126" s="25"/>
      <c r="AL126" s="25"/>
      <c r="AM126" s="25"/>
      <c r="AN126" s="25"/>
      <c r="AO126" s="25"/>
    </row>
    <row r="127" spans="3:42" ht="12.6" x14ac:dyDescent="0.25">
      <c r="C127" s="17"/>
      <c r="D127" s="35"/>
      <c r="E127" s="1" t="s">
        <v>525</v>
      </c>
      <c r="H127" s="25"/>
      <c r="J127" s="2" t="s">
        <v>1205</v>
      </c>
      <c r="M127" s="25"/>
      <c r="N127" s="25"/>
      <c r="O127" s="25"/>
      <c r="P127" s="185"/>
      <c r="Q127" s="25"/>
      <c r="R127" s="25"/>
      <c r="S127" s="101">
        <v>0</v>
      </c>
      <c r="T127" s="101">
        <v>0</v>
      </c>
      <c r="U127" s="101">
        <v>0</v>
      </c>
      <c r="V127" s="101">
        <v>0</v>
      </c>
      <c r="W127" s="101">
        <v>0</v>
      </c>
      <c r="X127" s="101">
        <v>0</v>
      </c>
      <c r="Y127" s="101">
        <v>0</v>
      </c>
      <c r="Z127" s="101">
        <v>0</v>
      </c>
      <c r="AA127" s="101">
        <v>0</v>
      </c>
      <c r="AB127" s="101">
        <v>0</v>
      </c>
      <c r="AC127" s="101">
        <v>0</v>
      </c>
      <c r="AD127" s="101">
        <v>0</v>
      </c>
      <c r="AE127" s="25"/>
      <c r="AF127" s="25"/>
      <c r="AG127" s="25"/>
      <c r="AH127" s="25"/>
      <c r="AI127" s="25"/>
      <c r="AJ127" s="25"/>
      <c r="AK127" s="25"/>
      <c r="AL127" s="25"/>
      <c r="AM127" s="25"/>
      <c r="AN127" s="25"/>
      <c r="AO127" s="25"/>
    </row>
    <row r="128" spans="3:42" x14ac:dyDescent="0.2">
      <c r="E128" s="1" t="s">
        <v>406</v>
      </c>
      <c r="F128" s="97"/>
      <c r="G128" s="97"/>
      <c r="H128" s="101"/>
      <c r="I128" s="97"/>
      <c r="J128" s="98"/>
      <c r="K128" s="97"/>
      <c r="L128" s="99"/>
      <c r="M128" s="97"/>
      <c r="N128" s="109"/>
      <c r="O128" s="109"/>
      <c r="P128" s="109"/>
      <c r="Q128" s="109"/>
      <c r="R128" s="101"/>
      <c r="S128" s="101"/>
      <c r="T128" s="101"/>
      <c r="U128" s="101"/>
      <c r="V128" s="101"/>
      <c r="W128" s="101"/>
      <c r="X128" s="101"/>
      <c r="Y128" s="101"/>
      <c r="Z128" s="101"/>
      <c r="AA128" s="101"/>
      <c r="AB128" s="101"/>
      <c r="AC128" s="101"/>
      <c r="AD128" s="101"/>
      <c r="AE128" s="109"/>
      <c r="AF128" s="109"/>
      <c r="AG128" s="109"/>
      <c r="AH128" s="109"/>
      <c r="AI128" s="109"/>
      <c r="AJ128" s="109"/>
      <c r="AK128" s="109"/>
      <c r="AL128" s="109"/>
      <c r="AM128" s="109"/>
      <c r="AN128" s="109"/>
      <c r="AO128" s="109"/>
      <c r="AP128" s="97"/>
    </row>
    <row r="129" spans="1:42" ht="12.6" x14ac:dyDescent="0.25">
      <c r="E129" s="27" t="s">
        <v>67</v>
      </c>
      <c r="F129" s="28"/>
      <c r="G129" s="28"/>
      <c r="H129" s="100"/>
      <c r="I129" s="28"/>
      <c r="J129" s="29" t="s">
        <v>1205</v>
      </c>
      <c r="K129" s="28"/>
      <c r="L129" s="30" t="s">
        <v>226</v>
      </c>
      <c r="M129" s="100"/>
      <c r="N129" s="100"/>
      <c r="O129" s="100"/>
      <c r="P129" s="100"/>
      <c r="Q129" s="100"/>
      <c r="R129" s="100"/>
      <c r="S129" s="100">
        <f>SUM(S116:S128)</f>
        <v>32249.125</v>
      </c>
      <c r="T129" s="100">
        <f t="shared" ref="T129:AD129" si="42">SUM(T116:T128)</f>
        <v>32249.125</v>
      </c>
      <c r="U129" s="100">
        <f t="shared" si="42"/>
        <v>50999.125</v>
      </c>
      <c r="V129" s="100">
        <f t="shared" si="42"/>
        <v>50999.125</v>
      </c>
      <c r="W129" s="100">
        <f t="shared" si="42"/>
        <v>49921.125</v>
      </c>
      <c r="X129" s="100">
        <f t="shared" si="42"/>
        <v>49921.125</v>
      </c>
      <c r="Y129" s="100">
        <f t="shared" si="42"/>
        <v>31171.125</v>
      </c>
      <c r="Z129" s="100">
        <f t="shared" si="42"/>
        <v>31171.125</v>
      </c>
      <c r="AA129" s="100">
        <f t="shared" si="42"/>
        <v>0</v>
      </c>
      <c r="AB129" s="100">
        <f t="shared" si="42"/>
        <v>0</v>
      </c>
      <c r="AC129" s="100">
        <f t="shared" si="42"/>
        <v>0</v>
      </c>
      <c r="AD129" s="100">
        <f t="shared" si="42"/>
        <v>0</v>
      </c>
      <c r="AE129" s="101"/>
      <c r="AF129" s="101"/>
      <c r="AG129" s="101"/>
      <c r="AH129" s="101"/>
      <c r="AI129" s="101"/>
      <c r="AJ129" s="101"/>
      <c r="AK129" s="101"/>
      <c r="AL129" s="101"/>
      <c r="AM129" s="101"/>
      <c r="AN129" s="101"/>
      <c r="AO129" s="101"/>
      <c r="AP129" s="97"/>
    </row>
    <row r="130" spans="1:42" s="97" customFormat="1" x14ac:dyDescent="0.2">
      <c r="H130" s="101"/>
      <c r="J130" s="98"/>
      <c r="L130" s="9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row>
    <row r="131" spans="1:42" s="97" customFormat="1" ht="12.6" x14ac:dyDescent="0.25">
      <c r="A131" s="1"/>
      <c r="B131" s="1"/>
      <c r="C131" s="17"/>
      <c r="D131" s="35" t="s">
        <v>143</v>
      </c>
      <c r="E131" s="1"/>
      <c r="F131" s="1"/>
      <c r="G131" s="1"/>
      <c r="H131" s="25"/>
      <c r="I131" s="1"/>
      <c r="J131" s="2"/>
      <c r="K131" s="1"/>
      <c r="L131" s="3"/>
      <c r="M131" s="25"/>
      <c r="N131" s="25"/>
      <c r="O131" s="25"/>
      <c r="P131" s="185"/>
      <c r="Q131" s="25"/>
      <c r="R131" s="25"/>
      <c r="S131" s="25"/>
      <c r="T131" s="25"/>
      <c r="U131" s="25"/>
      <c r="V131" s="25"/>
      <c r="W131" s="25"/>
      <c r="X131" s="25"/>
      <c r="Y131" s="25"/>
      <c r="Z131" s="25"/>
      <c r="AA131" s="25"/>
      <c r="AB131" s="25"/>
      <c r="AC131" s="25"/>
      <c r="AD131" s="25"/>
      <c r="AE131" s="109"/>
      <c r="AF131" s="109"/>
      <c r="AG131" s="109"/>
      <c r="AH131" s="109"/>
      <c r="AI131" s="109"/>
      <c r="AJ131" s="109"/>
      <c r="AK131" s="109"/>
      <c r="AL131" s="109"/>
      <c r="AM131" s="109"/>
      <c r="AN131" s="109"/>
      <c r="AO131" s="109"/>
    </row>
    <row r="132" spans="1:42" s="97" customFormat="1" ht="12.6" x14ac:dyDescent="0.25">
      <c r="A132" s="1"/>
      <c r="B132" s="1"/>
      <c r="C132" s="17"/>
      <c r="D132" s="35"/>
      <c r="E132" s="1" t="s">
        <v>228</v>
      </c>
      <c r="F132" s="1"/>
      <c r="G132" s="1"/>
      <c r="H132" s="25"/>
      <c r="I132" s="1"/>
      <c r="J132" s="2" t="s">
        <v>1205</v>
      </c>
      <c r="K132" s="1"/>
      <c r="L132" s="3"/>
      <c r="M132" s="25"/>
      <c r="N132" s="25"/>
      <c r="O132" s="25"/>
      <c r="P132" s="185"/>
      <c r="Q132" s="25"/>
      <c r="R132" s="25"/>
      <c r="S132" s="25">
        <f t="shared" ref="S132:AD132" si="43">Finance_TL1_Non_Current_Portion</f>
        <v>218197.875</v>
      </c>
      <c r="T132" s="25">
        <f t="shared" si="43"/>
        <v>187026.75</v>
      </c>
      <c r="U132" s="25">
        <f t="shared" si="43"/>
        <v>155855.625</v>
      </c>
      <c r="V132" s="25">
        <f t="shared" si="43"/>
        <v>124684.5</v>
      </c>
      <c r="W132" s="25">
        <f t="shared" si="43"/>
        <v>93513.375</v>
      </c>
      <c r="X132" s="25">
        <f t="shared" si="43"/>
        <v>62342.25</v>
      </c>
      <c r="Y132" s="25">
        <f t="shared" si="43"/>
        <v>31171.125</v>
      </c>
      <c r="Z132" s="25">
        <f t="shared" si="43"/>
        <v>0</v>
      </c>
      <c r="AA132" s="25">
        <f t="shared" si="43"/>
        <v>0</v>
      </c>
      <c r="AB132" s="25">
        <f t="shared" si="43"/>
        <v>0</v>
      </c>
      <c r="AC132" s="25">
        <f t="shared" si="43"/>
        <v>0</v>
      </c>
      <c r="AD132" s="25">
        <f t="shared" si="43"/>
        <v>0</v>
      </c>
      <c r="AE132" s="109"/>
      <c r="AF132" s="109"/>
      <c r="AG132" s="109"/>
      <c r="AH132" s="109"/>
      <c r="AI132" s="109"/>
      <c r="AJ132" s="109"/>
      <c r="AK132" s="109"/>
      <c r="AL132" s="109"/>
      <c r="AM132" s="109"/>
      <c r="AN132" s="109"/>
      <c r="AO132" s="109"/>
    </row>
    <row r="133" spans="1:42" s="97" customFormat="1" ht="12.6" x14ac:dyDescent="0.25">
      <c r="A133" s="1"/>
      <c r="B133" s="1"/>
      <c r="C133" s="17"/>
      <c r="D133" s="35"/>
      <c r="E133" s="97" t="s">
        <v>520</v>
      </c>
      <c r="F133" s="1"/>
      <c r="G133" s="1"/>
      <c r="H133" s="25"/>
      <c r="I133" s="1"/>
      <c r="J133" s="2" t="s">
        <v>1205</v>
      </c>
      <c r="K133" s="1"/>
      <c r="L133" s="3"/>
      <c r="M133" s="25"/>
      <c r="N133" s="25"/>
      <c r="O133" s="25"/>
      <c r="P133" s="185"/>
      <c r="Q133" s="25"/>
      <c r="R133" s="25"/>
      <c r="S133" s="25">
        <f t="shared" ref="S133:AD133" si="44">Finance_TL2_Non_Current_Portion</f>
        <v>75000</v>
      </c>
      <c r="T133" s="25">
        <f t="shared" si="44"/>
        <v>75000</v>
      </c>
      <c r="U133" s="25">
        <f t="shared" si="44"/>
        <v>56250</v>
      </c>
      <c r="V133" s="25">
        <f t="shared" si="44"/>
        <v>37500</v>
      </c>
      <c r="W133" s="25">
        <f t="shared" si="44"/>
        <v>18750</v>
      </c>
      <c r="X133" s="25">
        <f t="shared" si="44"/>
        <v>0</v>
      </c>
      <c r="Y133" s="25">
        <f t="shared" si="44"/>
        <v>0</v>
      </c>
      <c r="Z133" s="25">
        <f t="shared" si="44"/>
        <v>0</v>
      </c>
      <c r="AA133" s="25">
        <f t="shared" si="44"/>
        <v>0</v>
      </c>
      <c r="AB133" s="25">
        <f t="shared" si="44"/>
        <v>0</v>
      </c>
      <c r="AC133" s="25">
        <f t="shared" si="44"/>
        <v>0</v>
      </c>
      <c r="AD133" s="25">
        <f t="shared" si="44"/>
        <v>0</v>
      </c>
      <c r="AE133" s="109"/>
      <c r="AF133" s="109"/>
      <c r="AG133" s="109"/>
      <c r="AH133" s="109"/>
      <c r="AI133" s="109"/>
      <c r="AJ133" s="109"/>
      <c r="AK133" s="109"/>
      <c r="AL133" s="109"/>
      <c r="AM133" s="109"/>
      <c r="AN133" s="109"/>
      <c r="AO133" s="109"/>
    </row>
    <row r="134" spans="1:42" s="97" customFormat="1" ht="12.6" x14ac:dyDescent="0.25">
      <c r="A134" s="1"/>
      <c r="B134" s="1"/>
      <c r="C134" s="17"/>
      <c r="D134" s="35"/>
      <c r="E134" s="97" t="s">
        <v>521</v>
      </c>
      <c r="F134" s="1"/>
      <c r="G134" s="1"/>
      <c r="H134" s="25"/>
      <c r="I134" s="1"/>
      <c r="J134" s="2" t="s">
        <v>1205</v>
      </c>
      <c r="K134" s="1"/>
      <c r="L134" s="3"/>
      <c r="M134" s="25"/>
      <c r="N134" s="25"/>
      <c r="O134" s="25"/>
      <c r="P134" s="185"/>
      <c r="Q134" s="25"/>
      <c r="R134" s="25"/>
      <c r="S134" s="25">
        <f t="shared" ref="S134:AD134" si="45">Finance_TL3_Non_Current_Portion</f>
        <v>0</v>
      </c>
      <c r="T134" s="25">
        <f t="shared" si="45"/>
        <v>0</v>
      </c>
      <c r="U134" s="25">
        <f t="shared" si="45"/>
        <v>0</v>
      </c>
      <c r="V134" s="25">
        <f t="shared" si="45"/>
        <v>0</v>
      </c>
      <c r="W134" s="25">
        <f t="shared" si="45"/>
        <v>0</v>
      </c>
      <c r="X134" s="25">
        <f t="shared" si="45"/>
        <v>0</v>
      </c>
      <c r="Y134" s="25">
        <f t="shared" si="45"/>
        <v>0</v>
      </c>
      <c r="Z134" s="25">
        <f t="shared" si="45"/>
        <v>0</v>
      </c>
      <c r="AA134" s="25">
        <f t="shared" si="45"/>
        <v>0</v>
      </c>
      <c r="AB134" s="25">
        <f t="shared" si="45"/>
        <v>0</v>
      </c>
      <c r="AC134" s="25">
        <f t="shared" si="45"/>
        <v>0</v>
      </c>
      <c r="AD134" s="25">
        <f t="shared" si="45"/>
        <v>0</v>
      </c>
      <c r="AE134" s="109"/>
      <c r="AF134" s="109"/>
      <c r="AG134" s="109"/>
      <c r="AH134" s="109"/>
      <c r="AI134" s="109"/>
      <c r="AJ134" s="109"/>
      <c r="AK134" s="109"/>
      <c r="AL134" s="109"/>
      <c r="AM134" s="109"/>
      <c r="AN134" s="109"/>
      <c r="AO134" s="109"/>
    </row>
    <row r="135" spans="1:42" s="97" customFormat="1" ht="12.6" x14ac:dyDescent="0.25">
      <c r="A135" s="1"/>
      <c r="B135" s="1"/>
      <c r="C135" s="17"/>
      <c r="D135" s="35"/>
      <c r="E135" s="97" t="s">
        <v>522</v>
      </c>
      <c r="F135" s="1"/>
      <c r="G135" s="1"/>
      <c r="H135" s="25"/>
      <c r="I135" s="1"/>
      <c r="J135" s="2" t="s">
        <v>1205</v>
      </c>
      <c r="K135" s="1"/>
      <c r="L135" s="3"/>
      <c r="M135" s="25"/>
      <c r="N135" s="25"/>
      <c r="O135" s="25"/>
      <c r="P135" s="185"/>
      <c r="Q135" s="25"/>
      <c r="R135" s="25"/>
      <c r="S135" s="25">
        <f t="shared" ref="S135:AD135" si="46">Finance_TL4_Non_Current_Portion</f>
        <v>3234</v>
      </c>
      <c r="T135" s="25">
        <f t="shared" si="46"/>
        <v>2156</v>
      </c>
      <c r="U135" s="25">
        <f t="shared" si="46"/>
        <v>1078</v>
      </c>
      <c r="V135" s="25">
        <f t="shared" si="46"/>
        <v>0</v>
      </c>
      <c r="W135" s="25">
        <f t="shared" si="46"/>
        <v>0</v>
      </c>
      <c r="X135" s="25">
        <f t="shared" si="46"/>
        <v>0</v>
      </c>
      <c r="Y135" s="25">
        <f t="shared" si="46"/>
        <v>0</v>
      </c>
      <c r="Z135" s="25">
        <f t="shared" si="46"/>
        <v>0</v>
      </c>
      <c r="AA135" s="25">
        <f t="shared" si="46"/>
        <v>0</v>
      </c>
      <c r="AB135" s="25">
        <f t="shared" si="46"/>
        <v>0</v>
      </c>
      <c r="AC135" s="25">
        <f t="shared" si="46"/>
        <v>0</v>
      </c>
      <c r="AD135" s="25">
        <f t="shared" si="46"/>
        <v>0</v>
      </c>
      <c r="AE135" s="109"/>
      <c r="AF135" s="109"/>
      <c r="AG135" s="109"/>
      <c r="AH135" s="109"/>
      <c r="AI135" s="109"/>
      <c r="AJ135" s="109"/>
      <c r="AK135" s="109"/>
      <c r="AL135" s="109"/>
      <c r="AM135" s="109"/>
      <c r="AN135" s="109"/>
      <c r="AO135" s="109"/>
    </row>
    <row r="136" spans="1:42" s="97" customFormat="1" ht="12.6" x14ac:dyDescent="0.25">
      <c r="A136" s="1"/>
      <c r="B136" s="1"/>
      <c r="C136" s="17"/>
      <c r="D136" s="35"/>
      <c r="E136" s="1" t="s">
        <v>523</v>
      </c>
      <c r="F136" s="1"/>
      <c r="G136" s="1"/>
      <c r="H136" s="25"/>
      <c r="I136" s="1"/>
      <c r="J136" s="2" t="s">
        <v>1205</v>
      </c>
      <c r="K136" s="1"/>
      <c r="L136" s="3"/>
      <c r="M136" s="25"/>
      <c r="N136" s="25"/>
      <c r="O136" s="25"/>
      <c r="P136" s="185"/>
      <c r="Q136" s="25"/>
      <c r="R136" s="25"/>
      <c r="S136" s="25">
        <f t="shared" ref="S136:AD136" si="47">Finance_TL5_Non_Current_Portion</f>
        <v>0</v>
      </c>
      <c r="T136" s="25">
        <f t="shared" si="47"/>
        <v>0</v>
      </c>
      <c r="U136" s="25">
        <f t="shared" si="47"/>
        <v>0</v>
      </c>
      <c r="V136" s="25">
        <f t="shared" si="47"/>
        <v>0</v>
      </c>
      <c r="W136" s="25">
        <f t="shared" si="47"/>
        <v>0</v>
      </c>
      <c r="X136" s="25">
        <f t="shared" si="47"/>
        <v>0</v>
      </c>
      <c r="Y136" s="25">
        <f t="shared" si="47"/>
        <v>0</v>
      </c>
      <c r="Z136" s="25">
        <f t="shared" si="47"/>
        <v>0</v>
      </c>
      <c r="AA136" s="25">
        <f t="shared" si="47"/>
        <v>0</v>
      </c>
      <c r="AB136" s="25">
        <f t="shared" si="47"/>
        <v>0</v>
      </c>
      <c r="AC136" s="25">
        <f t="shared" si="47"/>
        <v>0</v>
      </c>
      <c r="AD136" s="25">
        <f t="shared" si="47"/>
        <v>0</v>
      </c>
      <c r="AE136" s="109"/>
      <c r="AF136" s="109"/>
      <c r="AG136" s="109"/>
      <c r="AH136" s="109"/>
      <c r="AI136" s="109"/>
      <c r="AJ136" s="109"/>
      <c r="AK136" s="109"/>
      <c r="AL136" s="109"/>
      <c r="AM136" s="109"/>
      <c r="AN136" s="109"/>
      <c r="AO136" s="109"/>
    </row>
    <row r="137" spans="1:42" s="97" customFormat="1" ht="12.6" x14ac:dyDescent="0.25">
      <c r="A137" s="1"/>
      <c r="B137" s="1"/>
      <c r="C137" s="17"/>
      <c r="D137" s="35"/>
      <c r="E137" s="1" t="s">
        <v>524</v>
      </c>
      <c r="F137" s="1"/>
      <c r="G137" s="1"/>
      <c r="H137" s="25"/>
      <c r="I137" s="1"/>
      <c r="J137" s="2"/>
      <c r="K137" s="1"/>
      <c r="L137" s="3"/>
      <c r="M137" s="25"/>
      <c r="N137" s="25"/>
      <c r="O137" s="25"/>
      <c r="P137" s="185"/>
      <c r="Q137" s="25"/>
      <c r="R137" s="25"/>
      <c r="S137" s="25"/>
      <c r="T137" s="25"/>
      <c r="U137" s="25"/>
      <c r="V137" s="25"/>
      <c r="W137" s="25"/>
      <c r="X137" s="25"/>
      <c r="Y137" s="25"/>
      <c r="Z137" s="25"/>
      <c r="AA137" s="25"/>
      <c r="AB137" s="25"/>
      <c r="AC137" s="25"/>
      <c r="AD137" s="25"/>
      <c r="AE137" s="109"/>
      <c r="AF137" s="109"/>
      <c r="AG137" s="109"/>
      <c r="AH137" s="109"/>
      <c r="AI137" s="109"/>
      <c r="AJ137" s="109"/>
      <c r="AK137" s="109"/>
      <c r="AL137" s="109"/>
      <c r="AM137" s="109"/>
      <c r="AN137" s="109"/>
      <c r="AO137" s="109"/>
    </row>
    <row r="138" spans="1:42" s="97" customFormat="1" ht="12.6" x14ac:dyDescent="0.25">
      <c r="A138" s="1"/>
      <c r="B138" s="1"/>
      <c r="C138" s="17"/>
      <c r="D138" s="35"/>
      <c r="F138" s="1"/>
      <c r="G138" s="1"/>
      <c r="H138" s="25"/>
      <c r="I138" s="1"/>
      <c r="J138" s="2" t="s">
        <v>1205</v>
      </c>
      <c r="K138" s="1"/>
      <c r="L138" s="3"/>
      <c r="M138" s="25"/>
      <c r="N138" s="25"/>
      <c r="O138" s="25"/>
      <c r="P138" s="185"/>
      <c r="Q138" s="25"/>
      <c r="R138" s="25"/>
      <c r="S138" s="101">
        <v>0</v>
      </c>
      <c r="T138" s="101">
        <v>0</v>
      </c>
      <c r="U138" s="101">
        <v>0</v>
      </c>
      <c r="V138" s="101">
        <v>0</v>
      </c>
      <c r="W138" s="101">
        <v>0</v>
      </c>
      <c r="X138" s="101">
        <v>0</v>
      </c>
      <c r="Y138" s="101">
        <v>0</v>
      </c>
      <c r="Z138" s="101">
        <v>0</v>
      </c>
      <c r="AA138" s="101">
        <v>0</v>
      </c>
      <c r="AB138" s="101">
        <v>0</v>
      </c>
      <c r="AC138" s="101">
        <v>0</v>
      </c>
      <c r="AD138" s="101">
        <v>0</v>
      </c>
      <c r="AE138" s="109"/>
      <c r="AF138" s="109"/>
      <c r="AG138" s="109"/>
      <c r="AH138" s="109"/>
      <c r="AI138" s="109"/>
      <c r="AJ138" s="109"/>
      <c r="AK138" s="109"/>
      <c r="AL138" s="109"/>
      <c r="AM138" s="109"/>
      <c r="AN138" s="109"/>
      <c r="AO138" s="109"/>
    </row>
    <row r="139" spans="1:42" s="97" customFormat="1" ht="12.6" x14ac:dyDescent="0.25">
      <c r="A139" s="1"/>
      <c r="B139" s="1"/>
      <c r="C139" s="17"/>
      <c r="D139" s="35"/>
      <c r="E139" s="1" t="s">
        <v>525</v>
      </c>
      <c r="F139" s="1"/>
      <c r="G139" s="1"/>
      <c r="H139" s="25"/>
      <c r="I139" s="1"/>
      <c r="J139" s="2" t="s">
        <v>1205</v>
      </c>
      <c r="K139" s="1"/>
      <c r="L139" s="3"/>
      <c r="M139" s="25"/>
      <c r="N139" s="25"/>
      <c r="O139" s="25"/>
      <c r="P139" s="185"/>
      <c r="Q139" s="25"/>
      <c r="R139" s="25"/>
      <c r="S139" s="101">
        <v>0</v>
      </c>
      <c r="T139" s="101">
        <v>0</v>
      </c>
      <c r="U139" s="101">
        <v>0</v>
      </c>
      <c r="V139" s="101">
        <v>0</v>
      </c>
      <c r="W139" s="101">
        <v>0</v>
      </c>
      <c r="X139" s="101">
        <v>0</v>
      </c>
      <c r="Y139" s="101">
        <v>0</v>
      </c>
      <c r="Z139" s="101">
        <v>0</v>
      </c>
      <c r="AA139" s="101">
        <v>0</v>
      </c>
      <c r="AB139" s="101">
        <v>0</v>
      </c>
      <c r="AC139" s="101">
        <v>0</v>
      </c>
      <c r="AD139" s="101">
        <v>0</v>
      </c>
      <c r="AE139" s="109"/>
      <c r="AF139" s="109"/>
      <c r="AG139" s="109"/>
      <c r="AH139" s="109"/>
      <c r="AI139" s="109"/>
      <c r="AJ139" s="109"/>
      <c r="AK139" s="109"/>
      <c r="AL139" s="109"/>
      <c r="AM139" s="109"/>
      <c r="AN139" s="109"/>
      <c r="AO139" s="109"/>
    </row>
    <row r="140" spans="1:42" s="97" customFormat="1" ht="12.6" x14ac:dyDescent="0.25">
      <c r="A140" s="1"/>
      <c r="B140" s="1"/>
      <c r="C140" s="17"/>
      <c r="D140" s="35"/>
      <c r="E140" s="1" t="s">
        <v>525</v>
      </c>
      <c r="F140" s="1"/>
      <c r="G140" s="1"/>
      <c r="H140" s="25"/>
      <c r="I140" s="1"/>
      <c r="J140" s="2" t="s">
        <v>1205</v>
      </c>
      <c r="K140" s="1"/>
      <c r="L140" s="3"/>
      <c r="M140" s="25"/>
      <c r="N140" s="25"/>
      <c r="O140" s="25"/>
      <c r="P140" s="185"/>
      <c r="Q140" s="25"/>
      <c r="R140" s="25"/>
      <c r="S140" s="101">
        <v>0</v>
      </c>
      <c r="T140" s="101">
        <v>0</v>
      </c>
      <c r="U140" s="101">
        <v>0</v>
      </c>
      <c r="V140" s="101">
        <v>0</v>
      </c>
      <c r="W140" s="101">
        <v>0</v>
      </c>
      <c r="X140" s="101">
        <v>0</v>
      </c>
      <c r="Y140" s="101">
        <v>0</v>
      </c>
      <c r="Z140" s="101">
        <v>0</v>
      </c>
      <c r="AA140" s="101">
        <v>0</v>
      </c>
      <c r="AB140" s="101">
        <v>0</v>
      </c>
      <c r="AC140" s="101">
        <v>0</v>
      </c>
      <c r="AD140" s="101">
        <v>0</v>
      </c>
      <c r="AE140" s="109"/>
      <c r="AF140" s="109"/>
      <c r="AG140" s="109"/>
      <c r="AH140" s="109"/>
      <c r="AI140" s="109"/>
      <c r="AJ140" s="109"/>
      <c r="AK140" s="109"/>
      <c r="AL140" s="109"/>
      <c r="AM140" s="109"/>
      <c r="AN140" s="109"/>
      <c r="AO140" s="109"/>
    </row>
    <row r="141" spans="1:42" s="97" customFormat="1" ht="12.6" x14ac:dyDescent="0.25">
      <c r="A141" s="1"/>
      <c r="B141" s="1"/>
      <c r="C141" s="17"/>
      <c r="D141" s="35"/>
      <c r="E141" s="1" t="s">
        <v>525</v>
      </c>
      <c r="F141" s="1"/>
      <c r="G141" s="1"/>
      <c r="H141" s="25"/>
      <c r="I141" s="1"/>
      <c r="J141" s="2" t="s">
        <v>1205</v>
      </c>
      <c r="K141" s="1"/>
      <c r="L141" s="3"/>
      <c r="M141" s="25"/>
      <c r="N141" s="25"/>
      <c r="O141" s="25"/>
      <c r="P141" s="185"/>
      <c r="Q141" s="25"/>
      <c r="R141" s="25"/>
      <c r="S141" s="101">
        <v>0</v>
      </c>
      <c r="T141" s="101">
        <v>0</v>
      </c>
      <c r="U141" s="101">
        <v>0</v>
      </c>
      <c r="V141" s="101">
        <v>0</v>
      </c>
      <c r="W141" s="101">
        <v>0</v>
      </c>
      <c r="X141" s="101">
        <v>0</v>
      </c>
      <c r="Y141" s="101">
        <v>0</v>
      </c>
      <c r="Z141" s="101">
        <v>0</v>
      </c>
      <c r="AA141" s="101">
        <v>0</v>
      </c>
      <c r="AB141" s="101">
        <v>0</v>
      </c>
      <c r="AC141" s="101">
        <v>0</v>
      </c>
      <c r="AD141" s="101">
        <v>0</v>
      </c>
      <c r="AE141" s="109"/>
      <c r="AF141" s="109"/>
      <c r="AG141" s="109"/>
      <c r="AH141" s="109"/>
      <c r="AI141" s="109"/>
      <c r="AJ141" s="109"/>
      <c r="AK141" s="109"/>
      <c r="AL141" s="109"/>
      <c r="AM141" s="109"/>
      <c r="AN141" s="109"/>
      <c r="AO141" s="109"/>
    </row>
    <row r="142" spans="1:42" s="97" customFormat="1" ht="12.6" x14ac:dyDescent="0.25">
      <c r="A142" s="1"/>
      <c r="B142" s="1"/>
      <c r="C142" s="17"/>
      <c r="D142" s="35"/>
      <c r="E142" s="1" t="s">
        <v>525</v>
      </c>
      <c r="F142" s="1"/>
      <c r="G142" s="1"/>
      <c r="H142" s="25"/>
      <c r="I142" s="1"/>
      <c r="J142" s="2" t="s">
        <v>1205</v>
      </c>
      <c r="K142" s="1"/>
      <c r="L142" s="3"/>
      <c r="M142" s="25"/>
      <c r="N142" s="25"/>
      <c r="O142" s="25"/>
      <c r="P142" s="185"/>
      <c r="Q142" s="25"/>
      <c r="R142" s="25"/>
      <c r="S142" s="101">
        <v>0</v>
      </c>
      <c r="T142" s="101">
        <v>0</v>
      </c>
      <c r="U142" s="101">
        <v>0</v>
      </c>
      <c r="V142" s="101">
        <v>0</v>
      </c>
      <c r="W142" s="101">
        <v>0</v>
      </c>
      <c r="X142" s="101">
        <v>0</v>
      </c>
      <c r="Y142" s="101">
        <v>0</v>
      </c>
      <c r="Z142" s="101">
        <v>0</v>
      </c>
      <c r="AA142" s="101">
        <v>0</v>
      </c>
      <c r="AB142" s="101">
        <v>0</v>
      </c>
      <c r="AC142" s="101">
        <v>0</v>
      </c>
      <c r="AD142" s="101">
        <v>0</v>
      </c>
      <c r="AE142" s="109"/>
      <c r="AF142" s="109"/>
      <c r="AG142" s="109"/>
      <c r="AH142" s="109"/>
      <c r="AI142" s="109"/>
      <c r="AJ142" s="109"/>
      <c r="AK142" s="109"/>
      <c r="AL142" s="109"/>
      <c r="AM142" s="109"/>
      <c r="AN142" s="109"/>
      <c r="AO142" s="109"/>
    </row>
    <row r="143" spans="1:42" s="97" customFormat="1" ht="12.6" x14ac:dyDescent="0.25">
      <c r="A143" s="1"/>
      <c r="B143" s="1"/>
      <c r="C143" s="17"/>
      <c r="D143" s="35"/>
      <c r="E143" s="1" t="s">
        <v>525</v>
      </c>
      <c r="F143" s="1"/>
      <c r="G143" s="1"/>
      <c r="H143" s="25"/>
      <c r="I143" s="1"/>
      <c r="J143" s="2" t="s">
        <v>1205</v>
      </c>
      <c r="K143" s="1"/>
      <c r="L143" s="3"/>
      <c r="M143" s="25"/>
      <c r="N143" s="25"/>
      <c r="O143" s="25"/>
      <c r="P143" s="185"/>
      <c r="Q143" s="25"/>
      <c r="R143" s="25"/>
      <c r="S143" s="101">
        <v>0</v>
      </c>
      <c r="T143" s="101">
        <v>0</v>
      </c>
      <c r="U143" s="101">
        <v>0</v>
      </c>
      <c r="V143" s="101">
        <v>0</v>
      </c>
      <c r="W143" s="101">
        <v>0</v>
      </c>
      <c r="X143" s="101">
        <v>0</v>
      </c>
      <c r="Y143" s="101">
        <v>0</v>
      </c>
      <c r="Z143" s="101">
        <v>0</v>
      </c>
      <c r="AA143" s="101">
        <v>0</v>
      </c>
      <c r="AB143" s="101">
        <v>0</v>
      </c>
      <c r="AC143" s="101">
        <v>0</v>
      </c>
      <c r="AD143" s="101">
        <v>0</v>
      </c>
      <c r="AE143" s="109"/>
      <c r="AF143" s="109"/>
      <c r="AG143" s="109"/>
      <c r="AH143" s="109"/>
      <c r="AI143" s="109"/>
      <c r="AJ143" s="109"/>
      <c r="AK143" s="109"/>
      <c r="AL143" s="109"/>
      <c r="AM143" s="109"/>
      <c r="AN143" s="109"/>
      <c r="AO143" s="109"/>
    </row>
    <row r="144" spans="1:42" s="97" customFormat="1" x14ac:dyDescent="0.2">
      <c r="A144" s="1"/>
      <c r="B144" s="1"/>
      <c r="C144" s="1"/>
      <c r="D144" s="1"/>
      <c r="E144" s="1" t="s">
        <v>406</v>
      </c>
      <c r="H144" s="101"/>
      <c r="J144" s="98"/>
      <c r="L144" s="99"/>
      <c r="N144" s="109"/>
      <c r="O144" s="109"/>
      <c r="P144" s="109"/>
      <c r="Q144" s="109"/>
      <c r="R144" s="101"/>
      <c r="S144" s="101" t="s">
        <v>8</v>
      </c>
      <c r="T144" s="101"/>
      <c r="U144" s="101"/>
      <c r="V144" s="101"/>
      <c r="W144" s="101"/>
      <c r="X144" s="101"/>
      <c r="Y144" s="101"/>
      <c r="Z144" s="101"/>
      <c r="AA144" s="101"/>
      <c r="AB144" s="101"/>
      <c r="AC144" s="101"/>
      <c r="AD144" s="101"/>
      <c r="AE144" s="109"/>
      <c r="AF144" s="109"/>
      <c r="AG144" s="109"/>
      <c r="AH144" s="109"/>
      <c r="AI144" s="109"/>
      <c r="AJ144" s="109"/>
      <c r="AK144" s="109"/>
      <c r="AL144" s="109"/>
      <c r="AM144" s="109"/>
      <c r="AN144" s="109"/>
      <c r="AO144" s="109"/>
    </row>
    <row r="145" spans="1:41" s="97" customFormat="1" ht="12.6" x14ac:dyDescent="0.25">
      <c r="A145" s="1"/>
      <c r="B145" s="1"/>
      <c r="C145" s="1"/>
      <c r="D145" s="1"/>
      <c r="E145" s="27" t="s">
        <v>67</v>
      </c>
      <c r="F145" s="28"/>
      <c r="G145" s="28"/>
      <c r="H145" s="100"/>
      <c r="I145" s="28"/>
      <c r="J145" s="29" t="s">
        <v>1205</v>
      </c>
      <c r="K145" s="28"/>
      <c r="L145" s="30" t="s">
        <v>225</v>
      </c>
      <c r="M145" s="100"/>
      <c r="N145" s="100"/>
      <c r="O145" s="100"/>
      <c r="P145" s="100"/>
      <c r="Q145" s="100"/>
      <c r="R145" s="100"/>
      <c r="S145" s="100">
        <f>SUM(S132:S144)</f>
        <v>296431.875</v>
      </c>
      <c r="T145" s="100">
        <f t="shared" ref="T145:AD145" si="48">SUM(T132:T144)</f>
        <v>264182.75</v>
      </c>
      <c r="U145" s="100">
        <f t="shared" si="48"/>
        <v>213183.625</v>
      </c>
      <c r="V145" s="100">
        <f t="shared" si="48"/>
        <v>162184.5</v>
      </c>
      <c r="W145" s="100">
        <f t="shared" si="48"/>
        <v>112263.375</v>
      </c>
      <c r="X145" s="100">
        <f t="shared" si="48"/>
        <v>62342.25</v>
      </c>
      <c r="Y145" s="100">
        <f t="shared" si="48"/>
        <v>31171.125</v>
      </c>
      <c r="Z145" s="100">
        <f t="shared" si="48"/>
        <v>0</v>
      </c>
      <c r="AA145" s="100">
        <f t="shared" si="48"/>
        <v>0</v>
      </c>
      <c r="AB145" s="100">
        <f t="shared" si="48"/>
        <v>0</v>
      </c>
      <c r="AC145" s="100">
        <f t="shared" si="48"/>
        <v>0</v>
      </c>
      <c r="AD145" s="100">
        <f t="shared" si="48"/>
        <v>0</v>
      </c>
      <c r="AE145" s="101"/>
      <c r="AF145" s="101"/>
      <c r="AG145" s="101"/>
      <c r="AH145" s="101"/>
      <c r="AI145" s="101"/>
      <c r="AJ145" s="101"/>
      <c r="AK145" s="101"/>
      <c r="AL145" s="101"/>
      <c r="AM145" s="101"/>
      <c r="AN145" s="101"/>
      <c r="AO145" s="101"/>
    </row>
    <row r="146" spans="1:41" s="97" customFormat="1" ht="12.6" x14ac:dyDescent="0.25">
      <c r="A146" s="1"/>
      <c r="B146" s="1"/>
      <c r="C146" s="1"/>
      <c r="D146" s="1"/>
      <c r="E146" s="32"/>
      <c r="H146" s="101"/>
      <c r="J146" s="98"/>
      <c r="L146" s="99"/>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row>
    <row r="147" spans="1:41" s="97" customFormat="1" ht="13.2" thickBot="1" x14ac:dyDescent="0.3">
      <c r="C147" s="32"/>
      <c r="D147" s="32"/>
      <c r="H147" s="101"/>
      <c r="J147" s="98"/>
      <c r="L147" s="99"/>
      <c r="N147" s="101"/>
      <c r="O147" s="101"/>
      <c r="P147" s="33"/>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row>
    <row r="148" spans="1:41" s="97" customFormat="1" ht="12.6" thickTop="1" x14ac:dyDescent="0.2">
      <c r="A148" s="1"/>
      <c r="B148" s="20"/>
      <c r="C148" s="337" t="s">
        <v>520</v>
      </c>
      <c r="D148" s="337"/>
      <c r="E148" s="338"/>
      <c r="F148" s="338"/>
      <c r="G148" s="338"/>
      <c r="H148" s="338"/>
      <c r="I148" s="338"/>
      <c r="J148" s="340"/>
      <c r="K148" s="338"/>
      <c r="L148" s="342"/>
      <c r="M148" s="338"/>
      <c r="N148" s="343"/>
      <c r="O148" s="343"/>
      <c r="P148" s="343"/>
      <c r="Q148" s="343"/>
      <c r="R148" s="343"/>
      <c r="S148" s="343"/>
      <c r="T148" s="343"/>
      <c r="U148" s="343"/>
      <c r="V148" s="343"/>
      <c r="W148" s="343"/>
      <c r="X148" s="343"/>
      <c r="Y148" s="343"/>
      <c r="Z148" s="343"/>
      <c r="AA148" s="343"/>
      <c r="AB148" s="343"/>
      <c r="AC148" s="343"/>
      <c r="AD148" s="343"/>
      <c r="AE148" s="101"/>
      <c r="AF148" s="101"/>
      <c r="AG148" s="101"/>
      <c r="AH148" s="101"/>
      <c r="AI148" s="101"/>
      <c r="AJ148" s="101"/>
      <c r="AK148" s="101"/>
      <c r="AL148" s="101"/>
      <c r="AM148" s="101"/>
      <c r="AN148" s="101"/>
      <c r="AO148" s="101"/>
    </row>
    <row r="149" spans="1:41" s="97" customFormat="1" ht="12.6" x14ac:dyDescent="0.25">
      <c r="C149" s="20"/>
      <c r="D149" s="32"/>
      <c r="H149" s="101"/>
      <c r="J149" s="98"/>
      <c r="L149" s="99"/>
      <c r="M149" s="101"/>
      <c r="N149" s="101"/>
      <c r="O149" s="101"/>
      <c r="P149" s="84"/>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row>
    <row r="150" spans="1:41" s="97" customFormat="1" ht="12.6" x14ac:dyDescent="0.25">
      <c r="C150" s="20"/>
      <c r="D150" s="32" t="s">
        <v>173</v>
      </c>
      <c r="E150" s="32"/>
      <c r="G150" s="184"/>
      <c r="H150" s="101"/>
      <c r="J150" s="98" t="s">
        <v>1205</v>
      </c>
      <c r="L150" s="99"/>
      <c r="M150" s="101"/>
      <c r="N150" s="101"/>
      <c r="O150" s="101"/>
      <c r="P150" s="84"/>
      <c r="Q150" s="101"/>
      <c r="R150" s="101">
        <f>Inputs_Basecase_TL1_Maximum_Facility</f>
        <v>249369</v>
      </c>
      <c r="S150" s="101">
        <f t="shared" ref="S150:AD150" si="49">Inputs_Basecase_TL1_Maximum_Facility</f>
        <v>249369</v>
      </c>
      <c r="T150" s="101">
        <f t="shared" si="49"/>
        <v>249369</v>
      </c>
      <c r="U150" s="101">
        <f t="shared" si="49"/>
        <v>249369</v>
      </c>
      <c r="V150" s="101">
        <f t="shared" si="49"/>
        <v>249369</v>
      </c>
      <c r="W150" s="101">
        <f t="shared" si="49"/>
        <v>249369</v>
      </c>
      <c r="X150" s="101">
        <f t="shared" si="49"/>
        <v>249369</v>
      </c>
      <c r="Y150" s="101">
        <f t="shared" si="49"/>
        <v>249369</v>
      </c>
      <c r="Z150" s="101">
        <f t="shared" si="49"/>
        <v>249369</v>
      </c>
      <c r="AA150" s="101">
        <f t="shared" si="49"/>
        <v>249369</v>
      </c>
      <c r="AB150" s="101">
        <f t="shared" si="49"/>
        <v>249369</v>
      </c>
      <c r="AC150" s="101">
        <f t="shared" si="49"/>
        <v>249369</v>
      </c>
      <c r="AD150" s="101">
        <f t="shared" si="49"/>
        <v>249369</v>
      </c>
      <c r="AE150" s="101"/>
      <c r="AF150" s="101"/>
      <c r="AG150" s="101"/>
      <c r="AH150" s="101"/>
      <c r="AI150" s="101"/>
      <c r="AJ150" s="101"/>
      <c r="AK150" s="101"/>
      <c r="AL150" s="101"/>
      <c r="AM150" s="101"/>
      <c r="AN150" s="101"/>
      <c r="AO150" s="101"/>
    </row>
    <row r="151" spans="1:41" s="97" customFormat="1" ht="12.6" x14ac:dyDescent="0.25">
      <c r="C151" s="20"/>
      <c r="D151" s="32"/>
      <c r="H151" s="101"/>
      <c r="J151" s="98"/>
      <c r="L151" s="99"/>
      <c r="M151" s="101"/>
      <c r="N151" s="101"/>
      <c r="O151" s="101"/>
      <c r="P151" s="84"/>
      <c r="Q151" s="101"/>
      <c r="AE151" s="101"/>
      <c r="AF151" s="101"/>
      <c r="AG151" s="101"/>
      <c r="AH151" s="101"/>
      <c r="AI151" s="101"/>
      <c r="AJ151" s="101"/>
      <c r="AK151" s="101"/>
      <c r="AL151" s="101"/>
      <c r="AM151" s="101"/>
      <c r="AN151" s="101"/>
      <c r="AO151" s="101"/>
    </row>
    <row r="152" spans="1:41" s="97" customFormat="1" ht="12.6" x14ac:dyDescent="0.25">
      <c r="D152" s="32" t="s">
        <v>172</v>
      </c>
      <c r="H152" s="101"/>
      <c r="J152" s="98"/>
      <c r="L152" s="99"/>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row>
    <row r="153" spans="1:41" s="97" customFormat="1" x14ac:dyDescent="0.2">
      <c r="E153" s="97" t="s">
        <v>1207</v>
      </c>
      <c r="H153" s="101"/>
      <c r="J153" s="98" t="s">
        <v>49</v>
      </c>
      <c r="L153" s="99"/>
      <c r="N153" s="109"/>
      <c r="O153" s="109"/>
      <c r="P153" s="109"/>
      <c r="Q153" s="109"/>
      <c r="R153" s="24"/>
      <c r="S153" s="24" t="e">
        <f t="shared" ref="S153:AD153" si="50">Inputs_Basecase_SARobor</f>
        <v>#NAME?</v>
      </c>
      <c r="T153" s="24" t="e">
        <f t="shared" si="50"/>
        <v>#NAME?</v>
      </c>
      <c r="U153" s="24" t="e">
        <f t="shared" si="50"/>
        <v>#NAME?</v>
      </c>
      <c r="V153" s="24" t="e">
        <f t="shared" si="50"/>
        <v>#NAME?</v>
      </c>
      <c r="W153" s="24" t="e">
        <f t="shared" si="50"/>
        <v>#NAME?</v>
      </c>
      <c r="X153" s="24" t="e">
        <f t="shared" si="50"/>
        <v>#NAME?</v>
      </c>
      <c r="Y153" s="24" t="e">
        <f t="shared" si="50"/>
        <v>#NAME?</v>
      </c>
      <c r="Z153" s="24" t="e">
        <f t="shared" si="50"/>
        <v>#NAME?</v>
      </c>
      <c r="AA153" s="24" t="e">
        <f t="shared" si="50"/>
        <v>#NAME?</v>
      </c>
      <c r="AB153" s="24" t="e">
        <f t="shared" si="50"/>
        <v>#NAME?</v>
      </c>
      <c r="AC153" s="24" t="e">
        <f t="shared" si="50"/>
        <v>#NAME?</v>
      </c>
      <c r="AD153" s="24" t="e">
        <f t="shared" si="50"/>
        <v>#NAME?</v>
      </c>
      <c r="AE153" s="24"/>
      <c r="AF153" s="109"/>
      <c r="AG153" s="109"/>
      <c r="AH153" s="109"/>
      <c r="AI153" s="109"/>
      <c r="AJ153" s="109"/>
      <c r="AK153" s="109"/>
      <c r="AL153" s="109"/>
      <c r="AM153" s="109"/>
      <c r="AN153" s="109"/>
      <c r="AO153" s="109"/>
    </row>
    <row r="154" spans="1:41" s="97" customFormat="1" x14ac:dyDescent="0.2">
      <c r="E154" s="97" t="s">
        <v>171</v>
      </c>
      <c r="H154" s="101"/>
      <c r="J154" s="98" t="s">
        <v>49</v>
      </c>
      <c r="L154" s="99"/>
      <c r="M154" s="101"/>
      <c r="N154" s="101"/>
      <c r="O154" s="101"/>
      <c r="P154" s="101"/>
      <c r="Q154" s="101"/>
      <c r="R154" s="96"/>
      <c r="S154" s="96">
        <f t="shared" ref="S154:AD154" si="51">Inputs_Basecase_TL1_Margin</f>
        <v>1.35E-2</v>
      </c>
      <c r="T154" s="96">
        <f t="shared" si="51"/>
        <v>1.35E-2</v>
      </c>
      <c r="U154" s="96">
        <f t="shared" si="51"/>
        <v>1.35E-2</v>
      </c>
      <c r="V154" s="96">
        <f t="shared" si="51"/>
        <v>1.35E-2</v>
      </c>
      <c r="W154" s="96">
        <f t="shared" si="51"/>
        <v>1.35E-2</v>
      </c>
      <c r="X154" s="96">
        <f t="shared" si="51"/>
        <v>1.35E-2</v>
      </c>
      <c r="Y154" s="96">
        <f t="shared" si="51"/>
        <v>1.35E-2</v>
      </c>
      <c r="Z154" s="96">
        <f t="shared" si="51"/>
        <v>1.35E-2</v>
      </c>
      <c r="AA154" s="96">
        <f t="shared" si="51"/>
        <v>1.35E-2</v>
      </c>
      <c r="AB154" s="96">
        <f t="shared" si="51"/>
        <v>1.35E-2</v>
      </c>
      <c r="AC154" s="96">
        <f t="shared" si="51"/>
        <v>1.35E-2</v>
      </c>
      <c r="AD154" s="96">
        <f t="shared" si="51"/>
        <v>1.35E-2</v>
      </c>
      <c r="AE154" s="96"/>
      <c r="AF154" s="101"/>
      <c r="AG154" s="101"/>
      <c r="AH154" s="101"/>
      <c r="AI154" s="101"/>
      <c r="AJ154" s="101"/>
      <c r="AK154" s="101"/>
      <c r="AL154" s="101"/>
      <c r="AM154" s="101"/>
      <c r="AN154" s="101"/>
      <c r="AO154" s="101"/>
    </row>
    <row r="155" spans="1:41" s="97" customFormat="1" ht="12.6" x14ac:dyDescent="0.25">
      <c r="C155" s="32"/>
      <c r="D155" s="32"/>
      <c r="E155" s="97" t="s">
        <v>170</v>
      </c>
      <c r="H155" s="101"/>
      <c r="J155" s="98" t="s">
        <v>49</v>
      </c>
      <c r="L155" s="99"/>
      <c r="N155" s="101"/>
      <c r="O155" s="101"/>
      <c r="P155" s="101"/>
      <c r="Q155" s="34"/>
      <c r="R155" s="24"/>
      <c r="S155" s="24" t="e">
        <f t="shared" ref="S155:AD155" si="52">+S154+S153</f>
        <v>#NAME?</v>
      </c>
      <c r="T155" s="24" t="e">
        <f t="shared" si="52"/>
        <v>#NAME?</v>
      </c>
      <c r="U155" s="24" t="e">
        <f t="shared" si="52"/>
        <v>#NAME?</v>
      </c>
      <c r="V155" s="24" t="e">
        <f t="shared" si="52"/>
        <v>#NAME?</v>
      </c>
      <c r="W155" s="24" t="e">
        <f t="shared" si="52"/>
        <v>#NAME?</v>
      </c>
      <c r="X155" s="24" t="e">
        <f t="shared" si="52"/>
        <v>#NAME?</v>
      </c>
      <c r="Y155" s="24" t="e">
        <f t="shared" si="52"/>
        <v>#NAME?</v>
      </c>
      <c r="Z155" s="24" t="e">
        <f t="shared" si="52"/>
        <v>#NAME?</v>
      </c>
      <c r="AA155" s="24" t="e">
        <f t="shared" si="52"/>
        <v>#NAME?</v>
      </c>
      <c r="AB155" s="24" t="e">
        <f t="shared" si="52"/>
        <v>#NAME?</v>
      </c>
      <c r="AC155" s="24" t="e">
        <f t="shared" si="52"/>
        <v>#NAME?</v>
      </c>
      <c r="AD155" s="24" t="e">
        <f t="shared" si="52"/>
        <v>#NAME?</v>
      </c>
      <c r="AE155" s="24"/>
      <c r="AF155" s="34"/>
      <c r="AG155" s="34"/>
      <c r="AH155" s="34"/>
      <c r="AI155" s="34"/>
      <c r="AJ155" s="34"/>
      <c r="AK155" s="34"/>
      <c r="AL155" s="34"/>
      <c r="AM155" s="34"/>
      <c r="AN155" s="34"/>
      <c r="AO155" s="34"/>
    </row>
    <row r="156" spans="1:41" s="97" customFormat="1" ht="12.6" x14ac:dyDescent="0.25">
      <c r="C156" s="20"/>
      <c r="D156" s="32"/>
      <c r="E156" s="27" t="s">
        <v>169</v>
      </c>
      <c r="F156" s="28"/>
      <c r="G156" s="28"/>
      <c r="H156" s="100"/>
      <c r="I156" s="28"/>
      <c r="J156" s="29" t="s">
        <v>49</v>
      </c>
      <c r="K156" s="28"/>
      <c r="L156" s="30"/>
      <c r="M156" s="100"/>
      <c r="N156" s="100"/>
      <c r="O156" s="100"/>
      <c r="P156" s="88"/>
      <c r="Q156" s="100"/>
      <c r="R156" s="183"/>
      <c r="S156" s="183" t="e">
        <f t="shared" ref="S156:AD156" si="53">((1+(S154+S153))^(1/12))-1</f>
        <v>#NAME?</v>
      </c>
      <c r="T156" s="183" t="e">
        <f t="shared" si="53"/>
        <v>#NAME?</v>
      </c>
      <c r="U156" s="183" t="e">
        <f t="shared" si="53"/>
        <v>#NAME?</v>
      </c>
      <c r="V156" s="183" t="e">
        <f t="shared" si="53"/>
        <v>#NAME?</v>
      </c>
      <c r="W156" s="183" t="e">
        <f t="shared" si="53"/>
        <v>#NAME?</v>
      </c>
      <c r="X156" s="183" t="e">
        <f t="shared" si="53"/>
        <v>#NAME?</v>
      </c>
      <c r="Y156" s="183" t="e">
        <f t="shared" si="53"/>
        <v>#NAME?</v>
      </c>
      <c r="Z156" s="183" t="e">
        <f t="shared" si="53"/>
        <v>#NAME?</v>
      </c>
      <c r="AA156" s="183" t="e">
        <f t="shared" si="53"/>
        <v>#NAME?</v>
      </c>
      <c r="AB156" s="183" t="e">
        <f t="shared" si="53"/>
        <v>#NAME?</v>
      </c>
      <c r="AC156" s="183" t="e">
        <f t="shared" si="53"/>
        <v>#NAME?</v>
      </c>
      <c r="AD156" s="183" t="e">
        <f t="shared" si="53"/>
        <v>#NAME?</v>
      </c>
      <c r="AE156" s="96"/>
      <c r="AF156" s="101"/>
      <c r="AG156" s="101"/>
      <c r="AH156" s="101"/>
      <c r="AI156" s="101"/>
      <c r="AJ156" s="101"/>
      <c r="AK156" s="101"/>
      <c r="AL156" s="101"/>
      <c r="AM156" s="101"/>
      <c r="AN156" s="101"/>
      <c r="AO156" s="101"/>
    </row>
    <row r="157" spans="1:41" s="97" customFormat="1" x14ac:dyDescent="0.2">
      <c r="H157" s="101"/>
      <c r="J157" s="98"/>
      <c r="L157" s="99"/>
      <c r="M157" s="101"/>
      <c r="N157" s="101"/>
      <c r="O157" s="101"/>
      <c r="P157" s="101"/>
      <c r="Q157" s="101"/>
      <c r="R157" s="24"/>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row>
    <row r="158" spans="1:41" s="97" customFormat="1" ht="12.6" x14ac:dyDescent="0.25">
      <c r="E158" s="32" t="s">
        <v>168</v>
      </c>
      <c r="H158" s="101"/>
      <c r="J158" s="98" t="s">
        <v>49</v>
      </c>
      <c r="L158" s="99"/>
      <c r="N158" s="109"/>
      <c r="O158" s="109"/>
      <c r="P158" s="109"/>
      <c r="Q158" s="109"/>
      <c r="R158" s="108"/>
      <c r="S158" s="108">
        <f t="shared" ref="S158:AD158" si="54">Inputs_Basecase_TL1_Commitment_Fee/12</f>
        <v>0</v>
      </c>
      <c r="T158" s="108">
        <f t="shared" si="54"/>
        <v>0</v>
      </c>
      <c r="U158" s="108">
        <f t="shared" si="54"/>
        <v>0</v>
      </c>
      <c r="V158" s="108">
        <f t="shared" si="54"/>
        <v>0</v>
      </c>
      <c r="W158" s="108">
        <f t="shared" si="54"/>
        <v>0</v>
      </c>
      <c r="X158" s="108">
        <f t="shared" si="54"/>
        <v>0</v>
      </c>
      <c r="Y158" s="108">
        <f t="shared" si="54"/>
        <v>0</v>
      </c>
      <c r="Z158" s="108">
        <f t="shared" si="54"/>
        <v>0</v>
      </c>
      <c r="AA158" s="108">
        <f t="shared" si="54"/>
        <v>0</v>
      </c>
      <c r="AB158" s="108">
        <f t="shared" si="54"/>
        <v>0</v>
      </c>
      <c r="AC158" s="108">
        <f t="shared" si="54"/>
        <v>0</v>
      </c>
      <c r="AD158" s="108">
        <f t="shared" si="54"/>
        <v>0</v>
      </c>
      <c r="AE158" s="109"/>
      <c r="AF158" s="109"/>
      <c r="AG158" s="109"/>
      <c r="AH158" s="109"/>
      <c r="AI158" s="109"/>
      <c r="AJ158" s="109"/>
      <c r="AK158" s="109"/>
      <c r="AL158" s="109"/>
      <c r="AM158" s="109"/>
      <c r="AN158" s="109"/>
      <c r="AO158" s="109"/>
    </row>
    <row r="159" spans="1:41" s="97" customFormat="1" x14ac:dyDescent="0.2">
      <c r="H159" s="101"/>
      <c r="J159" s="98"/>
      <c r="L159" s="99"/>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row>
    <row r="160" spans="1:41" s="97" customFormat="1" ht="12.6" x14ac:dyDescent="0.25">
      <c r="C160" s="32"/>
      <c r="D160" s="32" t="s">
        <v>167</v>
      </c>
      <c r="H160" s="101"/>
      <c r="J160" s="98" t="s">
        <v>1205</v>
      </c>
      <c r="L160" s="99" t="s">
        <v>223</v>
      </c>
      <c r="M160" s="101">
        <f>MAX(R161:AD161)</f>
        <v>249369</v>
      </c>
      <c r="O160" s="101"/>
      <c r="P160" s="101"/>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row>
    <row r="161" spans="3:41" s="97" customFormat="1" ht="12.6" x14ac:dyDescent="0.25">
      <c r="C161" s="20"/>
      <c r="D161" s="32" t="s">
        <v>166</v>
      </c>
      <c r="H161" s="101"/>
      <c r="J161" s="98" t="s">
        <v>1205</v>
      </c>
      <c r="L161" s="99"/>
      <c r="M161" s="101"/>
      <c r="N161" s="101"/>
      <c r="O161" s="101"/>
      <c r="P161" s="84"/>
      <c r="Q161" s="101"/>
      <c r="R161" s="101">
        <f>SUM($Q167:R167)</f>
        <v>249369</v>
      </c>
      <c r="S161" s="101">
        <f>SUM($Q167:S167)</f>
        <v>249369</v>
      </c>
      <c r="T161" s="101">
        <f>SUM($Q167:T167)</f>
        <v>249369</v>
      </c>
      <c r="U161" s="101">
        <f>SUM($Q167:U167)</f>
        <v>249369</v>
      </c>
      <c r="V161" s="101">
        <f>SUM($Q167:V167)</f>
        <v>249369</v>
      </c>
      <c r="W161" s="101">
        <f>SUM($Q167:W167)</f>
        <v>249369</v>
      </c>
      <c r="X161" s="101">
        <f>SUM($Q167:X167)</f>
        <v>249369</v>
      </c>
      <c r="Y161" s="101">
        <f>SUM($Q167:Y167)</f>
        <v>249369</v>
      </c>
      <c r="Z161" s="101">
        <f>SUM($Q167:Z167)</f>
        <v>249369</v>
      </c>
      <c r="AA161" s="101">
        <f>SUM($Q167:AA167)</f>
        <v>249369</v>
      </c>
      <c r="AB161" s="101">
        <f>SUM($Q167:AB167)</f>
        <v>249369</v>
      </c>
      <c r="AC161" s="101">
        <f>SUM($Q167:AC167)</f>
        <v>249369</v>
      </c>
      <c r="AD161" s="101">
        <f>SUM($Q167:AD167)</f>
        <v>249369</v>
      </c>
      <c r="AE161" s="101"/>
      <c r="AF161" s="101"/>
      <c r="AG161" s="101"/>
      <c r="AH161" s="101"/>
      <c r="AI161" s="101"/>
      <c r="AJ161" s="101"/>
      <c r="AK161" s="101"/>
      <c r="AL161" s="101"/>
      <c r="AM161" s="101"/>
      <c r="AN161" s="101"/>
      <c r="AO161" s="101"/>
    </row>
    <row r="162" spans="3:41" s="97" customFormat="1" x14ac:dyDescent="0.2">
      <c r="H162" s="101"/>
      <c r="J162" s="98"/>
      <c r="L162" s="99"/>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row>
    <row r="163" spans="3:41" s="97" customFormat="1" ht="12.6" x14ac:dyDescent="0.25">
      <c r="D163" s="32" t="s">
        <v>165</v>
      </c>
      <c r="H163" s="101"/>
      <c r="J163" s="98" t="s">
        <v>1205</v>
      </c>
      <c r="L163" s="99"/>
      <c r="N163" s="109"/>
      <c r="O163" s="109"/>
      <c r="P163" s="109"/>
      <c r="Q163" s="109"/>
      <c r="R163" s="101">
        <f t="shared" ref="R163:AD163" si="55">R150-R161</f>
        <v>0</v>
      </c>
      <c r="S163" s="101">
        <f t="shared" si="55"/>
        <v>0</v>
      </c>
      <c r="T163" s="101">
        <f t="shared" si="55"/>
        <v>0</v>
      </c>
      <c r="U163" s="101">
        <f t="shared" si="55"/>
        <v>0</v>
      </c>
      <c r="V163" s="101">
        <f t="shared" si="55"/>
        <v>0</v>
      </c>
      <c r="W163" s="101">
        <f t="shared" si="55"/>
        <v>0</v>
      </c>
      <c r="X163" s="101">
        <f t="shared" si="55"/>
        <v>0</v>
      </c>
      <c r="Y163" s="101">
        <f t="shared" si="55"/>
        <v>0</v>
      </c>
      <c r="Z163" s="101">
        <f t="shared" si="55"/>
        <v>0</v>
      </c>
      <c r="AA163" s="101">
        <f t="shared" si="55"/>
        <v>0</v>
      </c>
      <c r="AB163" s="101">
        <f t="shared" si="55"/>
        <v>0</v>
      </c>
      <c r="AC163" s="101">
        <f t="shared" si="55"/>
        <v>0</v>
      </c>
      <c r="AD163" s="101">
        <f t="shared" si="55"/>
        <v>0</v>
      </c>
      <c r="AE163" s="109"/>
      <c r="AF163" s="109"/>
      <c r="AG163" s="109"/>
      <c r="AH163" s="109"/>
      <c r="AI163" s="109"/>
      <c r="AJ163" s="109"/>
      <c r="AK163" s="109"/>
      <c r="AL163" s="109"/>
      <c r="AM163" s="109"/>
      <c r="AN163" s="109"/>
      <c r="AO163" s="109"/>
    </row>
    <row r="164" spans="3:41" s="97" customFormat="1" x14ac:dyDescent="0.2">
      <c r="H164" s="101"/>
      <c r="J164" s="98"/>
      <c r="L164" s="99"/>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row>
    <row r="165" spans="3:41" s="97" customFormat="1" ht="12.6" x14ac:dyDescent="0.25">
      <c r="C165" s="32"/>
      <c r="D165" s="32" t="s">
        <v>164</v>
      </c>
      <c r="H165" s="101"/>
      <c r="J165" s="98"/>
      <c r="L165" s="99"/>
      <c r="N165" s="101"/>
      <c r="O165" s="101"/>
      <c r="P165" s="101"/>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row>
    <row r="166" spans="3:41" s="97" customFormat="1" ht="12.6" x14ac:dyDescent="0.25">
      <c r="C166" s="20"/>
      <c r="D166" s="32"/>
      <c r="E166" s="97" t="s">
        <v>91</v>
      </c>
      <c r="H166" s="101"/>
      <c r="J166" s="98" t="s">
        <v>1205</v>
      </c>
      <c r="L166" s="99"/>
      <c r="M166" s="101"/>
      <c r="N166" s="101"/>
      <c r="O166" s="101"/>
      <c r="P166" s="84"/>
      <c r="Q166" s="101"/>
      <c r="R166" s="101">
        <f t="shared" ref="R166:AD166" si="56">Q178</f>
        <v>0</v>
      </c>
      <c r="S166" s="101">
        <f t="shared" si="56"/>
        <v>249369</v>
      </c>
      <c r="T166" s="101">
        <f t="shared" si="56"/>
        <v>249369</v>
      </c>
      <c r="U166" s="101">
        <f t="shared" si="56"/>
        <v>218197.875</v>
      </c>
      <c r="V166" s="101">
        <f t="shared" si="56"/>
        <v>187026.75</v>
      </c>
      <c r="W166" s="101">
        <f t="shared" si="56"/>
        <v>155855.625</v>
      </c>
      <c r="X166" s="101">
        <f t="shared" si="56"/>
        <v>124684.5</v>
      </c>
      <c r="Y166" s="101">
        <f t="shared" si="56"/>
        <v>93513.375</v>
      </c>
      <c r="Z166" s="101">
        <f t="shared" si="56"/>
        <v>62342.25</v>
      </c>
      <c r="AA166" s="101">
        <f t="shared" si="56"/>
        <v>31171.125</v>
      </c>
      <c r="AB166" s="101">
        <f t="shared" si="56"/>
        <v>0</v>
      </c>
      <c r="AC166" s="101">
        <f t="shared" si="56"/>
        <v>0</v>
      </c>
      <c r="AD166" s="101">
        <f t="shared" si="56"/>
        <v>0</v>
      </c>
      <c r="AE166" s="101"/>
      <c r="AF166" s="101"/>
      <c r="AG166" s="101"/>
      <c r="AH166" s="101"/>
      <c r="AI166" s="101"/>
      <c r="AJ166" s="101"/>
      <c r="AK166" s="101"/>
      <c r="AL166" s="101"/>
      <c r="AM166" s="101"/>
      <c r="AN166" s="101"/>
      <c r="AO166" s="101"/>
    </row>
    <row r="167" spans="3:41" s="97" customFormat="1" x14ac:dyDescent="0.2">
      <c r="E167" s="97" t="s">
        <v>163</v>
      </c>
      <c r="H167" s="101"/>
      <c r="J167" s="98" t="s">
        <v>1205</v>
      </c>
      <c r="L167" s="99" t="s">
        <v>222</v>
      </c>
      <c r="M167" s="101"/>
      <c r="N167" s="101"/>
      <c r="O167" s="101"/>
      <c r="P167" s="101"/>
      <c r="Q167" s="101"/>
      <c r="R167" s="101">
        <f>R178</f>
        <v>249369</v>
      </c>
      <c r="S167" s="101">
        <f t="shared" ref="S167:AD167" si="57">Inputs_Basecase_TL1_Drawdown</f>
        <v>0</v>
      </c>
      <c r="T167" s="101">
        <f t="shared" si="57"/>
        <v>0</v>
      </c>
      <c r="U167" s="101">
        <f t="shared" si="57"/>
        <v>0</v>
      </c>
      <c r="V167" s="101">
        <f t="shared" si="57"/>
        <v>0</v>
      </c>
      <c r="W167" s="101">
        <f t="shared" si="57"/>
        <v>0</v>
      </c>
      <c r="X167" s="101">
        <f t="shared" si="57"/>
        <v>0</v>
      </c>
      <c r="Y167" s="101">
        <f t="shared" si="57"/>
        <v>0</v>
      </c>
      <c r="Z167" s="101">
        <f t="shared" si="57"/>
        <v>0</v>
      </c>
      <c r="AA167" s="101">
        <f t="shared" si="57"/>
        <v>0</v>
      </c>
      <c r="AB167" s="101">
        <f t="shared" si="57"/>
        <v>0</v>
      </c>
      <c r="AC167" s="101">
        <f t="shared" si="57"/>
        <v>0</v>
      </c>
      <c r="AD167" s="101">
        <f t="shared" si="57"/>
        <v>0</v>
      </c>
      <c r="AE167" s="101"/>
      <c r="AF167" s="101"/>
      <c r="AG167" s="101"/>
      <c r="AH167" s="101"/>
      <c r="AI167" s="101"/>
      <c r="AJ167" s="101"/>
      <c r="AK167" s="101"/>
      <c r="AL167" s="101"/>
      <c r="AM167" s="101"/>
      <c r="AN167" s="101"/>
      <c r="AO167" s="101"/>
    </row>
    <row r="168" spans="3:41" s="97" customFormat="1" ht="12.6" x14ac:dyDescent="0.25">
      <c r="E168" s="27" t="s">
        <v>162</v>
      </c>
      <c r="F168" s="28"/>
      <c r="G168" s="28"/>
      <c r="H168" s="100"/>
      <c r="I168" s="28"/>
      <c r="J168" s="29" t="s">
        <v>1205</v>
      </c>
      <c r="K168" s="28"/>
      <c r="L168" s="30"/>
      <c r="M168" s="28"/>
      <c r="N168" s="87"/>
      <c r="O168" s="87"/>
      <c r="P168" s="87"/>
      <c r="Q168" s="87"/>
      <c r="R168" s="100">
        <f t="shared" ref="R168:AD168" si="58">SUM(R166:R167)</f>
        <v>249369</v>
      </c>
      <c r="S168" s="100">
        <f t="shared" si="58"/>
        <v>249369</v>
      </c>
      <c r="T168" s="100">
        <f t="shared" si="58"/>
        <v>249369</v>
      </c>
      <c r="U168" s="100">
        <f t="shared" si="58"/>
        <v>218197.875</v>
      </c>
      <c r="V168" s="100">
        <f t="shared" si="58"/>
        <v>187026.75</v>
      </c>
      <c r="W168" s="100">
        <f t="shared" si="58"/>
        <v>155855.625</v>
      </c>
      <c r="X168" s="100">
        <f t="shared" si="58"/>
        <v>124684.5</v>
      </c>
      <c r="Y168" s="100">
        <f t="shared" si="58"/>
        <v>93513.375</v>
      </c>
      <c r="Z168" s="100">
        <f t="shared" si="58"/>
        <v>62342.25</v>
      </c>
      <c r="AA168" s="100">
        <f t="shared" si="58"/>
        <v>31171.125</v>
      </c>
      <c r="AB168" s="100">
        <f t="shared" si="58"/>
        <v>0</v>
      </c>
      <c r="AC168" s="100">
        <f t="shared" si="58"/>
        <v>0</v>
      </c>
      <c r="AD168" s="100">
        <f t="shared" si="58"/>
        <v>0</v>
      </c>
      <c r="AE168" s="109"/>
      <c r="AF168" s="109"/>
      <c r="AG168" s="109"/>
      <c r="AH168" s="109"/>
      <c r="AI168" s="109"/>
      <c r="AJ168" s="109"/>
      <c r="AK168" s="109"/>
      <c r="AL168" s="109"/>
      <c r="AM168" s="109"/>
      <c r="AN168" s="109"/>
      <c r="AO168" s="109"/>
    </row>
    <row r="169" spans="3:41" s="97" customFormat="1" x14ac:dyDescent="0.2">
      <c r="H169" s="101"/>
      <c r="J169" s="98"/>
      <c r="L169" s="99"/>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row>
    <row r="170" spans="3:41" s="97" customFormat="1" ht="12.6" x14ac:dyDescent="0.25">
      <c r="D170" s="32" t="s">
        <v>161</v>
      </c>
      <c r="H170" s="101"/>
      <c r="L170" s="99"/>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row>
    <row r="171" spans="3:41" s="97" customFormat="1" ht="12.6" x14ac:dyDescent="0.25">
      <c r="C171" s="20"/>
      <c r="D171" s="32"/>
      <c r="E171" s="97" t="s">
        <v>160</v>
      </c>
      <c r="H171" s="101"/>
      <c r="J171" s="98" t="s">
        <v>1205</v>
      </c>
      <c r="L171" s="99"/>
      <c r="M171" s="101"/>
      <c r="N171" s="101"/>
      <c r="O171" s="101"/>
      <c r="P171" s="84"/>
      <c r="Q171" s="101"/>
      <c r="R171" s="108"/>
      <c r="S171" s="108">
        <f t="shared" ref="S171:AD171" si="59">Inputs_Basecase_TL1_Repayment_Principal</f>
        <v>0</v>
      </c>
      <c r="T171" s="108">
        <f t="shared" si="59"/>
        <v>0.125</v>
      </c>
      <c r="U171" s="108">
        <f t="shared" si="59"/>
        <v>0.125</v>
      </c>
      <c r="V171" s="108">
        <f t="shared" si="59"/>
        <v>0.125</v>
      </c>
      <c r="W171" s="108">
        <f t="shared" si="59"/>
        <v>0.125</v>
      </c>
      <c r="X171" s="108">
        <f t="shared" si="59"/>
        <v>0.125</v>
      </c>
      <c r="Y171" s="108">
        <f t="shared" si="59"/>
        <v>0.125</v>
      </c>
      <c r="Z171" s="108">
        <f t="shared" si="59"/>
        <v>0.125</v>
      </c>
      <c r="AA171" s="108">
        <f t="shared" si="59"/>
        <v>0.125</v>
      </c>
      <c r="AB171" s="108">
        <f t="shared" si="59"/>
        <v>0</v>
      </c>
      <c r="AC171" s="108">
        <f t="shared" si="59"/>
        <v>0</v>
      </c>
      <c r="AD171" s="108">
        <f t="shared" si="59"/>
        <v>0</v>
      </c>
      <c r="AE171" s="101"/>
      <c r="AF171" s="101"/>
      <c r="AG171" s="101"/>
      <c r="AH171" s="101"/>
      <c r="AI171" s="101"/>
      <c r="AJ171" s="101"/>
      <c r="AK171" s="101"/>
      <c r="AL171" s="101"/>
      <c r="AM171" s="101"/>
      <c r="AN171" s="101"/>
      <c r="AO171" s="101"/>
    </row>
    <row r="172" spans="3:41" s="97" customFormat="1" x14ac:dyDescent="0.2">
      <c r="E172" s="97" t="s">
        <v>146</v>
      </c>
      <c r="H172" s="101"/>
      <c r="J172" s="98" t="s">
        <v>1205</v>
      </c>
      <c r="L172" s="99"/>
      <c r="M172" s="101"/>
      <c r="N172" s="101"/>
      <c r="O172" s="101"/>
      <c r="P172" s="101"/>
      <c r="Q172" s="101"/>
      <c r="R172" s="101"/>
      <c r="S172" s="101">
        <f>-(Inputs_Basecase_TL1_Repayment_Principal*Finance_TL1_Total)</f>
        <v>0</v>
      </c>
      <c r="T172" s="101">
        <f t="shared" ref="T172:AD172" si="60">-Inputs_Basecase_TL1_Repayment_Principal*Finance_TL1_Total</f>
        <v>-31171.125</v>
      </c>
      <c r="U172" s="101">
        <f t="shared" si="60"/>
        <v>-31171.125</v>
      </c>
      <c r="V172" s="101">
        <f t="shared" si="60"/>
        <v>-31171.125</v>
      </c>
      <c r="W172" s="101">
        <f t="shared" si="60"/>
        <v>-31171.125</v>
      </c>
      <c r="X172" s="101">
        <f t="shared" si="60"/>
        <v>-31171.125</v>
      </c>
      <c r="Y172" s="101">
        <f t="shared" si="60"/>
        <v>-31171.125</v>
      </c>
      <c r="Z172" s="101">
        <f t="shared" si="60"/>
        <v>-31171.125</v>
      </c>
      <c r="AA172" s="101">
        <f t="shared" si="60"/>
        <v>-31171.125</v>
      </c>
      <c r="AB172" s="101">
        <f t="shared" si="60"/>
        <v>0</v>
      </c>
      <c r="AC172" s="101">
        <f t="shared" si="60"/>
        <v>0</v>
      </c>
      <c r="AD172" s="101">
        <f t="shared" si="60"/>
        <v>0</v>
      </c>
      <c r="AE172" s="101"/>
      <c r="AF172" s="101"/>
      <c r="AG172" s="101"/>
      <c r="AH172" s="101"/>
      <c r="AI172" s="101"/>
      <c r="AJ172" s="101"/>
      <c r="AK172" s="101"/>
      <c r="AL172" s="101"/>
      <c r="AM172" s="101"/>
      <c r="AN172" s="101"/>
      <c r="AO172" s="101"/>
    </row>
    <row r="173" spans="3:41" s="97" customFormat="1" ht="12.6" x14ac:dyDescent="0.25">
      <c r="E173" s="27" t="s">
        <v>159</v>
      </c>
      <c r="F173" s="28"/>
      <c r="G173" s="28"/>
      <c r="H173" s="100"/>
      <c r="I173" s="28"/>
      <c r="J173" s="29" t="s">
        <v>1205</v>
      </c>
      <c r="K173" s="28"/>
      <c r="L173" s="30" t="s">
        <v>221</v>
      </c>
      <c r="M173" s="28"/>
      <c r="N173" s="87"/>
      <c r="O173" s="87"/>
      <c r="P173" s="87"/>
      <c r="Q173" s="87"/>
      <c r="R173" s="100"/>
      <c r="S173" s="100">
        <f t="shared" ref="S173:AD173" si="61">IF(-S172&lt;S168,S172,-S168)</f>
        <v>0</v>
      </c>
      <c r="T173" s="100">
        <f t="shared" si="61"/>
        <v>-31171.125</v>
      </c>
      <c r="U173" s="100">
        <f t="shared" si="61"/>
        <v>-31171.125</v>
      </c>
      <c r="V173" s="100">
        <f t="shared" si="61"/>
        <v>-31171.125</v>
      </c>
      <c r="W173" s="100">
        <f t="shared" si="61"/>
        <v>-31171.125</v>
      </c>
      <c r="X173" s="100">
        <f t="shared" si="61"/>
        <v>-31171.125</v>
      </c>
      <c r="Y173" s="100">
        <f t="shared" si="61"/>
        <v>-31171.125</v>
      </c>
      <c r="Z173" s="100">
        <f t="shared" si="61"/>
        <v>-31171.125</v>
      </c>
      <c r="AA173" s="100">
        <f t="shared" si="61"/>
        <v>-31171.125</v>
      </c>
      <c r="AB173" s="100">
        <f t="shared" si="61"/>
        <v>0</v>
      </c>
      <c r="AC173" s="100">
        <f t="shared" si="61"/>
        <v>0</v>
      </c>
      <c r="AD173" s="100">
        <f t="shared" si="61"/>
        <v>0</v>
      </c>
      <c r="AE173" s="109"/>
      <c r="AF173" s="109"/>
      <c r="AG173" s="109"/>
      <c r="AH173" s="109"/>
      <c r="AI173" s="109"/>
      <c r="AJ173" s="109"/>
      <c r="AK173" s="109"/>
      <c r="AL173" s="109"/>
      <c r="AM173" s="109"/>
      <c r="AN173" s="109"/>
      <c r="AO173" s="109"/>
    </row>
    <row r="174" spans="3:41" s="97" customFormat="1" x14ac:dyDescent="0.2">
      <c r="H174" s="101"/>
      <c r="J174" s="98"/>
      <c r="L174" s="99"/>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row>
    <row r="175" spans="3:41" s="97" customFormat="1" ht="12.6" x14ac:dyDescent="0.25">
      <c r="D175" s="27" t="s">
        <v>158</v>
      </c>
      <c r="E175" s="28"/>
      <c r="F175" s="28"/>
      <c r="G175" s="28"/>
      <c r="H175" s="100"/>
      <c r="I175" s="28"/>
      <c r="J175" s="29" t="s">
        <v>1205</v>
      </c>
      <c r="K175" s="28"/>
      <c r="L175" s="30" t="s">
        <v>219</v>
      </c>
      <c r="M175" s="100"/>
      <c r="N175" s="100"/>
      <c r="O175" s="100"/>
      <c r="P175" s="100"/>
      <c r="Q175" s="100"/>
      <c r="R175" s="100"/>
      <c r="S175" s="100">
        <f t="shared" ref="S175:AD175" si="62">S168+S173</f>
        <v>249369</v>
      </c>
      <c r="T175" s="100">
        <f t="shared" si="62"/>
        <v>218197.875</v>
      </c>
      <c r="U175" s="100">
        <f t="shared" si="62"/>
        <v>187026.75</v>
      </c>
      <c r="V175" s="100">
        <f t="shared" si="62"/>
        <v>155855.625</v>
      </c>
      <c r="W175" s="100">
        <f t="shared" si="62"/>
        <v>124684.5</v>
      </c>
      <c r="X175" s="100">
        <f t="shared" si="62"/>
        <v>93513.375</v>
      </c>
      <c r="Y175" s="100">
        <f t="shared" si="62"/>
        <v>62342.25</v>
      </c>
      <c r="Z175" s="100">
        <f t="shared" si="62"/>
        <v>31171.125</v>
      </c>
      <c r="AA175" s="100">
        <f t="shared" si="62"/>
        <v>0</v>
      </c>
      <c r="AB175" s="100">
        <f t="shared" si="62"/>
        <v>0</v>
      </c>
      <c r="AC175" s="100">
        <f t="shared" si="62"/>
        <v>0</v>
      </c>
      <c r="AD175" s="100">
        <f t="shared" si="62"/>
        <v>0</v>
      </c>
      <c r="AE175" s="101"/>
      <c r="AF175" s="101"/>
      <c r="AG175" s="101"/>
      <c r="AH175" s="101"/>
      <c r="AI175" s="101"/>
      <c r="AJ175" s="101"/>
      <c r="AK175" s="101"/>
      <c r="AL175" s="101"/>
      <c r="AM175" s="101"/>
      <c r="AN175" s="101"/>
      <c r="AO175" s="101"/>
    </row>
    <row r="176" spans="3:41" s="97" customFormat="1" ht="12.6" x14ac:dyDescent="0.25">
      <c r="D176" s="32"/>
      <c r="E176" s="32"/>
      <c r="F176" s="32"/>
      <c r="G176" s="32"/>
      <c r="H176" s="103"/>
      <c r="I176" s="32"/>
      <c r="J176" s="37"/>
      <c r="K176" s="32"/>
      <c r="L176" s="99"/>
      <c r="M176" s="103"/>
      <c r="N176" s="103"/>
      <c r="O176" s="103"/>
      <c r="P176" s="103"/>
      <c r="Q176" s="103"/>
      <c r="R176" s="103"/>
      <c r="S176" s="103"/>
      <c r="T176" s="103"/>
      <c r="U176" s="103"/>
      <c r="V176" s="103"/>
      <c r="W176" s="103"/>
      <c r="X176" s="103"/>
      <c r="Y176" s="103"/>
      <c r="Z176" s="103"/>
      <c r="AA176" s="103"/>
      <c r="AB176" s="103"/>
      <c r="AC176" s="103"/>
      <c r="AD176" s="103"/>
      <c r="AE176" s="103"/>
      <c r="AF176" s="103"/>
      <c r="AG176" s="103"/>
      <c r="AH176" s="103"/>
      <c r="AI176" s="103"/>
      <c r="AJ176" s="103"/>
      <c r="AK176" s="103"/>
      <c r="AL176" s="103"/>
      <c r="AM176" s="103"/>
      <c r="AN176" s="103"/>
      <c r="AO176" s="103"/>
    </row>
    <row r="177" spans="2:41" s="97" customFormat="1" x14ac:dyDescent="0.2">
      <c r="E177" s="97" t="s">
        <v>157</v>
      </c>
      <c r="H177" s="101"/>
      <c r="J177" s="98"/>
      <c r="L177" s="99" t="s">
        <v>220</v>
      </c>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row>
    <row r="178" spans="2:41" s="97" customFormat="1" ht="13.2" thickBot="1" x14ac:dyDescent="0.3">
      <c r="D178" s="36" t="s">
        <v>156</v>
      </c>
      <c r="E178" s="58"/>
      <c r="F178" s="58"/>
      <c r="G178" s="58"/>
      <c r="H178" s="105"/>
      <c r="I178" s="58"/>
      <c r="J178" s="59" t="s">
        <v>1205</v>
      </c>
      <c r="K178" s="58"/>
      <c r="L178" s="60" t="s">
        <v>219</v>
      </c>
      <c r="M178" s="105"/>
      <c r="N178" s="105"/>
      <c r="O178" s="182"/>
      <c r="P178" s="182"/>
      <c r="Q178" s="200"/>
      <c r="R178" s="105">
        <f>Act_BS_Debt_LT1</f>
        <v>249369</v>
      </c>
      <c r="S178" s="105">
        <f t="shared" ref="S178:AD178" si="63">S175-S177</f>
        <v>249369</v>
      </c>
      <c r="T178" s="105">
        <f t="shared" si="63"/>
        <v>218197.875</v>
      </c>
      <c r="U178" s="105">
        <f t="shared" si="63"/>
        <v>187026.75</v>
      </c>
      <c r="V178" s="105">
        <f t="shared" si="63"/>
        <v>155855.625</v>
      </c>
      <c r="W178" s="105">
        <f t="shared" si="63"/>
        <v>124684.5</v>
      </c>
      <c r="X178" s="105">
        <f t="shared" si="63"/>
        <v>93513.375</v>
      </c>
      <c r="Y178" s="105">
        <f t="shared" si="63"/>
        <v>62342.25</v>
      </c>
      <c r="Z178" s="105">
        <f t="shared" si="63"/>
        <v>31171.125</v>
      </c>
      <c r="AA178" s="105">
        <f t="shared" si="63"/>
        <v>0</v>
      </c>
      <c r="AB178" s="105">
        <f t="shared" si="63"/>
        <v>0</v>
      </c>
      <c r="AC178" s="105">
        <f t="shared" si="63"/>
        <v>0</v>
      </c>
      <c r="AD178" s="105">
        <f t="shared" si="63"/>
        <v>0</v>
      </c>
      <c r="AE178" s="34"/>
      <c r="AF178" s="34"/>
      <c r="AG178" s="34"/>
      <c r="AH178" s="34"/>
      <c r="AI178" s="34"/>
      <c r="AJ178" s="34"/>
      <c r="AK178" s="34"/>
      <c r="AL178" s="34"/>
      <c r="AM178" s="34"/>
      <c r="AN178" s="34"/>
      <c r="AO178" s="34"/>
    </row>
    <row r="179" spans="2:41" s="97" customFormat="1" x14ac:dyDescent="0.2">
      <c r="H179" s="101"/>
      <c r="J179" s="98"/>
      <c r="L179" s="99"/>
      <c r="M179" s="101"/>
      <c r="N179" s="101"/>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row>
    <row r="180" spans="2:41" s="97" customFormat="1" ht="12.6" x14ac:dyDescent="0.25">
      <c r="D180" s="32" t="s">
        <v>155</v>
      </c>
      <c r="H180" s="101"/>
      <c r="J180" s="98"/>
      <c r="L180" s="99"/>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row>
    <row r="181" spans="2:41" s="97" customFormat="1" x14ac:dyDescent="0.2">
      <c r="B181" s="20"/>
      <c r="C181" s="20"/>
      <c r="D181" s="20"/>
      <c r="E181" s="97" t="s">
        <v>154</v>
      </c>
      <c r="J181" s="98" t="s">
        <v>1205</v>
      </c>
      <c r="L181" s="99" t="s">
        <v>218</v>
      </c>
      <c r="N181" s="21"/>
      <c r="O181" s="21"/>
      <c r="P181" s="21"/>
      <c r="Q181" s="101"/>
      <c r="R181" s="101">
        <f t="shared" ref="R181:AD181" si="64">IF(R178&gt;0,IF(((S173)*-1)&gt;R168,R168,0-(S173)),0)</f>
        <v>0</v>
      </c>
      <c r="S181" s="101">
        <f t="shared" si="64"/>
        <v>31171.125</v>
      </c>
      <c r="T181" s="101">
        <f t="shared" si="64"/>
        <v>31171.125</v>
      </c>
      <c r="U181" s="101">
        <f t="shared" si="64"/>
        <v>31171.125</v>
      </c>
      <c r="V181" s="101">
        <f t="shared" si="64"/>
        <v>31171.125</v>
      </c>
      <c r="W181" s="101">
        <f t="shared" si="64"/>
        <v>31171.125</v>
      </c>
      <c r="X181" s="101">
        <f t="shared" si="64"/>
        <v>31171.125</v>
      </c>
      <c r="Y181" s="101">
        <f t="shared" si="64"/>
        <v>31171.125</v>
      </c>
      <c r="Z181" s="101">
        <f t="shared" si="64"/>
        <v>31171.125</v>
      </c>
      <c r="AA181" s="101">
        <f t="shared" si="64"/>
        <v>0</v>
      </c>
      <c r="AB181" s="101">
        <f t="shared" si="64"/>
        <v>0</v>
      </c>
      <c r="AC181" s="101">
        <f t="shared" si="64"/>
        <v>0</v>
      </c>
      <c r="AD181" s="21">
        <f t="shared" si="64"/>
        <v>0</v>
      </c>
      <c r="AE181" s="21"/>
      <c r="AF181" s="21"/>
      <c r="AG181" s="21"/>
      <c r="AH181" s="21"/>
      <c r="AI181" s="21"/>
      <c r="AJ181" s="21"/>
      <c r="AK181" s="21"/>
      <c r="AL181" s="21"/>
      <c r="AM181" s="21"/>
      <c r="AN181" s="21"/>
      <c r="AO181" s="21"/>
    </row>
    <row r="182" spans="2:41" s="97" customFormat="1" x14ac:dyDescent="0.2">
      <c r="E182" s="97" t="s">
        <v>153</v>
      </c>
      <c r="H182" s="101"/>
      <c r="J182" s="98" t="s">
        <v>1205</v>
      </c>
      <c r="L182" s="99" t="s">
        <v>217</v>
      </c>
      <c r="M182" s="101"/>
      <c r="N182" s="101"/>
      <c r="O182" s="101"/>
      <c r="P182" s="101"/>
      <c r="Q182" s="101"/>
      <c r="R182" s="101">
        <f t="shared" ref="R182:AD182" si="65">R178-R181</f>
        <v>249369</v>
      </c>
      <c r="S182" s="101">
        <f t="shared" si="65"/>
        <v>218197.875</v>
      </c>
      <c r="T182" s="101">
        <f t="shared" si="65"/>
        <v>187026.75</v>
      </c>
      <c r="U182" s="101">
        <f t="shared" si="65"/>
        <v>155855.625</v>
      </c>
      <c r="V182" s="101">
        <f t="shared" si="65"/>
        <v>124684.5</v>
      </c>
      <c r="W182" s="101">
        <f t="shared" si="65"/>
        <v>93513.375</v>
      </c>
      <c r="X182" s="101">
        <f t="shared" si="65"/>
        <v>62342.25</v>
      </c>
      <c r="Y182" s="101">
        <f t="shared" si="65"/>
        <v>31171.125</v>
      </c>
      <c r="Z182" s="101">
        <f t="shared" si="65"/>
        <v>0</v>
      </c>
      <c r="AA182" s="101">
        <f t="shared" si="65"/>
        <v>0</v>
      </c>
      <c r="AB182" s="101">
        <f t="shared" si="65"/>
        <v>0</v>
      </c>
      <c r="AC182" s="101">
        <f t="shared" si="65"/>
        <v>0</v>
      </c>
      <c r="AD182" s="101">
        <f t="shared" si="65"/>
        <v>0</v>
      </c>
      <c r="AE182" s="101"/>
      <c r="AF182" s="101"/>
      <c r="AG182" s="101"/>
      <c r="AH182" s="101"/>
      <c r="AI182" s="101"/>
      <c r="AJ182" s="101"/>
      <c r="AK182" s="101"/>
      <c r="AL182" s="101"/>
      <c r="AM182" s="101"/>
      <c r="AN182" s="101"/>
      <c r="AO182" s="101"/>
    </row>
    <row r="183" spans="2:41" s="97" customFormat="1" x14ac:dyDescent="0.2">
      <c r="H183" s="101"/>
      <c r="J183" s="98"/>
      <c r="L183" s="99"/>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row>
    <row r="184" spans="2:41" s="97" customFormat="1" ht="12.6" x14ac:dyDescent="0.25">
      <c r="D184" s="32" t="s">
        <v>152</v>
      </c>
      <c r="H184" s="101"/>
      <c r="J184" s="98" t="s">
        <v>20</v>
      </c>
      <c r="L184" s="99"/>
      <c r="M184" s="101"/>
      <c r="N184" s="101"/>
      <c r="O184" s="101"/>
      <c r="P184" s="101"/>
      <c r="Q184" s="101"/>
      <c r="R184" s="101">
        <f t="shared" ref="R184:AD184" si="66">Inputs_Basecase_TL1_Months_Oustanding</f>
        <v>0</v>
      </c>
      <c r="S184" s="101">
        <f t="shared" si="66"/>
        <v>12</v>
      </c>
      <c r="T184" s="101">
        <f t="shared" si="66"/>
        <v>12</v>
      </c>
      <c r="U184" s="101">
        <f t="shared" si="66"/>
        <v>12</v>
      </c>
      <c r="V184" s="101">
        <f t="shared" si="66"/>
        <v>12</v>
      </c>
      <c r="W184" s="101">
        <f t="shared" si="66"/>
        <v>12</v>
      </c>
      <c r="X184" s="101">
        <f t="shared" si="66"/>
        <v>12</v>
      </c>
      <c r="Y184" s="101">
        <f t="shared" si="66"/>
        <v>12</v>
      </c>
      <c r="Z184" s="101">
        <f t="shared" si="66"/>
        <v>12</v>
      </c>
      <c r="AA184" s="101">
        <f t="shared" si="66"/>
        <v>12</v>
      </c>
      <c r="AB184" s="101">
        <f t="shared" si="66"/>
        <v>12</v>
      </c>
      <c r="AC184" s="101">
        <f t="shared" si="66"/>
        <v>12</v>
      </c>
      <c r="AD184" s="101">
        <f t="shared" si="66"/>
        <v>12</v>
      </c>
      <c r="AE184" s="108"/>
      <c r="AF184" s="108"/>
      <c r="AG184" s="108"/>
      <c r="AH184" s="108"/>
      <c r="AI184" s="108"/>
      <c r="AJ184" s="108"/>
      <c r="AK184" s="108"/>
      <c r="AL184" s="108"/>
      <c r="AM184" s="108"/>
      <c r="AN184" s="108"/>
      <c r="AO184" s="108"/>
    </row>
    <row r="185" spans="2:41" s="97" customFormat="1" x14ac:dyDescent="0.2">
      <c r="H185" s="101"/>
      <c r="J185" s="98"/>
      <c r="L185" s="99"/>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row>
    <row r="186" spans="2:41" s="97" customFormat="1" ht="12.6" x14ac:dyDescent="0.25">
      <c r="D186" s="32" t="s">
        <v>151</v>
      </c>
      <c r="H186" s="101"/>
      <c r="J186" s="98"/>
      <c r="L186" s="99"/>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row>
    <row r="187" spans="2:41" s="97" customFormat="1" x14ac:dyDescent="0.2">
      <c r="E187" s="97" t="s">
        <v>150</v>
      </c>
      <c r="H187" s="101"/>
      <c r="J187" s="98" t="s">
        <v>1205</v>
      </c>
      <c r="L187" s="99" t="s">
        <v>216</v>
      </c>
      <c r="M187" s="101"/>
      <c r="N187" s="101"/>
      <c r="O187" s="101"/>
      <c r="P187" s="101"/>
      <c r="Q187" s="181"/>
      <c r="R187" s="21"/>
      <c r="S187" s="21">
        <f t="shared" ref="S187:AD187" si="67">IF(AND(Inputs_Basecase_TL1_Availability_Start_Date&gt;R$5,Inputs_Basecase_TL1_Availability_Start_Date&lt;S$5),-Inputs_Basecase_TL1_Arrangement_Fee*Inputs_Basecase_TL1_Maximum_Facility,0)</f>
        <v>0</v>
      </c>
      <c r="T187" s="21">
        <f t="shared" si="67"/>
        <v>0</v>
      </c>
      <c r="U187" s="21">
        <f t="shared" si="67"/>
        <v>0</v>
      </c>
      <c r="V187" s="21">
        <f t="shared" si="67"/>
        <v>0</v>
      </c>
      <c r="W187" s="21">
        <f t="shared" si="67"/>
        <v>0</v>
      </c>
      <c r="X187" s="21">
        <f t="shared" si="67"/>
        <v>0</v>
      </c>
      <c r="Y187" s="21">
        <f t="shared" si="67"/>
        <v>0</v>
      </c>
      <c r="Z187" s="21">
        <f t="shared" si="67"/>
        <v>0</v>
      </c>
      <c r="AA187" s="21">
        <f t="shared" si="67"/>
        <v>0</v>
      </c>
      <c r="AB187" s="21">
        <f t="shared" si="67"/>
        <v>0</v>
      </c>
      <c r="AC187" s="21">
        <f t="shared" si="67"/>
        <v>0</v>
      </c>
      <c r="AD187" s="21">
        <f t="shared" si="67"/>
        <v>0</v>
      </c>
      <c r="AE187" s="181"/>
      <c r="AF187" s="181"/>
      <c r="AG187" s="181"/>
      <c r="AH187" s="181"/>
      <c r="AI187" s="181"/>
      <c r="AJ187" s="181"/>
      <c r="AK187" s="181"/>
      <c r="AL187" s="181"/>
      <c r="AM187" s="181"/>
      <c r="AN187" s="181"/>
      <c r="AO187" s="181"/>
    </row>
    <row r="188" spans="2:41" s="97" customFormat="1" x14ac:dyDescent="0.2">
      <c r="E188" s="97" t="s">
        <v>149</v>
      </c>
      <c r="H188" s="101"/>
      <c r="J188" s="98" t="s">
        <v>1205</v>
      </c>
      <c r="L188" s="99" t="s">
        <v>215</v>
      </c>
      <c r="M188" s="101"/>
      <c r="N188" s="101"/>
      <c r="O188" s="101"/>
      <c r="P188" s="101"/>
      <c r="Q188" s="101"/>
      <c r="R188" s="101"/>
      <c r="S188" s="101">
        <f t="shared" ref="S188:AD188" si="68">-((R163+S163)/2)*(S158*S184)</f>
        <v>0</v>
      </c>
      <c r="T188" s="101">
        <f t="shared" si="68"/>
        <v>0</v>
      </c>
      <c r="U188" s="101">
        <f t="shared" si="68"/>
        <v>0</v>
      </c>
      <c r="V188" s="101">
        <f t="shared" si="68"/>
        <v>0</v>
      </c>
      <c r="W188" s="101">
        <f t="shared" si="68"/>
        <v>0</v>
      </c>
      <c r="X188" s="101">
        <f t="shared" si="68"/>
        <v>0</v>
      </c>
      <c r="Y188" s="101">
        <f t="shared" si="68"/>
        <v>0</v>
      </c>
      <c r="Z188" s="101">
        <f t="shared" si="68"/>
        <v>0</v>
      </c>
      <c r="AA188" s="101">
        <f t="shared" si="68"/>
        <v>0</v>
      </c>
      <c r="AB188" s="101">
        <f t="shared" si="68"/>
        <v>0</v>
      </c>
      <c r="AC188" s="101">
        <f t="shared" si="68"/>
        <v>0</v>
      </c>
      <c r="AD188" s="101">
        <f t="shared" si="68"/>
        <v>0</v>
      </c>
      <c r="AE188" s="101"/>
      <c r="AF188" s="101"/>
      <c r="AG188" s="101"/>
      <c r="AH188" s="101"/>
      <c r="AI188" s="101"/>
      <c r="AJ188" s="101"/>
      <c r="AK188" s="101"/>
      <c r="AL188" s="101"/>
      <c r="AM188" s="101"/>
      <c r="AN188" s="101"/>
      <c r="AO188" s="101"/>
    </row>
    <row r="189" spans="2:41" s="97" customFormat="1" x14ac:dyDescent="0.2">
      <c r="E189" s="28" t="s">
        <v>148</v>
      </c>
      <c r="F189" s="28"/>
      <c r="G189" s="28"/>
      <c r="H189" s="100"/>
      <c r="I189" s="28"/>
      <c r="J189" s="29" t="s">
        <v>1205</v>
      </c>
      <c r="K189" s="28"/>
      <c r="L189" s="30"/>
      <c r="M189" s="100"/>
      <c r="N189" s="100"/>
      <c r="O189" s="100"/>
      <c r="P189" s="100"/>
      <c r="Q189" s="100"/>
      <c r="R189" s="100">
        <f t="shared" ref="R189:AD189" si="69">R187+R188</f>
        <v>0</v>
      </c>
      <c r="S189" s="100">
        <f t="shared" si="69"/>
        <v>0</v>
      </c>
      <c r="T189" s="100">
        <f t="shared" si="69"/>
        <v>0</v>
      </c>
      <c r="U189" s="100">
        <f t="shared" si="69"/>
        <v>0</v>
      </c>
      <c r="V189" s="100">
        <f t="shared" si="69"/>
        <v>0</v>
      </c>
      <c r="W189" s="100">
        <f t="shared" si="69"/>
        <v>0</v>
      </c>
      <c r="X189" s="100">
        <f t="shared" si="69"/>
        <v>0</v>
      </c>
      <c r="Y189" s="100">
        <f t="shared" si="69"/>
        <v>0</v>
      </c>
      <c r="Z189" s="100">
        <f t="shared" si="69"/>
        <v>0</v>
      </c>
      <c r="AA189" s="100">
        <f t="shared" si="69"/>
        <v>0</v>
      </c>
      <c r="AB189" s="100">
        <f t="shared" si="69"/>
        <v>0</v>
      </c>
      <c r="AC189" s="100">
        <f t="shared" si="69"/>
        <v>0</v>
      </c>
      <c r="AD189" s="100">
        <f t="shared" si="69"/>
        <v>0</v>
      </c>
      <c r="AE189" s="101"/>
      <c r="AF189" s="101"/>
      <c r="AG189" s="101"/>
      <c r="AH189" s="101"/>
      <c r="AI189" s="101"/>
      <c r="AJ189" s="101"/>
      <c r="AK189" s="101"/>
      <c r="AL189" s="101"/>
      <c r="AM189" s="101"/>
      <c r="AN189" s="101"/>
      <c r="AO189" s="101"/>
    </row>
    <row r="190" spans="2:41" s="97" customFormat="1" x14ac:dyDescent="0.2">
      <c r="E190" s="20"/>
      <c r="H190" s="101"/>
      <c r="J190" s="98"/>
      <c r="L190" s="99"/>
      <c r="M190" s="101"/>
      <c r="N190" s="101"/>
      <c r="O190" s="101"/>
      <c r="P190" s="101"/>
      <c r="Q190" s="113"/>
      <c r="R190" s="113"/>
      <c r="S190" s="113"/>
      <c r="T190" s="113"/>
      <c r="U190" s="113"/>
      <c r="V190" s="113"/>
      <c r="W190" s="113"/>
      <c r="X190" s="113"/>
      <c r="Y190" s="113"/>
      <c r="Z190" s="113"/>
      <c r="AA190" s="113"/>
      <c r="AB190" s="113"/>
      <c r="AC190" s="113"/>
      <c r="AD190" s="113"/>
      <c r="AE190" s="113"/>
      <c r="AF190" s="113"/>
      <c r="AG190" s="113"/>
      <c r="AH190" s="113"/>
      <c r="AI190" s="113"/>
      <c r="AJ190" s="113"/>
      <c r="AK190" s="113"/>
      <c r="AL190" s="113"/>
      <c r="AM190" s="113"/>
      <c r="AN190" s="113"/>
      <c r="AO190" s="113"/>
    </row>
    <row r="191" spans="2:41" s="97" customFormat="1" ht="12.6" x14ac:dyDescent="0.25">
      <c r="D191" s="27" t="s">
        <v>147</v>
      </c>
      <c r="E191" s="28"/>
      <c r="F191" s="28"/>
      <c r="G191" s="28"/>
      <c r="H191" s="100"/>
      <c r="I191" s="28"/>
      <c r="J191" s="29" t="s">
        <v>1205</v>
      </c>
      <c r="K191" s="28"/>
      <c r="L191" s="30" t="s">
        <v>214</v>
      </c>
      <c r="M191" s="100"/>
      <c r="N191" s="100"/>
      <c r="O191" s="100"/>
      <c r="P191" s="100"/>
      <c r="Q191" s="100"/>
      <c r="R191" s="100">
        <f t="shared" ref="R191:AD191" si="70">-((R166+R168)/2)*(R156*R184)</f>
        <v>0</v>
      </c>
      <c r="S191" s="100" t="e">
        <f t="shared" si="70"/>
        <v>#NAME?</v>
      </c>
      <c r="T191" s="100" t="e">
        <f t="shared" si="70"/>
        <v>#NAME?</v>
      </c>
      <c r="U191" s="100" t="e">
        <f t="shared" si="70"/>
        <v>#NAME?</v>
      </c>
      <c r="V191" s="100" t="e">
        <f t="shared" si="70"/>
        <v>#NAME?</v>
      </c>
      <c r="W191" s="100" t="e">
        <f t="shared" si="70"/>
        <v>#NAME?</v>
      </c>
      <c r="X191" s="100" t="e">
        <f t="shared" si="70"/>
        <v>#NAME?</v>
      </c>
      <c r="Y191" s="100" t="e">
        <f t="shared" si="70"/>
        <v>#NAME?</v>
      </c>
      <c r="Z191" s="100" t="e">
        <f t="shared" si="70"/>
        <v>#NAME?</v>
      </c>
      <c r="AA191" s="100" t="e">
        <f t="shared" si="70"/>
        <v>#NAME?</v>
      </c>
      <c r="AB191" s="100" t="e">
        <f t="shared" si="70"/>
        <v>#NAME?</v>
      </c>
      <c r="AC191" s="100" t="e">
        <f t="shared" si="70"/>
        <v>#NAME?</v>
      </c>
      <c r="AD191" s="100" t="e">
        <f t="shared" si="70"/>
        <v>#NAME?</v>
      </c>
      <c r="AE191" s="101"/>
      <c r="AF191" s="101"/>
      <c r="AG191" s="101"/>
      <c r="AH191" s="101"/>
      <c r="AI191" s="101"/>
      <c r="AJ191" s="101"/>
      <c r="AK191" s="101"/>
      <c r="AL191" s="101"/>
      <c r="AM191" s="101"/>
      <c r="AN191" s="101"/>
      <c r="AO191" s="101"/>
    </row>
    <row r="192" spans="2:41" s="97" customFormat="1" ht="12.6" x14ac:dyDescent="0.25">
      <c r="D192" s="32"/>
      <c r="H192" s="101"/>
      <c r="J192" s="98"/>
      <c r="L192" s="99"/>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row>
    <row r="193" spans="1:41" s="97" customFormat="1" ht="13.2" thickBot="1" x14ac:dyDescent="0.3">
      <c r="D193" s="32"/>
      <c r="H193" s="101"/>
      <c r="J193" s="98"/>
      <c r="L193" s="99"/>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row>
    <row r="194" spans="1:41" s="97" customFormat="1" ht="12.6" outlineLevel="1" thickTop="1" x14ac:dyDescent="0.2">
      <c r="A194" s="1"/>
      <c r="B194" s="20"/>
      <c r="C194" s="337" t="s">
        <v>1044</v>
      </c>
      <c r="D194" s="337"/>
      <c r="E194" s="338"/>
      <c r="F194" s="338"/>
      <c r="G194" s="338"/>
      <c r="H194" s="338"/>
      <c r="I194" s="338"/>
      <c r="J194" s="340"/>
      <c r="K194" s="338"/>
      <c r="L194" s="342"/>
      <c r="M194" s="338"/>
      <c r="N194" s="343"/>
      <c r="O194" s="343"/>
      <c r="P194" s="343"/>
      <c r="Q194" s="343"/>
      <c r="R194" s="343"/>
      <c r="S194" s="343"/>
      <c r="T194" s="343"/>
      <c r="U194" s="343"/>
      <c r="V194" s="343"/>
      <c r="W194" s="343"/>
      <c r="X194" s="343"/>
      <c r="Y194" s="343"/>
      <c r="Z194" s="343"/>
      <c r="AA194" s="343"/>
      <c r="AB194" s="343"/>
      <c r="AC194" s="343"/>
      <c r="AD194" s="343"/>
      <c r="AE194" s="101"/>
      <c r="AF194" s="101"/>
      <c r="AG194" s="101"/>
      <c r="AH194" s="101"/>
      <c r="AI194" s="101"/>
      <c r="AJ194" s="101"/>
      <c r="AK194" s="101"/>
      <c r="AL194" s="101"/>
      <c r="AM194" s="101"/>
      <c r="AN194" s="101"/>
      <c r="AO194" s="101"/>
    </row>
    <row r="195" spans="1:41" s="97" customFormat="1" ht="12.6" x14ac:dyDescent="0.25">
      <c r="C195" s="20"/>
      <c r="D195" s="32"/>
      <c r="H195" s="101"/>
      <c r="J195" s="98"/>
      <c r="L195" s="99"/>
      <c r="M195" s="101"/>
      <c r="N195" s="101"/>
      <c r="O195" s="101"/>
      <c r="P195" s="84"/>
      <c r="Q195" s="101"/>
      <c r="R195" s="101"/>
      <c r="S195" s="101"/>
      <c r="T195" s="101"/>
      <c r="U195" s="101"/>
      <c r="V195" s="101"/>
      <c r="W195" s="101"/>
      <c r="X195" s="101"/>
      <c r="Y195" s="101"/>
      <c r="Z195" s="101"/>
      <c r="AA195" s="101"/>
      <c r="AB195" s="101"/>
      <c r="AC195" s="101"/>
      <c r="AD195" s="101"/>
      <c r="AE195" s="101"/>
      <c r="AF195" s="101"/>
      <c r="AG195" s="101"/>
      <c r="AH195" s="101"/>
      <c r="AI195" s="101"/>
      <c r="AJ195" s="101"/>
      <c r="AK195" s="101"/>
      <c r="AL195" s="101"/>
      <c r="AM195" s="101"/>
      <c r="AN195" s="101"/>
      <c r="AO195" s="101"/>
    </row>
    <row r="196" spans="1:41" s="97" customFormat="1" ht="12.6" x14ac:dyDescent="0.25">
      <c r="C196" s="20"/>
      <c r="D196" s="32" t="s">
        <v>173</v>
      </c>
      <c r="E196" s="32"/>
      <c r="G196" s="184"/>
      <c r="H196" s="101"/>
      <c r="J196" s="98" t="s">
        <v>1205</v>
      </c>
      <c r="L196" s="99"/>
      <c r="M196" s="101"/>
      <c r="N196" s="101"/>
      <c r="O196" s="101"/>
      <c r="P196" s="84"/>
      <c r="Q196" s="101"/>
      <c r="R196" s="101">
        <f t="shared" ref="R196:AD196" si="71">Inputs_Basecase_TL2_Maximum_Facility</f>
        <v>75000</v>
      </c>
      <c r="S196" s="101">
        <f t="shared" si="71"/>
        <v>75000</v>
      </c>
      <c r="T196" s="101">
        <f t="shared" si="71"/>
        <v>75000</v>
      </c>
      <c r="U196" s="101">
        <f t="shared" si="71"/>
        <v>75000</v>
      </c>
      <c r="V196" s="101">
        <f t="shared" si="71"/>
        <v>75000</v>
      </c>
      <c r="W196" s="101">
        <f t="shared" si="71"/>
        <v>75000</v>
      </c>
      <c r="X196" s="101">
        <f t="shared" si="71"/>
        <v>75000</v>
      </c>
      <c r="Y196" s="101">
        <f t="shared" si="71"/>
        <v>75000</v>
      </c>
      <c r="Z196" s="101">
        <f t="shared" si="71"/>
        <v>75000</v>
      </c>
      <c r="AA196" s="101">
        <f t="shared" si="71"/>
        <v>75000</v>
      </c>
      <c r="AB196" s="101">
        <f t="shared" si="71"/>
        <v>75000</v>
      </c>
      <c r="AC196" s="101">
        <f t="shared" si="71"/>
        <v>75000</v>
      </c>
      <c r="AD196" s="101">
        <f t="shared" si="71"/>
        <v>75000</v>
      </c>
      <c r="AE196" s="101"/>
      <c r="AF196" s="101"/>
      <c r="AG196" s="101"/>
      <c r="AH196" s="101"/>
      <c r="AI196" s="101"/>
      <c r="AJ196" s="101"/>
      <c r="AK196" s="101"/>
      <c r="AL196" s="101"/>
      <c r="AM196" s="101"/>
      <c r="AN196" s="101"/>
      <c r="AO196" s="101"/>
    </row>
    <row r="197" spans="1:41" s="97" customFormat="1" ht="12.6" x14ac:dyDescent="0.25">
      <c r="C197" s="20"/>
      <c r="D197" s="32"/>
      <c r="H197" s="101"/>
      <c r="J197" s="98"/>
      <c r="L197" s="99"/>
      <c r="M197" s="101"/>
      <c r="N197" s="101"/>
      <c r="O197" s="101"/>
      <c r="P197" s="84"/>
      <c r="Q197" s="101"/>
      <c r="AE197" s="101"/>
      <c r="AF197" s="101"/>
      <c r="AG197" s="101"/>
      <c r="AH197" s="101"/>
      <c r="AI197" s="101"/>
      <c r="AJ197" s="101"/>
      <c r="AK197" s="101"/>
      <c r="AL197" s="101"/>
      <c r="AM197" s="101"/>
      <c r="AN197" s="101"/>
      <c r="AO197" s="101"/>
    </row>
    <row r="198" spans="1:41" s="97" customFormat="1" ht="12.6" x14ac:dyDescent="0.25">
      <c r="D198" s="32" t="s">
        <v>172</v>
      </c>
      <c r="H198" s="101"/>
      <c r="J198" s="98"/>
      <c r="L198" s="99"/>
      <c r="M198" s="101"/>
      <c r="N198" s="101"/>
      <c r="O198" s="101"/>
      <c r="P198" s="101"/>
      <c r="Q198" s="101"/>
      <c r="R198" s="101"/>
      <c r="S198" s="101"/>
      <c r="T198" s="101"/>
      <c r="U198" s="101"/>
      <c r="V198" s="101"/>
      <c r="W198" s="101"/>
      <c r="X198" s="101"/>
      <c r="Y198" s="101"/>
      <c r="Z198" s="101"/>
      <c r="AA198" s="101"/>
      <c r="AB198" s="101"/>
      <c r="AC198" s="101"/>
      <c r="AD198" s="101"/>
      <c r="AE198" s="101"/>
      <c r="AF198" s="101"/>
      <c r="AG198" s="101"/>
      <c r="AH198" s="101"/>
      <c r="AI198" s="101"/>
      <c r="AJ198" s="101"/>
      <c r="AK198" s="101"/>
      <c r="AL198" s="101"/>
      <c r="AM198" s="101"/>
      <c r="AN198" s="101"/>
      <c r="AO198" s="101"/>
    </row>
    <row r="199" spans="1:41" s="97" customFormat="1" x14ac:dyDescent="0.2">
      <c r="E199" s="97" t="s">
        <v>1207</v>
      </c>
      <c r="H199" s="101"/>
      <c r="J199" s="98" t="s">
        <v>49</v>
      </c>
      <c r="L199" s="99"/>
      <c r="N199" s="109"/>
      <c r="O199" s="109"/>
      <c r="P199" s="109"/>
      <c r="Q199" s="109"/>
      <c r="R199" s="24"/>
      <c r="S199" s="24" t="e">
        <f t="shared" ref="S199:AD199" si="72">Inputs_Basecase_SARobor</f>
        <v>#NAME?</v>
      </c>
      <c r="T199" s="24" t="e">
        <f t="shared" si="72"/>
        <v>#NAME?</v>
      </c>
      <c r="U199" s="24" t="e">
        <f t="shared" si="72"/>
        <v>#NAME?</v>
      </c>
      <c r="V199" s="24" t="e">
        <f t="shared" si="72"/>
        <v>#NAME?</v>
      </c>
      <c r="W199" s="24" t="e">
        <f t="shared" si="72"/>
        <v>#NAME?</v>
      </c>
      <c r="X199" s="24" t="e">
        <f t="shared" si="72"/>
        <v>#NAME?</v>
      </c>
      <c r="Y199" s="24" t="e">
        <f t="shared" si="72"/>
        <v>#NAME?</v>
      </c>
      <c r="Z199" s="24" t="e">
        <f t="shared" si="72"/>
        <v>#NAME?</v>
      </c>
      <c r="AA199" s="24" t="e">
        <f t="shared" si="72"/>
        <v>#NAME?</v>
      </c>
      <c r="AB199" s="24" t="e">
        <f t="shared" si="72"/>
        <v>#NAME?</v>
      </c>
      <c r="AC199" s="24" t="e">
        <f t="shared" si="72"/>
        <v>#NAME?</v>
      </c>
      <c r="AD199" s="24" t="e">
        <f t="shared" si="72"/>
        <v>#NAME?</v>
      </c>
      <c r="AE199" s="24"/>
      <c r="AF199" s="109"/>
      <c r="AG199" s="109"/>
      <c r="AH199" s="109"/>
      <c r="AI199" s="109"/>
      <c r="AJ199" s="109"/>
      <c r="AK199" s="109"/>
      <c r="AL199" s="109"/>
      <c r="AM199" s="109"/>
      <c r="AN199" s="109"/>
      <c r="AO199" s="109"/>
    </row>
    <row r="200" spans="1:41" s="97" customFormat="1" x14ac:dyDescent="0.2">
      <c r="E200" s="97" t="s">
        <v>171</v>
      </c>
      <c r="H200" s="101"/>
      <c r="J200" s="98" t="s">
        <v>49</v>
      </c>
      <c r="L200" s="99"/>
      <c r="M200" s="101"/>
      <c r="N200" s="101"/>
      <c r="O200" s="101"/>
      <c r="P200" s="101"/>
      <c r="Q200" s="101"/>
      <c r="R200" s="96"/>
      <c r="S200" s="96">
        <f t="shared" ref="S200:AD200" si="73">Inputs_Basecase_TL2_Margin</f>
        <v>1.6E-2</v>
      </c>
      <c r="T200" s="96">
        <f t="shared" si="73"/>
        <v>1.6E-2</v>
      </c>
      <c r="U200" s="96">
        <f t="shared" si="73"/>
        <v>1.6E-2</v>
      </c>
      <c r="V200" s="96">
        <f t="shared" si="73"/>
        <v>1.6E-2</v>
      </c>
      <c r="W200" s="96">
        <f t="shared" si="73"/>
        <v>1.6E-2</v>
      </c>
      <c r="X200" s="96">
        <f t="shared" si="73"/>
        <v>1.6E-2</v>
      </c>
      <c r="Y200" s="96">
        <f t="shared" si="73"/>
        <v>1.6E-2</v>
      </c>
      <c r="Z200" s="96">
        <f t="shared" si="73"/>
        <v>1.6E-2</v>
      </c>
      <c r="AA200" s="96">
        <f t="shared" si="73"/>
        <v>1.6E-2</v>
      </c>
      <c r="AB200" s="96">
        <f t="shared" si="73"/>
        <v>1.6E-2</v>
      </c>
      <c r="AC200" s="96">
        <f t="shared" si="73"/>
        <v>1.6E-2</v>
      </c>
      <c r="AD200" s="96">
        <f t="shared" si="73"/>
        <v>1.6E-2</v>
      </c>
      <c r="AE200" s="96"/>
      <c r="AF200" s="101"/>
      <c r="AG200" s="101"/>
      <c r="AH200" s="101"/>
      <c r="AI200" s="101"/>
      <c r="AJ200" s="101"/>
      <c r="AK200" s="101"/>
      <c r="AL200" s="101"/>
      <c r="AM200" s="101"/>
      <c r="AN200" s="101"/>
      <c r="AO200" s="101"/>
    </row>
    <row r="201" spans="1:41" s="97" customFormat="1" ht="12.6" x14ac:dyDescent="0.25">
      <c r="C201" s="32"/>
      <c r="D201" s="32"/>
      <c r="E201" s="97" t="s">
        <v>170</v>
      </c>
      <c r="H201" s="101"/>
      <c r="J201" s="98" t="s">
        <v>49</v>
      </c>
      <c r="L201" s="99"/>
      <c r="N201" s="101"/>
      <c r="O201" s="101"/>
      <c r="P201" s="101"/>
      <c r="Q201" s="34"/>
      <c r="R201" s="24"/>
      <c r="S201" s="24" t="e">
        <f t="shared" ref="S201:AD201" si="74">+S200+S199</f>
        <v>#NAME?</v>
      </c>
      <c r="T201" s="24" t="e">
        <f t="shared" si="74"/>
        <v>#NAME?</v>
      </c>
      <c r="U201" s="24" t="e">
        <f t="shared" si="74"/>
        <v>#NAME?</v>
      </c>
      <c r="V201" s="24" t="e">
        <f t="shared" si="74"/>
        <v>#NAME?</v>
      </c>
      <c r="W201" s="24" t="e">
        <f t="shared" si="74"/>
        <v>#NAME?</v>
      </c>
      <c r="X201" s="24" t="e">
        <f t="shared" si="74"/>
        <v>#NAME?</v>
      </c>
      <c r="Y201" s="24" t="e">
        <f t="shared" si="74"/>
        <v>#NAME?</v>
      </c>
      <c r="Z201" s="24" t="e">
        <f t="shared" si="74"/>
        <v>#NAME?</v>
      </c>
      <c r="AA201" s="24" t="e">
        <f t="shared" si="74"/>
        <v>#NAME?</v>
      </c>
      <c r="AB201" s="24" t="e">
        <f t="shared" si="74"/>
        <v>#NAME?</v>
      </c>
      <c r="AC201" s="24" t="e">
        <f t="shared" si="74"/>
        <v>#NAME?</v>
      </c>
      <c r="AD201" s="24" t="e">
        <f t="shared" si="74"/>
        <v>#NAME?</v>
      </c>
      <c r="AE201" s="24"/>
      <c r="AF201" s="34"/>
      <c r="AG201" s="34"/>
      <c r="AH201" s="34"/>
      <c r="AI201" s="34"/>
      <c r="AJ201" s="34"/>
      <c r="AK201" s="34"/>
      <c r="AL201" s="34"/>
      <c r="AM201" s="34"/>
      <c r="AN201" s="34"/>
      <c r="AO201" s="34"/>
    </row>
    <row r="202" spans="1:41" s="97" customFormat="1" ht="12.6" x14ac:dyDescent="0.25">
      <c r="C202" s="20"/>
      <c r="D202" s="32"/>
      <c r="E202" s="27" t="s">
        <v>169</v>
      </c>
      <c r="F202" s="28"/>
      <c r="G202" s="28"/>
      <c r="H202" s="100"/>
      <c r="I202" s="28"/>
      <c r="J202" s="29" t="s">
        <v>49</v>
      </c>
      <c r="K202" s="28"/>
      <c r="L202" s="30"/>
      <c r="M202" s="100"/>
      <c r="N202" s="100"/>
      <c r="O202" s="100"/>
      <c r="P202" s="88"/>
      <c r="Q202" s="100"/>
      <c r="R202" s="183"/>
      <c r="S202" s="183" t="e">
        <f t="shared" ref="S202:AD202" si="75">((1+(S200+S199))^(1/12))-1</f>
        <v>#NAME?</v>
      </c>
      <c r="T202" s="183" t="e">
        <f t="shared" si="75"/>
        <v>#NAME?</v>
      </c>
      <c r="U202" s="183" t="e">
        <f t="shared" si="75"/>
        <v>#NAME?</v>
      </c>
      <c r="V202" s="183" t="e">
        <f t="shared" si="75"/>
        <v>#NAME?</v>
      </c>
      <c r="W202" s="183" t="e">
        <f t="shared" si="75"/>
        <v>#NAME?</v>
      </c>
      <c r="X202" s="183" t="e">
        <f t="shared" si="75"/>
        <v>#NAME?</v>
      </c>
      <c r="Y202" s="183" t="e">
        <f t="shared" si="75"/>
        <v>#NAME?</v>
      </c>
      <c r="Z202" s="183" t="e">
        <f t="shared" si="75"/>
        <v>#NAME?</v>
      </c>
      <c r="AA202" s="183" t="e">
        <f t="shared" si="75"/>
        <v>#NAME?</v>
      </c>
      <c r="AB202" s="183" t="e">
        <f t="shared" si="75"/>
        <v>#NAME?</v>
      </c>
      <c r="AC202" s="183" t="e">
        <f t="shared" si="75"/>
        <v>#NAME?</v>
      </c>
      <c r="AD202" s="183" t="e">
        <f t="shared" si="75"/>
        <v>#NAME?</v>
      </c>
      <c r="AE202" s="96"/>
      <c r="AF202" s="101"/>
      <c r="AG202" s="101"/>
      <c r="AH202" s="101"/>
      <c r="AI202" s="101"/>
      <c r="AJ202" s="101"/>
      <c r="AK202" s="101"/>
      <c r="AL202" s="101"/>
      <c r="AM202" s="101"/>
      <c r="AN202" s="101"/>
      <c r="AO202" s="101"/>
    </row>
    <row r="203" spans="1:41" s="97" customFormat="1" x14ac:dyDescent="0.2">
      <c r="H203" s="101"/>
      <c r="J203" s="98"/>
      <c r="L203" s="99"/>
      <c r="M203" s="101"/>
      <c r="N203" s="101"/>
      <c r="O203" s="101"/>
      <c r="P203" s="101"/>
      <c r="Q203" s="101"/>
      <c r="R203" s="101"/>
      <c r="S203" s="101"/>
      <c r="T203" s="101"/>
      <c r="U203" s="101"/>
      <c r="V203" s="101"/>
      <c r="W203" s="101"/>
      <c r="X203" s="101"/>
      <c r="Y203" s="101"/>
      <c r="Z203" s="101"/>
      <c r="AA203" s="101"/>
      <c r="AB203" s="101"/>
      <c r="AC203" s="101"/>
      <c r="AD203" s="101"/>
      <c r="AE203" s="101"/>
      <c r="AF203" s="101"/>
      <c r="AG203" s="101"/>
      <c r="AH203" s="101"/>
      <c r="AI203" s="101"/>
      <c r="AJ203" s="101"/>
      <c r="AK203" s="101"/>
      <c r="AL203" s="101"/>
      <c r="AM203" s="101"/>
      <c r="AN203" s="101"/>
      <c r="AO203" s="101"/>
    </row>
    <row r="204" spans="1:41" s="97" customFormat="1" ht="12.6" x14ac:dyDescent="0.25">
      <c r="E204" s="32" t="s">
        <v>168</v>
      </c>
      <c r="H204" s="101"/>
      <c r="J204" s="98" t="s">
        <v>49</v>
      </c>
      <c r="L204" s="99"/>
      <c r="N204" s="109"/>
      <c r="O204" s="109"/>
      <c r="P204" s="109"/>
      <c r="Q204" s="109"/>
      <c r="R204" s="108">
        <f t="shared" ref="R204:AD204" si="76">Inputs_Basecase_TL2_Commitment_Fee/12</f>
        <v>0</v>
      </c>
      <c r="S204" s="108">
        <f t="shared" si="76"/>
        <v>0</v>
      </c>
      <c r="T204" s="108">
        <f t="shared" si="76"/>
        <v>0</v>
      </c>
      <c r="U204" s="108">
        <f t="shared" si="76"/>
        <v>0</v>
      </c>
      <c r="V204" s="108">
        <f t="shared" si="76"/>
        <v>0</v>
      </c>
      <c r="W204" s="108">
        <f t="shared" si="76"/>
        <v>0</v>
      </c>
      <c r="X204" s="108">
        <f t="shared" si="76"/>
        <v>0</v>
      </c>
      <c r="Y204" s="108">
        <f t="shared" si="76"/>
        <v>0</v>
      </c>
      <c r="Z204" s="108">
        <f t="shared" si="76"/>
        <v>0</v>
      </c>
      <c r="AA204" s="108">
        <f t="shared" si="76"/>
        <v>0</v>
      </c>
      <c r="AB204" s="108">
        <f t="shared" si="76"/>
        <v>0</v>
      </c>
      <c r="AC204" s="108">
        <f t="shared" si="76"/>
        <v>0</v>
      </c>
      <c r="AD204" s="108">
        <f t="shared" si="76"/>
        <v>0</v>
      </c>
      <c r="AE204" s="109"/>
      <c r="AF204" s="109"/>
      <c r="AG204" s="109"/>
      <c r="AH204" s="109"/>
      <c r="AI204" s="109"/>
      <c r="AJ204" s="109"/>
      <c r="AK204" s="109"/>
      <c r="AL204" s="109"/>
      <c r="AM204" s="109"/>
      <c r="AN204" s="109"/>
      <c r="AO204" s="109"/>
    </row>
    <row r="205" spans="1:41" s="97" customFormat="1" x14ac:dyDescent="0.2">
      <c r="H205" s="101"/>
      <c r="J205" s="98"/>
      <c r="L205" s="99"/>
      <c r="M205" s="101"/>
      <c r="N205" s="101"/>
      <c r="O205" s="101"/>
      <c r="P205" s="101"/>
      <c r="Q205" s="101"/>
      <c r="R205" s="101"/>
      <c r="S205" s="101"/>
      <c r="T205" s="101"/>
      <c r="U205" s="101"/>
      <c r="V205" s="101"/>
      <c r="W205" s="101"/>
      <c r="X205" s="101"/>
      <c r="Y205" s="101"/>
      <c r="Z205" s="101"/>
      <c r="AA205" s="101"/>
      <c r="AB205" s="101"/>
      <c r="AC205" s="101"/>
      <c r="AD205" s="101"/>
      <c r="AE205" s="101"/>
      <c r="AF205" s="101"/>
      <c r="AG205" s="101"/>
      <c r="AH205" s="101"/>
      <c r="AI205" s="101"/>
      <c r="AJ205" s="101"/>
      <c r="AK205" s="101"/>
      <c r="AL205" s="101"/>
      <c r="AM205" s="101"/>
      <c r="AN205" s="101"/>
      <c r="AO205" s="101"/>
    </row>
    <row r="206" spans="1:41" s="97" customFormat="1" ht="12.6" x14ac:dyDescent="0.25">
      <c r="C206" s="32"/>
      <c r="D206" s="32" t="s">
        <v>167</v>
      </c>
      <c r="H206" s="101"/>
      <c r="J206" s="98" t="s">
        <v>1205</v>
      </c>
      <c r="L206" s="99" t="s">
        <v>213</v>
      </c>
      <c r="M206" s="101">
        <f>MAX(R207:AD207)</f>
        <v>75000</v>
      </c>
      <c r="O206" s="101"/>
      <c r="P206" s="101"/>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row>
    <row r="207" spans="1:41" s="97" customFormat="1" ht="12.6" x14ac:dyDescent="0.25">
      <c r="C207" s="20"/>
      <c r="D207" s="32" t="s">
        <v>166</v>
      </c>
      <c r="H207" s="101"/>
      <c r="J207" s="98" t="s">
        <v>1205</v>
      </c>
      <c r="L207" s="99"/>
      <c r="M207" s="101"/>
      <c r="N207" s="101"/>
      <c r="O207" s="101"/>
      <c r="P207" s="84"/>
      <c r="Q207" s="101"/>
      <c r="R207" s="101">
        <f>SUM($Q213:R213)</f>
        <v>75000</v>
      </c>
      <c r="S207" s="101">
        <f>SUM($Q213:S213)</f>
        <v>75000</v>
      </c>
      <c r="T207" s="101">
        <f>SUM($Q213:T213)</f>
        <v>75000</v>
      </c>
      <c r="U207" s="101">
        <f>SUM($Q213:U213)</f>
        <v>75000</v>
      </c>
      <c r="V207" s="101">
        <f>SUM($Q213:V213)</f>
        <v>75000</v>
      </c>
      <c r="W207" s="101">
        <f>SUM($Q213:W213)</f>
        <v>75000</v>
      </c>
      <c r="X207" s="101">
        <f>SUM($Q213:X213)</f>
        <v>75000</v>
      </c>
      <c r="Y207" s="101">
        <f>SUM($Q213:Y213)</f>
        <v>75000</v>
      </c>
      <c r="Z207" s="101">
        <f>SUM($Q213:Z213)</f>
        <v>75000</v>
      </c>
      <c r="AA207" s="101">
        <f>SUM($Q213:AA213)</f>
        <v>75000</v>
      </c>
      <c r="AB207" s="101">
        <f>SUM($Q213:AB213)</f>
        <v>75000</v>
      </c>
      <c r="AC207" s="101">
        <f>SUM($Q213:AC213)</f>
        <v>75000</v>
      </c>
      <c r="AD207" s="101">
        <f>SUM($Q213:AD213)</f>
        <v>75000</v>
      </c>
      <c r="AE207" s="101"/>
      <c r="AF207" s="101"/>
      <c r="AG207" s="101"/>
      <c r="AH207" s="101"/>
      <c r="AI207" s="101"/>
      <c r="AJ207" s="101"/>
      <c r="AK207" s="101"/>
      <c r="AL207" s="101"/>
      <c r="AM207" s="101"/>
      <c r="AN207" s="101"/>
      <c r="AO207" s="101"/>
    </row>
    <row r="208" spans="1:41" s="97" customFormat="1" x14ac:dyDescent="0.2">
      <c r="H208" s="101"/>
      <c r="J208" s="98"/>
      <c r="L208" s="99"/>
      <c r="M208" s="101"/>
      <c r="N208" s="101"/>
      <c r="O208" s="101"/>
      <c r="P208" s="101"/>
      <c r="Q208" s="101"/>
      <c r="R208" s="101"/>
      <c r="S208" s="101"/>
      <c r="T208" s="101"/>
      <c r="U208" s="101"/>
      <c r="V208" s="101"/>
      <c r="W208" s="101"/>
      <c r="X208" s="101"/>
      <c r="Y208" s="101"/>
      <c r="Z208" s="101"/>
      <c r="AA208" s="101"/>
      <c r="AB208" s="101"/>
      <c r="AC208" s="101"/>
      <c r="AD208" s="101"/>
      <c r="AE208" s="101"/>
      <c r="AF208" s="101"/>
      <c r="AG208" s="101"/>
      <c r="AH208" s="101"/>
      <c r="AI208" s="101"/>
      <c r="AJ208" s="101"/>
      <c r="AK208" s="101"/>
      <c r="AL208" s="101"/>
      <c r="AM208" s="101"/>
      <c r="AN208" s="101"/>
      <c r="AO208" s="101"/>
    </row>
    <row r="209" spans="3:41" s="97" customFormat="1" ht="12.6" x14ac:dyDescent="0.25">
      <c r="D209" s="32" t="s">
        <v>165</v>
      </c>
      <c r="H209" s="101"/>
      <c r="J209" s="98" t="s">
        <v>1205</v>
      </c>
      <c r="L209" s="99"/>
      <c r="N209" s="109"/>
      <c r="O209" s="109"/>
      <c r="P209" s="109"/>
      <c r="Q209" s="109"/>
      <c r="R209" s="101">
        <f t="shared" ref="R209:AD209" si="77">R196-R207</f>
        <v>0</v>
      </c>
      <c r="S209" s="101">
        <f t="shared" si="77"/>
        <v>0</v>
      </c>
      <c r="T209" s="101">
        <f t="shared" si="77"/>
        <v>0</v>
      </c>
      <c r="U209" s="101">
        <f t="shared" si="77"/>
        <v>0</v>
      </c>
      <c r="V209" s="101">
        <f t="shared" si="77"/>
        <v>0</v>
      </c>
      <c r="W209" s="101">
        <f t="shared" si="77"/>
        <v>0</v>
      </c>
      <c r="X209" s="101">
        <f t="shared" si="77"/>
        <v>0</v>
      </c>
      <c r="Y209" s="101">
        <f t="shared" si="77"/>
        <v>0</v>
      </c>
      <c r="Z209" s="101">
        <f t="shared" si="77"/>
        <v>0</v>
      </c>
      <c r="AA209" s="101">
        <f t="shared" si="77"/>
        <v>0</v>
      </c>
      <c r="AB209" s="101">
        <f t="shared" si="77"/>
        <v>0</v>
      </c>
      <c r="AC209" s="101">
        <f t="shared" si="77"/>
        <v>0</v>
      </c>
      <c r="AD209" s="101">
        <f t="shared" si="77"/>
        <v>0</v>
      </c>
      <c r="AE209" s="109"/>
      <c r="AF209" s="109"/>
      <c r="AG209" s="109"/>
      <c r="AH209" s="109"/>
      <c r="AI209" s="109"/>
      <c r="AJ209" s="109"/>
      <c r="AK209" s="109"/>
      <c r="AL209" s="109"/>
      <c r="AM209" s="109"/>
      <c r="AN209" s="109"/>
      <c r="AO209" s="109"/>
    </row>
    <row r="210" spans="3:41" s="97" customFormat="1" x14ac:dyDescent="0.2">
      <c r="H210" s="101"/>
      <c r="J210" s="98"/>
      <c r="L210" s="99"/>
      <c r="M210" s="101"/>
      <c r="N210" s="101"/>
      <c r="O210" s="101"/>
      <c r="P210" s="101"/>
      <c r="Q210" s="101"/>
      <c r="R210" s="101"/>
      <c r="S210" s="101"/>
      <c r="T210" s="101"/>
      <c r="U210" s="101"/>
      <c r="V210" s="101"/>
      <c r="W210" s="101"/>
      <c r="X210" s="101"/>
      <c r="Y210" s="101"/>
      <c r="Z210" s="101"/>
      <c r="AA210" s="101"/>
      <c r="AB210" s="101"/>
      <c r="AC210" s="101"/>
      <c r="AD210" s="101"/>
      <c r="AE210" s="101"/>
      <c r="AF210" s="101"/>
      <c r="AG210" s="101"/>
      <c r="AH210" s="101"/>
      <c r="AI210" s="101"/>
      <c r="AJ210" s="101"/>
      <c r="AK210" s="101"/>
      <c r="AL210" s="101"/>
      <c r="AM210" s="101"/>
      <c r="AN210" s="101"/>
      <c r="AO210" s="101"/>
    </row>
    <row r="211" spans="3:41" s="97" customFormat="1" ht="12.6" x14ac:dyDescent="0.25">
      <c r="C211" s="32"/>
      <c r="D211" s="32" t="s">
        <v>164</v>
      </c>
      <c r="H211" s="101"/>
      <c r="J211" s="98"/>
      <c r="L211" s="99"/>
      <c r="N211" s="101"/>
      <c r="O211" s="101"/>
      <c r="P211" s="101"/>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row>
    <row r="212" spans="3:41" s="97" customFormat="1" ht="12.6" x14ac:dyDescent="0.25">
      <c r="C212" s="20"/>
      <c r="D212" s="32"/>
      <c r="E212" s="97" t="s">
        <v>91</v>
      </c>
      <c r="H212" s="101"/>
      <c r="J212" s="98" t="s">
        <v>1205</v>
      </c>
      <c r="L212" s="99"/>
      <c r="M212" s="101"/>
      <c r="N212" s="101"/>
      <c r="O212" s="101"/>
      <c r="P212" s="84"/>
      <c r="Q212" s="101"/>
      <c r="R212" s="101">
        <f t="shared" ref="R212:AD212" si="78">Q224</f>
        <v>0</v>
      </c>
      <c r="S212" s="101">
        <f t="shared" si="78"/>
        <v>75000</v>
      </c>
      <c r="T212" s="101">
        <f t="shared" si="78"/>
        <v>75000</v>
      </c>
      <c r="U212" s="101">
        <f t="shared" si="78"/>
        <v>75000</v>
      </c>
      <c r="V212" s="101">
        <f t="shared" si="78"/>
        <v>75000</v>
      </c>
      <c r="W212" s="101">
        <f t="shared" si="78"/>
        <v>56250</v>
      </c>
      <c r="X212" s="101">
        <f t="shared" si="78"/>
        <v>37500</v>
      </c>
      <c r="Y212" s="101">
        <f t="shared" si="78"/>
        <v>18750</v>
      </c>
      <c r="Z212" s="101">
        <f t="shared" si="78"/>
        <v>0</v>
      </c>
      <c r="AA212" s="101">
        <f t="shared" si="78"/>
        <v>0</v>
      </c>
      <c r="AB212" s="101">
        <f t="shared" si="78"/>
        <v>0</v>
      </c>
      <c r="AC212" s="101">
        <f t="shared" si="78"/>
        <v>0</v>
      </c>
      <c r="AD212" s="101">
        <f t="shared" si="78"/>
        <v>0</v>
      </c>
      <c r="AE212" s="101"/>
      <c r="AF212" s="101"/>
      <c r="AG212" s="101"/>
      <c r="AH212" s="101"/>
      <c r="AI212" s="101"/>
      <c r="AJ212" s="101"/>
      <c r="AK212" s="101"/>
      <c r="AL212" s="101"/>
      <c r="AM212" s="101"/>
      <c r="AN212" s="101"/>
      <c r="AO212" s="101"/>
    </row>
    <row r="213" spans="3:41" s="97" customFormat="1" x14ac:dyDescent="0.2">
      <c r="E213" s="97" t="s">
        <v>163</v>
      </c>
      <c r="H213" s="101"/>
      <c r="J213" s="98" t="s">
        <v>1205</v>
      </c>
      <c r="L213" s="99" t="s">
        <v>212</v>
      </c>
      <c r="M213" s="101"/>
      <c r="N213" s="101"/>
      <c r="O213" s="101"/>
      <c r="P213" s="101"/>
      <c r="Q213" s="101"/>
      <c r="R213" s="101">
        <f>R224</f>
        <v>75000</v>
      </c>
      <c r="S213" s="101">
        <f t="shared" ref="S213:AD213" si="79">Inputs_Basecase_TL2_Drawdown</f>
        <v>0</v>
      </c>
      <c r="T213" s="101">
        <f t="shared" si="79"/>
        <v>0</v>
      </c>
      <c r="U213" s="101">
        <f t="shared" si="79"/>
        <v>0</v>
      </c>
      <c r="V213" s="101">
        <f t="shared" si="79"/>
        <v>0</v>
      </c>
      <c r="W213" s="101">
        <f t="shared" si="79"/>
        <v>0</v>
      </c>
      <c r="X213" s="101">
        <f t="shared" si="79"/>
        <v>0</v>
      </c>
      <c r="Y213" s="101">
        <f t="shared" si="79"/>
        <v>0</v>
      </c>
      <c r="Z213" s="101">
        <f t="shared" si="79"/>
        <v>0</v>
      </c>
      <c r="AA213" s="101">
        <f t="shared" si="79"/>
        <v>0</v>
      </c>
      <c r="AB213" s="101">
        <f t="shared" si="79"/>
        <v>0</v>
      </c>
      <c r="AC213" s="101">
        <f t="shared" si="79"/>
        <v>0</v>
      </c>
      <c r="AD213" s="101">
        <f t="shared" si="79"/>
        <v>0</v>
      </c>
      <c r="AE213" s="101"/>
      <c r="AF213" s="101"/>
      <c r="AG213" s="101"/>
      <c r="AH213" s="101"/>
      <c r="AI213" s="101"/>
      <c r="AJ213" s="101"/>
      <c r="AK213" s="101"/>
      <c r="AL213" s="101"/>
      <c r="AM213" s="101"/>
      <c r="AN213" s="101"/>
      <c r="AO213" s="101"/>
    </row>
    <row r="214" spans="3:41" s="97" customFormat="1" ht="12.6" x14ac:dyDescent="0.25">
      <c r="E214" s="27" t="s">
        <v>162</v>
      </c>
      <c r="F214" s="28"/>
      <c r="G214" s="28"/>
      <c r="H214" s="100"/>
      <c r="I214" s="28"/>
      <c r="J214" s="29" t="s">
        <v>1205</v>
      </c>
      <c r="K214" s="28"/>
      <c r="L214" s="30"/>
      <c r="M214" s="28"/>
      <c r="N214" s="87"/>
      <c r="O214" s="87"/>
      <c r="P214" s="87"/>
      <c r="Q214" s="87"/>
      <c r="R214" s="100">
        <f t="shared" ref="R214:AD214" si="80">SUM(R212:R213)</f>
        <v>75000</v>
      </c>
      <c r="S214" s="100">
        <f t="shared" si="80"/>
        <v>75000</v>
      </c>
      <c r="T214" s="100">
        <f t="shared" si="80"/>
        <v>75000</v>
      </c>
      <c r="U214" s="100">
        <f t="shared" si="80"/>
        <v>75000</v>
      </c>
      <c r="V214" s="100">
        <f t="shared" si="80"/>
        <v>75000</v>
      </c>
      <c r="W214" s="100">
        <f t="shared" si="80"/>
        <v>56250</v>
      </c>
      <c r="X214" s="100">
        <f t="shared" si="80"/>
        <v>37500</v>
      </c>
      <c r="Y214" s="100">
        <f t="shared" si="80"/>
        <v>18750</v>
      </c>
      <c r="Z214" s="100">
        <f t="shared" si="80"/>
        <v>0</v>
      </c>
      <c r="AA214" s="100">
        <f t="shared" si="80"/>
        <v>0</v>
      </c>
      <c r="AB214" s="100">
        <f t="shared" si="80"/>
        <v>0</v>
      </c>
      <c r="AC214" s="100">
        <f t="shared" si="80"/>
        <v>0</v>
      </c>
      <c r="AD214" s="100">
        <f t="shared" si="80"/>
        <v>0</v>
      </c>
      <c r="AE214" s="109"/>
      <c r="AF214" s="109"/>
      <c r="AG214" s="109"/>
      <c r="AH214" s="109"/>
      <c r="AI214" s="109"/>
      <c r="AJ214" s="109"/>
      <c r="AK214" s="109"/>
      <c r="AL214" s="109"/>
      <c r="AM214" s="109"/>
      <c r="AN214" s="109"/>
      <c r="AO214" s="109"/>
    </row>
    <row r="215" spans="3:41" s="97" customFormat="1" x14ac:dyDescent="0.2">
      <c r="H215" s="101"/>
      <c r="J215" s="98"/>
      <c r="L215" s="99"/>
      <c r="M215" s="101"/>
      <c r="N215" s="101"/>
      <c r="O215" s="101"/>
      <c r="P215" s="101"/>
      <c r="Q215" s="101"/>
      <c r="R215" s="101"/>
      <c r="S215" s="101"/>
      <c r="T215" s="101"/>
      <c r="U215" s="101"/>
      <c r="V215" s="101"/>
      <c r="W215" s="101"/>
      <c r="X215" s="101"/>
      <c r="Y215" s="101"/>
      <c r="Z215" s="101"/>
      <c r="AA215" s="101"/>
      <c r="AB215" s="101"/>
      <c r="AC215" s="101"/>
      <c r="AD215" s="101"/>
      <c r="AE215" s="101"/>
      <c r="AF215" s="101"/>
      <c r="AG215" s="101"/>
      <c r="AH215" s="101"/>
      <c r="AI215" s="101"/>
      <c r="AJ215" s="101"/>
      <c r="AK215" s="101"/>
      <c r="AL215" s="101"/>
      <c r="AM215" s="101"/>
      <c r="AN215" s="101"/>
      <c r="AO215" s="101"/>
    </row>
    <row r="216" spans="3:41" s="97" customFormat="1" ht="12.6" x14ac:dyDescent="0.25">
      <c r="D216" s="32" t="s">
        <v>161</v>
      </c>
      <c r="H216" s="101"/>
      <c r="L216" s="99"/>
      <c r="N216" s="101"/>
      <c r="O216" s="101"/>
      <c r="P216" s="101"/>
      <c r="Q216" s="101"/>
      <c r="R216" s="101"/>
      <c r="S216" s="101"/>
      <c r="T216" s="101"/>
      <c r="U216" s="101"/>
      <c r="V216" s="101"/>
      <c r="W216" s="101"/>
      <c r="X216" s="101"/>
      <c r="Y216" s="101"/>
      <c r="Z216" s="101"/>
      <c r="AA216" s="101"/>
      <c r="AB216" s="101"/>
      <c r="AC216" s="101"/>
      <c r="AD216" s="101"/>
      <c r="AE216" s="101"/>
      <c r="AF216" s="101"/>
      <c r="AG216" s="101"/>
      <c r="AH216" s="101"/>
      <c r="AI216" s="101"/>
      <c r="AJ216" s="101"/>
      <c r="AK216" s="101"/>
      <c r="AL216" s="101"/>
      <c r="AM216" s="101"/>
      <c r="AN216" s="101"/>
      <c r="AO216" s="101"/>
    </row>
    <row r="217" spans="3:41" s="97" customFormat="1" ht="12.6" x14ac:dyDescent="0.25">
      <c r="C217" s="20"/>
      <c r="D217" s="32"/>
      <c r="E217" s="97" t="s">
        <v>160</v>
      </c>
      <c r="H217" s="101"/>
      <c r="J217" s="98" t="s">
        <v>1205</v>
      </c>
      <c r="L217" s="99"/>
      <c r="M217" s="101"/>
      <c r="N217" s="101"/>
      <c r="O217" s="101"/>
      <c r="P217" s="84"/>
      <c r="Q217" s="101"/>
      <c r="R217" s="108"/>
      <c r="S217" s="108">
        <f t="shared" ref="S217:AD217" si="81">Inputs_Basecase_TL2_Repayment_Principal</f>
        <v>0</v>
      </c>
      <c r="T217" s="108">
        <f t="shared" si="81"/>
        <v>0</v>
      </c>
      <c r="U217" s="108">
        <f t="shared" si="81"/>
        <v>0</v>
      </c>
      <c r="V217" s="108">
        <f t="shared" si="81"/>
        <v>0.25</v>
      </c>
      <c r="W217" s="108">
        <f t="shared" si="81"/>
        <v>0.25</v>
      </c>
      <c r="X217" s="108">
        <f t="shared" si="81"/>
        <v>0.25</v>
      </c>
      <c r="Y217" s="108">
        <f t="shared" si="81"/>
        <v>0.25</v>
      </c>
      <c r="Z217" s="108">
        <f t="shared" si="81"/>
        <v>0</v>
      </c>
      <c r="AA217" s="108">
        <f t="shared" si="81"/>
        <v>0</v>
      </c>
      <c r="AB217" s="108">
        <f t="shared" si="81"/>
        <v>0</v>
      </c>
      <c r="AC217" s="108">
        <f t="shared" si="81"/>
        <v>0</v>
      </c>
      <c r="AD217" s="108">
        <f t="shared" si="81"/>
        <v>0</v>
      </c>
      <c r="AE217" s="101"/>
      <c r="AF217" s="101"/>
      <c r="AG217" s="101"/>
      <c r="AH217" s="101"/>
      <c r="AI217" s="101"/>
      <c r="AJ217" s="101"/>
      <c r="AK217" s="101"/>
      <c r="AL217" s="101"/>
      <c r="AM217" s="101"/>
      <c r="AN217" s="101"/>
      <c r="AO217" s="101"/>
    </row>
    <row r="218" spans="3:41" s="97" customFormat="1" x14ac:dyDescent="0.2">
      <c r="E218" s="97" t="s">
        <v>146</v>
      </c>
      <c r="H218" s="101"/>
      <c r="J218" s="98" t="s">
        <v>1205</v>
      </c>
      <c r="L218" s="99"/>
      <c r="M218" s="101"/>
      <c r="N218" s="101"/>
      <c r="O218" s="101"/>
      <c r="P218" s="101"/>
      <c r="Q218" s="101"/>
      <c r="R218" s="101"/>
      <c r="S218" s="101">
        <f t="shared" ref="S218:AD218" si="82">-Inputs_Basecase_TL2_Repayment_Principal*Finance_TL2_Total</f>
        <v>0</v>
      </c>
      <c r="T218" s="101">
        <f t="shared" si="82"/>
        <v>0</v>
      </c>
      <c r="U218" s="101">
        <f t="shared" si="82"/>
        <v>0</v>
      </c>
      <c r="V218" s="101">
        <f t="shared" si="82"/>
        <v>-18750</v>
      </c>
      <c r="W218" s="101">
        <f t="shared" si="82"/>
        <v>-18750</v>
      </c>
      <c r="X218" s="101">
        <f t="shared" si="82"/>
        <v>-18750</v>
      </c>
      <c r="Y218" s="101">
        <f t="shared" si="82"/>
        <v>-18750</v>
      </c>
      <c r="Z218" s="101">
        <f t="shared" si="82"/>
        <v>0</v>
      </c>
      <c r="AA218" s="101">
        <f t="shared" si="82"/>
        <v>0</v>
      </c>
      <c r="AB218" s="101">
        <f t="shared" si="82"/>
        <v>0</v>
      </c>
      <c r="AC218" s="101">
        <f t="shared" si="82"/>
        <v>0</v>
      </c>
      <c r="AD218" s="101">
        <f t="shared" si="82"/>
        <v>0</v>
      </c>
      <c r="AE218" s="101"/>
      <c r="AF218" s="101"/>
      <c r="AG218" s="101"/>
      <c r="AH218" s="101"/>
      <c r="AI218" s="101"/>
      <c r="AJ218" s="101"/>
      <c r="AK218" s="101"/>
      <c r="AL218" s="101"/>
      <c r="AM218" s="101"/>
      <c r="AN218" s="101"/>
      <c r="AO218" s="101"/>
    </row>
    <row r="219" spans="3:41" s="97" customFormat="1" ht="12.6" x14ac:dyDescent="0.25">
      <c r="E219" s="27" t="s">
        <v>159</v>
      </c>
      <c r="F219" s="28"/>
      <c r="G219" s="28"/>
      <c r="H219" s="100"/>
      <c r="I219" s="28"/>
      <c r="J219" s="29" t="s">
        <v>1205</v>
      </c>
      <c r="K219" s="28"/>
      <c r="L219" s="30" t="s">
        <v>211</v>
      </c>
      <c r="M219" s="28"/>
      <c r="N219" s="87"/>
      <c r="O219" s="87"/>
      <c r="P219" s="87"/>
      <c r="Q219" s="87"/>
      <c r="R219" s="100"/>
      <c r="S219" s="100">
        <f t="shared" ref="S219:AD219" si="83">IF(-S218&lt;S214,S218,-S214)</f>
        <v>0</v>
      </c>
      <c r="T219" s="100">
        <f t="shared" si="83"/>
        <v>0</v>
      </c>
      <c r="U219" s="100">
        <f t="shared" si="83"/>
        <v>0</v>
      </c>
      <c r="V219" s="100">
        <f t="shared" si="83"/>
        <v>-18750</v>
      </c>
      <c r="W219" s="100">
        <f t="shared" si="83"/>
        <v>-18750</v>
      </c>
      <c r="X219" s="100">
        <f t="shared" si="83"/>
        <v>-18750</v>
      </c>
      <c r="Y219" s="100">
        <f t="shared" si="83"/>
        <v>-18750</v>
      </c>
      <c r="Z219" s="100">
        <f t="shared" si="83"/>
        <v>0</v>
      </c>
      <c r="AA219" s="100">
        <f t="shared" si="83"/>
        <v>0</v>
      </c>
      <c r="AB219" s="100">
        <f t="shared" si="83"/>
        <v>0</v>
      </c>
      <c r="AC219" s="100">
        <f t="shared" si="83"/>
        <v>0</v>
      </c>
      <c r="AD219" s="100">
        <f t="shared" si="83"/>
        <v>0</v>
      </c>
      <c r="AE219" s="109"/>
      <c r="AF219" s="109"/>
      <c r="AG219" s="109"/>
      <c r="AH219" s="109"/>
      <c r="AI219" s="109"/>
      <c r="AJ219" s="109"/>
      <c r="AK219" s="109"/>
      <c r="AL219" s="109"/>
      <c r="AM219" s="109"/>
      <c r="AN219" s="109"/>
      <c r="AO219" s="109"/>
    </row>
    <row r="220" spans="3:41" s="97" customFormat="1" x14ac:dyDescent="0.2">
      <c r="H220" s="101"/>
      <c r="J220" s="98"/>
      <c r="L220" s="99"/>
      <c r="M220" s="101"/>
      <c r="N220" s="101"/>
      <c r="O220" s="101"/>
      <c r="P220" s="101"/>
      <c r="Q220" s="101"/>
      <c r="R220" s="101"/>
      <c r="S220" s="101"/>
      <c r="T220" s="101"/>
      <c r="U220" s="101"/>
      <c r="V220" s="101"/>
      <c r="W220" s="101"/>
      <c r="X220" s="101"/>
      <c r="Y220" s="101"/>
      <c r="Z220" s="101"/>
      <c r="AA220" s="101"/>
      <c r="AB220" s="101"/>
      <c r="AC220" s="101"/>
      <c r="AD220" s="101"/>
      <c r="AE220" s="101"/>
      <c r="AF220" s="101"/>
      <c r="AG220" s="101"/>
      <c r="AH220" s="101"/>
      <c r="AI220" s="101"/>
      <c r="AJ220" s="101"/>
      <c r="AK220" s="101"/>
      <c r="AL220" s="101"/>
      <c r="AM220" s="101"/>
      <c r="AN220" s="101"/>
      <c r="AO220" s="101"/>
    </row>
    <row r="221" spans="3:41" s="97" customFormat="1" ht="12.6" x14ac:dyDescent="0.25">
      <c r="D221" s="27" t="s">
        <v>158</v>
      </c>
      <c r="E221" s="28"/>
      <c r="F221" s="28"/>
      <c r="G221" s="28"/>
      <c r="H221" s="100"/>
      <c r="I221" s="28"/>
      <c r="J221" s="29" t="s">
        <v>1205</v>
      </c>
      <c r="K221" s="28"/>
      <c r="L221" s="30"/>
      <c r="M221" s="100"/>
      <c r="N221" s="100"/>
      <c r="O221" s="100"/>
      <c r="P221" s="100"/>
      <c r="Q221" s="100"/>
      <c r="R221" s="100"/>
      <c r="S221" s="100">
        <f t="shared" ref="S221:AD221" si="84">S214+S219</f>
        <v>75000</v>
      </c>
      <c r="T221" s="100">
        <f t="shared" si="84"/>
        <v>75000</v>
      </c>
      <c r="U221" s="100">
        <f t="shared" si="84"/>
        <v>75000</v>
      </c>
      <c r="V221" s="100">
        <f t="shared" si="84"/>
        <v>56250</v>
      </c>
      <c r="W221" s="100">
        <f t="shared" si="84"/>
        <v>37500</v>
      </c>
      <c r="X221" s="100">
        <f t="shared" si="84"/>
        <v>18750</v>
      </c>
      <c r="Y221" s="100">
        <f t="shared" si="84"/>
        <v>0</v>
      </c>
      <c r="Z221" s="100">
        <f t="shared" si="84"/>
        <v>0</v>
      </c>
      <c r="AA221" s="100">
        <f t="shared" si="84"/>
        <v>0</v>
      </c>
      <c r="AB221" s="100">
        <f t="shared" si="84"/>
        <v>0</v>
      </c>
      <c r="AC221" s="100">
        <f t="shared" si="84"/>
        <v>0</v>
      </c>
      <c r="AD221" s="100">
        <f t="shared" si="84"/>
        <v>0</v>
      </c>
      <c r="AE221" s="101"/>
      <c r="AF221" s="101"/>
      <c r="AG221" s="101"/>
      <c r="AH221" s="101"/>
      <c r="AI221" s="101"/>
      <c r="AJ221" s="101"/>
      <c r="AK221" s="101"/>
      <c r="AL221" s="101"/>
      <c r="AM221" s="101"/>
      <c r="AN221" s="101"/>
      <c r="AO221" s="101"/>
    </row>
    <row r="222" spans="3:41" s="97" customFormat="1" ht="12.6" x14ac:dyDescent="0.25">
      <c r="D222" s="32"/>
      <c r="E222" s="32"/>
      <c r="F222" s="32"/>
      <c r="G222" s="32"/>
      <c r="H222" s="103"/>
      <c r="I222" s="32"/>
      <c r="J222" s="37"/>
      <c r="K222" s="32"/>
      <c r="L222" s="99"/>
      <c r="M222" s="103"/>
      <c r="N222" s="103"/>
      <c r="O222" s="103"/>
      <c r="P222" s="103"/>
      <c r="Q222" s="103"/>
      <c r="R222" s="103"/>
      <c r="S222" s="103"/>
      <c r="T222" s="103"/>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row>
    <row r="223" spans="3:41" s="97" customFormat="1" x14ac:dyDescent="0.2">
      <c r="E223" s="97" t="s">
        <v>157</v>
      </c>
      <c r="H223" s="101"/>
      <c r="J223" s="98"/>
      <c r="L223" s="99" t="s">
        <v>210</v>
      </c>
      <c r="M223" s="101"/>
      <c r="N223" s="101"/>
      <c r="O223" s="101"/>
      <c r="P223" s="101"/>
      <c r="Q223" s="101"/>
      <c r="R223" s="101"/>
      <c r="S223" s="101"/>
      <c r="T223" s="101"/>
      <c r="U223" s="101"/>
      <c r="V223" s="101"/>
      <c r="W223" s="101"/>
      <c r="X223" s="101"/>
      <c r="Y223" s="101"/>
      <c r="Z223" s="101"/>
      <c r="AA223" s="101"/>
      <c r="AB223" s="101"/>
      <c r="AC223" s="101"/>
      <c r="AD223" s="101"/>
      <c r="AE223" s="101"/>
      <c r="AF223" s="101"/>
      <c r="AG223" s="101"/>
      <c r="AH223" s="101"/>
      <c r="AI223" s="101"/>
      <c r="AJ223" s="101"/>
      <c r="AK223" s="101"/>
      <c r="AL223" s="101"/>
      <c r="AM223" s="101"/>
      <c r="AN223" s="101"/>
      <c r="AO223" s="101"/>
    </row>
    <row r="224" spans="3:41" s="97" customFormat="1" ht="13.2" thickBot="1" x14ac:dyDescent="0.3">
      <c r="D224" s="36" t="s">
        <v>156</v>
      </c>
      <c r="E224" s="58"/>
      <c r="F224" s="58"/>
      <c r="G224" s="58"/>
      <c r="H224" s="105"/>
      <c r="I224" s="58"/>
      <c r="J224" s="59" t="s">
        <v>1205</v>
      </c>
      <c r="K224" s="58"/>
      <c r="L224" s="60" t="s">
        <v>209</v>
      </c>
      <c r="M224" s="105"/>
      <c r="N224" s="105"/>
      <c r="O224" s="182"/>
      <c r="P224" s="182"/>
      <c r="Q224" s="200"/>
      <c r="R224" s="105">
        <f>Act_BS_Debt_LT2</f>
        <v>75000</v>
      </c>
      <c r="S224" s="105">
        <f t="shared" ref="S224:AD224" si="85">S221-S223</f>
        <v>75000</v>
      </c>
      <c r="T224" s="105">
        <f t="shared" si="85"/>
        <v>75000</v>
      </c>
      <c r="U224" s="105">
        <f t="shared" si="85"/>
        <v>75000</v>
      </c>
      <c r="V224" s="105">
        <f t="shared" si="85"/>
        <v>56250</v>
      </c>
      <c r="W224" s="105">
        <f t="shared" si="85"/>
        <v>37500</v>
      </c>
      <c r="X224" s="105">
        <f t="shared" si="85"/>
        <v>18750</v>
      </c>
      <c r="Y224" s="105">
        <f t="shared" si="85"/>
        <v>0</v>
      </c>
      <c r="Z224" s="105">
        <f t="shared" si="85"/>
        <v>0</v>
      </c>
      <c r="AA224" s="105">
        <f t="shared" si="85"/>
        <v>0</v>
      </c>
      <c r="AB224" s="105">
        <f t="shared" si="85"/>
        <v>0</v>
      </c>
      <c r="AC224" s="105">
        <f t="shared" si="85"/>
        <v>0</v>
      </c>
      <c r="AD224" s="105">
        <f t="shared" si="85"/>
        <v>0</v>
      </c>
      <c r="AE224" s="34"/>
      <c r="AF224" s="34"/>
      <c r="AG224" s="34"/>
      <c r="AH224" s="34"/>
      <c r="AI224" s="34"/>
      <c r="AJ224" s="34"/>
      <c r="AK224" s="34"/>
      <c r="AL224" s="34"/>
      <c r="AM224" s="34"/>
      <c r="AN224" s="34"/>
      <c r="AO224" s="34"/>
    </row>
    <row r="225" spans="1:41" s="97" customFormat="1" x14ac:dyDescent="0.2">
      <c r="H225" s="101"/>
      <c r="J225" s="98"/>
      <c r="L225" s="99"/>
      <c r="M225" s="101"/>
      <c r="N225" s="101"/>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row>
    <row r="226" spans="1:41" s="97" customFormat="1" ht="12.6" x14ac:dyDescent="0.25">
      <c r="D226" s="32" t="s">
        <v>155</v>
      </c>
      <c r="H226" s="101"/>
      <c r="J226" s="98"/>
      <c r="L226" s="99"/>
      <c r="M226" s="101"/>
      <c r="N226" s="101"/>
      <c r="O226" s="101"/>
      <c r="P226" s="101"/>
      <c r="Q226" s="101"/>
      <c r="R226" s="101"/>
      <c r="S226" s="101"/>
      <c r="T226" s="101"/>
      <c r="U226" s="101"/>
      <c r="V226" s="101"/>
      <c r="W226" s="101"/>
      <c r="X226" s="101"/>
      <c r="Y226" s="101"/>
      <c r="Z226" s="101"/>
      <c r="AA226" s="101"/>
      <c r="AB226" s="101"/>
      <c r="AC226" s="101"/>
      <c r="AD226" s="101"/>
      <c r="AE226" s="101"/>
      <c r="AF226" s="101"/>
      <c r="AG226" s="101"/>
      <c r="AH226" s="101"/>
      <c r="AI226" s="101"/>
      <c r="AJ226" s="101"/>
      <c r="AK226" s="101"/>
      <c r="AL226" s="101"/>
      <c r="AM226" s="101"/>
      <c r="AN226" s="101"/>
      <c r="AO226" s="101"/>
    </row>
    <row r="227" spans="1:41" s="97" customFormat="1" x14ac:dyDescent="0.2">
      <c r="B227" s="20"/>
      <c r="C227" s="20"/>
      <c r="D227" s="20"/>
      <c r="E227" s="97" t="s">
        <v>154</v>
      </c>
      <c r="J227" s="98" t="s">
        <v>1205</v>
      </c>
      <c r="L227" s="99" t="s">
        <v>208</v>
      </c>
      <c r="N227" s="21"/>
      <c r="O227" s="21"/>
      <c r="P227" s="21"/>
      <c r="Q227" s="101">
        <f t="shared" ref="Q227:AD227" si="86">IF(Q224&gt;0,IF(((R219)*-1)&gt;Q214,Q214,0-(R219)),0)</f>
        <v>0</v>
      </c>
      <c r="R227" s="101">
        <f t="shared" si="86"/>
        <v>0</v>
      </c>
      <c r="S227" s="101">
        <f t="shared" si="86"/>
        <v>0</v>
      </c>
      <c r="T227" s="101">
        <f t="shared" si="86"/>
        <v>0</v>
      </c>
      <c r="U227" s="101">
        <f t="shared" si="86"/>
        <v>18750</v>
      </c>
      <c r="V227" s="101">
        <f t="shared" si="86"/>
        <v>18750</v>
      </c>
      <c r="W227" s="101">
        <f t="shared" si="86"/>
        <v>18750</v>
      </c>
      <c r="X227" s="101">
        <f t="shared" si="86"/>
        <v>18750</v>
      </c>
      <c r="Y227" s="101">
        <f t="shared" si="86"/>
        <v>0</v>
      </c>
      <c r="Z227" s="101">
        <f t="shared" si="86"/>
        <v>0</v>
      </c>
      <c r="AA227" s="101">
        <f t="shared" si="86"/>
        <v>0</v>
      </c>
      <c r="AB227" s="101">
        <f t="shared" si="86"/>
        <v>0</v>
      </c>
      <c r="AC227" s="101">
        <f t="shared" si="86"/>
        <v>0</v>
      </c>
      <c r="AD227" s="21">
        <f t="shared" si="86"/>
        <v>0</v>
      </c>
      <c r="AE227" s="21"/>
      <c r="AF227" s="21"/>
      <c r="AG227" s="21"/>
      <c r="AH227" s="21"/>
      <c r="AI227" s="21"/>
      <c r="AJ227" s="21"/>
      <c r="AK227" s="21"/>
      <c r="AL227" s="21"/>
      <c r="AM227" s="21"/>
      <c r="AN227" s="21"/>
      <c r="AO227" s="21"/>
    </row>
    <row r="228" spans="1:41" s="97" customFormat="1" x14ac:dyDescent="0.2">
      <c r="E228" s="97" t="s">
        <v>153</v>
      </c>
      <c r="H228" s="101"/>
      <c r="J228" s="98" t="s">
        <v>1205</v>
      </c>
      <c r="L228" s="99" t="s">
        <v>207</v>
      </c>
      <c r="M228" s="101"/>
      <c r="N228" s="101"/>
      <c r="O228" s="101"/>
      <c r="P228" s="101"/>
      <c r="Q228" s="101">
        <f t="shared" ref="Q228:AD228" si="87">Q224-Q227</f>
        <v>0</v>
      </c>
      <c r="R228" s="101">
        <f t="shared" si="87"/>
        <v>75000</v>
      </c>
      <c r="S228" s="101">
        <f t="shared" si="87"/>
        <v>75000</v>
      </c>
      <c r="T228" s="101">
        <f t="shared" si="87"/>
        <v>75000</v>
      </c>
      <c r="U228" s="101">
        <f t="shared" si="87"/>
        <v>56250</v>
      </c>
      <c r="V228" s="101">
        <f t="shared" si="87"/>
        <v>37500</v>
      </c>
      <c r="W228" s="101">
        <f t="shared" si="87"/>
        <v>18750</v>
      </c>
      <c r="X228" s="101">
        <f t="shared" si="87"/>
        <v>0</v>
      </c>
      <c r="Y228" s="101">
        <f t="shared" si="87"/>
        <v>0</v>
      </c>
      <c r="Z228" s="101">
        <f t="shared" si="87"/>
        <v>0</v>
      </c>
      <c r="AA228" s="101">
        <f t="shared" si="87"/>
        <v>0</v>
      </c>
      <c r="AB228" s="101">
        <f t="shared" si="87"/>
        <v>0</v>
      </c>
      <c r="AC228" s="101">
        <f t="shared" si="87"/>
        <v>0</v>
      </c>
      <c r="AD228" s="101">
        <f t="shared" si="87"/>
        <v>0</v>
      </c>
      <c r="AE228" s="101"/>
      <c r="AF228" s="101"/>
      <c r="AG228" s="101"/>
      <c r="AH228" s="101"/>
      <c r="AI228" s="101"/>
      <c r="AJ228" s="101"/>
      <c r="AK228" s="101"/>
      <c r="AL228" s="101"/>
      <c r="AM228" s="101"/>
      <c r="AN228" s="101"/>
      <c r="AO228" s="101"/>
    </row>
    <row r="229" spans="1:41" s="97" customFormat="1" x14ac:dyDescent="0.2">
      <c r="H229" s="101"/>
      <c r="J229" s="98"/>
      <c r="L229" s="99"/>
      <c r="M229" s="101"/>
      <c r="N229" s="101"/>
      <c r="O229" s="101"/>
      <c r="P229" s="101"/>
      <c r="Q229" s="101"/>
      <c r="R229" s="101"/>
      <c r="S229" s="101"/>
      <c r="T229" s="101"/>
      <c r="U229" s="101"/>
      <c r="V229" s="101"/>
      <c r="W229" s="101"/>
      <c r="X229" s="101"/>
      <c r="Y229" s="101"/>
      <c r="Z229" s="101"/>
      <c r="AA229" s="101"/>
      <c r="AB229" s="101"/>
      <c r="AC229" s="101"/>
      <c r="AD229" s="101"/>
      <c r="AE229" s="101"/>
      <c r="AF229" s="101"/>
      <c r="AG229" s="101"/>
      <c r="AH229" s="101"/>
      <c r="AI229" s="101"/>
      <c r="AJ229" s="101"/>
      <c r="AK229" s="101"/>
      <c r="AL229" s="101"/>
      <c r="AM229" s="101"/>
      <c r="AN229" s="101"/>
      <c r="AO229" s="101"/>
    </row>
    <row r="230" spans="1:41" s="97" customFormat="1" ht="12.6" x14ac:dyDescent="0.25">
      <c r="D230" s="32" t="s">
        <v>152</v>
      </c>
      <c r="H230" s="101"/>
      <c r="J230" s="98" t="s">
        <v>20</v>
      </c>
      <c r="L230" s="99"/>
      <c r="M230" s="101"/>
      <c r="N230" s="101"/>
      <c r="O230" s="101"/>
      <c r="P230" s="101"/>
      <c r="Q230" s="101"/>
      <c r="R230" s="101">
        <f t="shared" ref="R230:AD230" si="88">Inputs_Basecase_TL2_Months_Oustanding</f>
        <v>0</v>
      </c>
      <c r="S230" s="101">
        <f t="shared" si="88"/>
        <v>12</v>
      </c>
      <c r="T230" s="101">
        <f t="shared" si="88"/>
        <v>12</v>
      </c>
      <c r="U230" s="101">
        <f t="shared" si="88"/>
        <v>12</v>
      </c>
      <c r="V230" s="101">
        <f t="shared" si="88"/>
        <v>12</v>
      </c>
      <c r="W230" s="101">
        <f t="shared" si="88"/>
        <v>12</v>
      </c>
      <c r="X230" s="101">
        <f t="shared" si="88"/>
        <v>12</v>
      </c>
      <c r="Y230" s="101">
        <f t="shared" si="88"/>
        <v>12</v>
      </c>
      <c r="Z230" s="101">
        <f t="shared" si="88"/>
        <v>12</v>
      </c>
      <c r="AA230" s="101">
        <f t="shared" si="88"/>
        <v>12</v>
      </c>
      <c r="AB230" s="101">
        <f t="shared" si="88"/>
        <v>12</v>
      </c>
      <c r="AC230" s="101">
        <f t="shared" si="88"/>
        <v>12</v>
      </c>
      <c r="AD230" s="101">
        <f t="shared" si="88"/>
        <v>12</v>
      </c>
      <c r="AE230" s="108"/>
      <c r="AF230" s="108"/>
      <c r="AG230" s="108"/>
      <c r="AH230" s="108"/>
      <c r="AI230" s="108"/>
      <c r="AJ230" s="108"/>
      <c r="AK230" s="108"/>
      <c r="AL230" s="108"/>
      <c r="AM230" s="108"/>
      <c r="AN230" s="108"/>
      <c r="AO230" s="108"/>
    </row>
    <row r="231" spans="1:41" s="97" customFormat="1" x14ac:dyDescent="0.2">
      <c r="H231" s="101"/>
      <c r="J231" s="98"/>
      <c r="L231" s="99"/>
      <c r="M231" s="101"/>
      <c r="N231" s="101"/>
      <c r="O231" s="101"/>
      <c r="P231" s="101"/>
      <c r="Q231" s="101"/>
      <c r="R231" s="101"/>
      <c r="S231" s="101"/>
      <c r="T231" s="101"/>
      <c r="U231" s="101"/>
      <c r="V231" s="101"/>
      <c r="W231" s="101"/>
      <c r="X231" s="101"/>
      <c r="Y231" s="101"/>
      <c r="Z231" s="101"/>
      <c r="AA231" s="101"/>
      <c r="AB231" s="101"/>
      <c r="AC231" s="101"/>
      <c r="AD231" s="101"/>
      <c r="AE231" s="101"/>
      <c r="AF231" s="101"/>
      <c r="AG231" s="101"/>
      <c r="AH231" s="101"/>
      <c r="AI231" s="101"/>
      <c r="AJ231" s="101"/>
      <c r="AK231" s="101"/>
      <c r="AL231" s="101"/>
      <c r="AM231" s="101"/>
      <c r="AN231" s="101"/>
      <c r="AO231" s="101"/>
    </row>
    <row r="232" spans="1:41" s="97" customFormat="1" ht="12.6" x14ac:dyDescent="0.25">
      <c r="D232" s="32" t="s">
        <v>151</v>
      </c>
      <c r="H232" s="101"/>
      <c r="J232" s="98"/>
      <c r="L232" s="99"/>
      <c r="M232" s="101"/>
      <c r="N232" s="101"/>
      <c r="O232" s="101"/>
      <c r="P232" s="101"/>
      <c r="Q232" s="101"/>
      <c r="R232" s="101"/>
      <c r="S232" s="101"/>
      <c r="T232" s="101"/>
      <c r="U232" s="101"/>
      <c r="V232" s="101"/>
      <c r="W232" s="101"/>
      <c r="X232" s="101"/>
      <c r="Y232" s="101"/>
      <c r="Z232" s="101"/>
      <c r="AA232" s="101"/>
      <c r="AB232" s="101"/>
      <c r="AC232" s="101"/>
      <c r="AD232" s="101"/>
      <c r="AE232" s="101"/>
      <c r="AF232" s="101"/>
      <c r="AG232" s="101"/>
      <c r="AH232" s="101"/>
      <c r="AI232" s="101"/>
      <c r="AJ232" s="101"/>
      <c r="AK232" s="101"/>
      <c r="AL232" s="101"/>
      <c r="AM232" s="101"/>
      <c r="AN232" s="101"/>
      <c r="AO232" s="101"/>
    </row>
    <row r="233" spans="1:41" s="97" customFormat="1" x14ac:dyDescent="0.2">
      <c r="E233" s="97" t="s">
        <v>150</v>
      </c>
      <c r="H233" s="101"/>
      <c r="J233" s="98" t="s">
        <v>1205</v>
      </c>
      <c r="L233" s="99" t="s">
        <v>206</v>
      </c>
      <c r="M233" s="101"/>
      <c r="N233" s="101"/>
      <c r="O233" s="101"/>
      <c r="P233" s="101"/>
      <c r="Q233" s="181"/>
      <c r="R233" s="21">
        <f t="shared" ref="R233:AD233" si="89">IF(AND(Inputs_Basecase_TL2_Availability_Start_Date&gt;Q$5,Inputs_Basecase_TL2_Availability_Start_Date&lt;R$5),-Inputs_Basecase_TL2_Arrangement_Fee*Inputs_Basecase_TL2_Maximum_Facility,0)</f>
        <v>0</v>
      </c>
      <c r="S233" s="21">
        <f t="shared" si="89"/>
        <v>0</v>
      </c>
      <c r="T233" s="21">
        <f t="shared" si="89"/>
        <v>0</v>
      </c>
      <c r="U233" s="21">
        <f t="shared" si="89"/>
        <v>0</v>
      </c>
      <c r="V233" s="21">
        <f t="shared" si="89"/>
        <v>0</v>
      </c>
      <c r="W233" s="21">
        <f t="shared" si="89"/>
        <v>0</v>
      </c>
      <c r="X233" s="21">
        <f t="shared" si="89"/>
        <v>0</v>
      </c>
      <c r="Y233" s="21">
        <f t="shared" si="89"/>
        <v>0</v>
      </c>
      <c r="Z233" s="21">
        <f t="shared" si="89"/>
        <v>0</v>
      </c>
      <c r="AA233" s="21">
        <f t="shared" si="89"/>
        <v>0</v>
      </c>
      <c r="AB233" s="21">
        <f t="shared" si="89"/>
        <v>0</v>
      </c>
      <c r="AC233" s="21">
        <f t="shared" si="89"/>
        <v>0</v>
      </c>
      <c r="AD233" s="21">
        <f t="shared" si="89"/>
        <v>0</v>
      </c>
      <c r="AE233" s="181"/>
      <c r="AF233" s="181"/>
      <c r="AG233" s="181"/>
      <c r="AH233" s="181"/>
      <c r="AI233" s="181"/>
      <c r="AJ233" s="181"/>
      <c r="AK233" s="181"/>
      <c r="AL233" s="181"/>
      <c r="AM233" s="181"/>
      <c r="AN233" s="181"/>
      <c r="AO233" s="181"/>
    </row>
    <row r="234" spans="1:41" s="97" customFormat="1" x14ac:dyDescent="0.2">
      <c r="E234" s="97" t="s">
        <v>149</v>
      </c>
      <c r="H234" s="101"/>
      <c r="J234" s="98" t="s">
        <v>1205</v>
      </c>
      <c r="L234" s="99" t="s">
        <v>205</v>
      </c>
      <c r="M234" s="101"/>
      <c r="N234" s="101"/>
      <c r="O234" s="101"/>
      <c r="P234" s="101"/>
      <c r="Q234" s="101"/>
      <c r="R234" s="101">
        <f t="shared" ref="R234:AD234" si="90">-((Q209+R209)/2)*(R204*R230)</f>
        <v>0</v>
      </c>
      <c r="S234" s="101">
        <f t="shared" si="90"/>
        <v>0</v>
      </c>
      <c r="T234" s="101">
        <f t="shared" si="90"/>
        <v>0</v>
      </c>
      <c r="U234" s="101">
        <f t="shared" si="90"/>
        <v>0</v>
      </c>
      <c r="V234" s="101">
        <f t="shared" si="90"/>
        <v>0</v>
      </c>
      <c r="W234" s="101">
        <f t="shared" si="90"/>
        <v>0</v>
      </c>
      <c r="X234" s="101">
        <f t="shared" si="90"/>
        <v>0</v>
      </c>
      <c r="Y234" s="101">
        <f t="shared" si="90"/>
        <v>0</v>
      </c>
      <c r="Z234" s="101">
        <f t="shared" si="90"/>
        <v>0</v>
      </c>
      <c r="AA234" s="101">
        <f t="shared" si="90"/>
        <v>0</v>
      </c>
      <c r="AB234" s="101">
        <f t="shared" si="90"/>
        <v>0</v>
      </c>
      <c r="AC234" s="101">
        <f t="shared" si="90"/>
        <v>0</v>
      </c>
      <c r="AD234" s="101">
        <f t="shared" si="90"/>
        <v>0</v>
      </c>
      <c r="AE234" s="101"/>
      <c r="AF234" s="101"/>
      <c r="AG234" s="101"/>
      <c r="AH234" s="101"/>
      <c r="AI234" s="101"/>
      <c r="AJ234" s="101"/>
      <c r="AK234" s="101"/>
      <c r="AL234" s="101"/>
      <c r="AM234" s="101"/>
      <c r="AN234" s="101"/>
      <c r="AO234" s="101"/>
    </row>
    <row r="235" spans="1:41" s="97" customFormat="1" x14ac:dyDescent="0.2">
      <c r="E235" s="28" t="s">
        <v>148</v>
      </c>
      <c r="F235" s="28"/>
      <c r="G235" s="28"/>
      <c r="H235" s="100"/>
      <c r="I235" s="28"/>
      <c r="J235" s="29" t="s">
        <v>1205</v>
      </c>
      <c r="K235" s="28"/>
      <c r="L235" s="30"/>
      <c r="M235" s="100"/>
      <c r="N235" s="100"/>
      <c r="O235" s="100"/>
      <c r="P235" s="100"/>
      <c r="Q235" s="100"/>
      <c r="R235" s="100">
        <f t="shared" ref="R235:AD235" si="91">R233+R234</f>
        <v>0</v>
      </c>
      <c r="S235" s="100">
        <f t="shared" si="91"/>
        <v>0</v>
      </c>
      <c r="T235" s="100">
        <f t="shared" si="91"/>
        <v>0</v>
      </c>
      <c r="U235" s="100">
        <f t="shared" si="91"/>
        <v>0</v>
      </c>
      <c r="V235" s="100">
        <f t="shared" si="91"/>
        <v>0</v>
      </c>
      <c r="W235" s="100">
        <f t="shared" si="91"/>
        <v>0</v>
      </c>
      <c r="X235" s="100">
        <f t="shared" si="91"/>
        <v>0</v>
      </c>
      <c r="Y235" s="100">
        <f t="shared" si="91"/>
        <v>0</v>
      </c>
      <c r="Z235" s="100">
        <f t="shared" si="91"/>
        <v>0</v>
      </c>
      <c r="AA235" s="100">
        <f t="shared" si="91"/>
        <v>0</v>
      </c>
      <c r="AB235" s="100">
        <f t="shared" si="91"/>
        <v>0</v>
      </c>
      <c r="AC235" s="100">
        <f t="shared" si="91"/>
        <v>0</v>
      </c>
      <c r="AD235" s="100">
        <f t="shared" si="91"/>
        <v>0</v>
      </c>
      <c r="AE235" s="101"/>
      <c r="AF235" s="101"/>
      <c r="AG235" s="101"/>
      <c r="AH235" s="101"/>
      <c r="AI235" s="101"/>
      <c r="AJ235" s="101"/>
      <c r="AK235" s="101"/>
      <c r="AL235" s="101"/>
      <c r="AM235" s="101"/>
      <c r="AN235" s="101"/>
      <c r="AO235" s="101"/>
    </row>
    <row r="236" spans="1:41" s="97" customFormat="1" x14ac:dyDescent="0.2">
      <c r="E236" s="20"/>
      <c r="H236" s="101"/>
      <c r="J236" s="98"/>
      <c r="L236" s="99"/>
      <c r="M236" s="101"/>
      <c r="N236" s="101"/>
      <c r="O236" s="101"/>
      <c r="P236" s="101"/>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row>
    <row r="237" spans="1:41" s="97" customFormat="1" ht="12.6" x14ac:dyDescent="0.25">
      <c r="D237" s="27" t="s">
        <v>147</v>
      </c>
      <c r="E237" s="28"/>
      <c r="F237" s="28"/>
      <c r="G237" s="28"/>
      <c r="H237" s="100"/>
      <c r="I237" s="28"/>
      <c r="J237" s="29" t="s">
        <v>1205</v>
      </c>
      <c r="K237" s="28"/>
      <c r="L237" s="30" t="s">
        <v>204</v>
      </c>
      <c r="M237" s="100"/>
      <c r="N237" s="100"/>
      <c r="O237" s="100"/>
      <c r="P237" s="100"/>
      <c r="Q237" s="100"/>
      <c r="R237" s="100">
        <f t="shared" ref="R237:AD237" si="92">-((R212+R214)/2)*(R202*R230)</f>
        <v>0</v>
      </c>
      <c r="S237" s="100" t="e">
        <f t="shared" si="92"/>
        <v>#NAME?</v>
      </c>
      <c r="T237" s="100" t="e">
        <f t="shared" si="92"/>
        <v>#NAME?</v>
      </c>
      <c r="U237" s="100" t="e">
        <f t="shared" si="92"/>
        <v>#NAME?</v>
      </c>
      <c r="V237" s="100" t="e">
        <f t="shared" si="92"/>
        <v>#NAME?</v>
      </c>
      <c r="W237" s="100" t="e">
        <f t="shared" si="92"/>
        <v>#NAME?</v>
      </c>
      <c r="X237" s="100" t="e">
        <f t="shared" si="92"/>
        <v>#NAME?</v>
      </c>
      <c r="Y237" s="100" t="e">
        <f t="shared" si="92"/>
        <v>#NAME?</v>
      </c>
      <c r="Z237" s="100" t="e">
        <f t="shared" si="92"/>
        <v>#NAME?</v>
      </c>
      <c r="AA237" s="100" t="e">
        <f t="shared" si="92"/>
        <v>#NAME?</v>
      </c>
      <c r="AB237" s="100" t="e">
        <f t="shared" si="92"/>
        <v>#NAME?</v>
      </c>
      <c r="AC237" s="100" t="e">
        <f t="shared" si="92"/>
        <v>#NAME?</v>
      </c>
      <c r="AD237" s="100" t="e">
        <f t="shared" si="92"/>
        <v>#NAME?</v>
      </c>
      <c r="AE237" s="101"/>
      <c r="AF237" s="101"/>
      <c r="AG237" s="101"/>
      <c r="AH237" s="101"/>
      <c r="AI237" s="101"/>
      <c r="AJ237" s="101"/>
      <c r="AK237" s="101"/>
      <c r="AL237" s="101"/>
      <c r="AM237" s="101"/>
      <c r="AN237" s="101"/>
      <c r="AO237" s="101"/>
    </row>
    <row r="238" spans="1:41" s="97" customFormat="1" ht="12.6" x14ac:dyDescent="0.25">
      <c r="D238" s="32"/>
      <c r="H238" s="101"/>
      <c r="J238" s="98"/>
      <c r="L238" s="99"/>
      <c r="M238" s="101"/>
      <c r="N238" s="101"/>
      <c r="O238" s="101"/>
      <c r="P238" s="101"/>
      <c r="Q238" s="101"/>
      <c r="R238" s="101"/>
      <c r="S238" s="101"/>
      <c r="T238" s="101"/>
      <c r="U238" s="101"/>
      <c r="V238" s="101"/>
      <c r="W238" s="101"/>
      <c r="X238" s="101"/>
      <c r="Y238" s="101"/>
      <c r="Z238" s="101"/>
      <c r="AA238" s="101"/>
      <c r="AB238" s="101"/>
      <c r="AC238" s="101"/>
      <c r="AD238" s="101"/>
      <c r="AE238" s="101"/>
      <c r="AF238" s="101"/>
      <c r="AG238" s="101"/>
      <c r="AH238" s="101"/>
      <c r="AI238" s="101"/>
      <c r="AJ238" s="101"/>
      <c r="AK238" s="101"/>
      <c r="AL238" s="101"/>
      <c r="AM238" s="101"/>
      <c r="AN238" s="101"/>
      <c r="AO238" s="101"/>
    </row>
    <row r="239" spans="1:41" s="97" customFormat="1" ht="13.2" thickBot="1" x14ac:dyDescent="0.3">
      <c r="D239" s="32"/>
      <c r="H239" s="101"/>
      <c r="J239" s="98"/>
      <c r="L239" s="99"/>
      <c r="M239" s="101"/>
      <c r="N239" s="101"/>
      <c r="O239" s="101"/>
      <c r="P239" s="101"/>
      <c r="Q239" s="101"/>
      <c r="R239" s="101"/>
      <c r="S239" s="101"/>
      <c r="T239" s="101"/>
      <c r="U239" s="101"/>
      <c r="V239" s="101"/>
      <c r="W239" s="101"/>
      <c r="X239" s="101"/>
      <c r="Y239" s="101"/>
      <c r="Z239" s="101"/>
      <c r="AA239" s="101"/>
      <c r="AB239" s="101"/>
      <c r="AC239" s="101"/>
      <c r="AD239" s="101"/>
      <c r="AE239" s="101"/>
      <c r="AF239" s="101"/>
      <c r="AG239" s="101"/>
      <c r="AH239" s="101"/>
      <c r="AI239" s="101"/>
      <c r="AJ239" s="101"/>
      <c r="AK239" s="101"/>
      <c r="AL239" s="101"/>
      <c r="AM239" s="101"/>
      <c r="AN239" s="101"/>
      <c r="AO239" s="101"/>
    </row>
    <row r="240" spans="1:41" s="97" customFormat="1" ht="12.6" thickTop="1" x14ac:dyDescent="0.2">
      <c r="A240" s="1"/>
      <c r="B240" s="20"/>
      <c r="C240" s="337" t="s">
        <v>522</v>
      </c>
      <c r="D240" s="337"/>
      <c r="E240" s="338"/>
      <c r="F240" s="338"/>
      <c r="G240" s="338"/>
      <c r="H240" s="338"/>
      <c r="I240" s="338"/>
      <c r="J240" s="340"/>
      <c r="K240" s="338"/>
      <c r="L240" s="342"/>
      <c r="M240" s="338"/>
      <c r="N240" s="343"/>
      <c r="O240" s="343"/>
      <c r="P240" s="343"/>
      <c r="Q240" s="343"/>
      <c r="R240" s="343"/>
      <c r="S240" s="343"/>
      <c r="T240" s="343"/>
      <c r="U240" s="343"/>
      <c r="V240" s="343"/>
      <c r="W240" s="343"/>
      <c r="X240" s="343"/>
      <c r="Y240" s="343"/>
      <c r="Z240" s="343"/>
      <c r="AA240" s="343"/>
      <c r="AB240" s="343"/>
      <c r="AC240" s="343"/>
      <c r="AD240" s="343"/>
      <c r="AE240" s="101"/>
      <c r="AF240" s="101"/>
      <c r="AG240" s="101"/>
      <c r="AH240" s="101"/>
      <c r="AI240" s="101"/>
      <c r="AJ240" s="101"/>
      <c r="AK240" s="101"/>
      <c r="AL240" s="101"/>
      <c r="AM240" s="101"/>
      <c r="AN240" s="101"/>
      <c r="AO240" s="101"/>
    </row>
    <row r="241" spans="3:41" s="97" customFormat="1" ht="12.6" x14ac:dyDescent="0.25">
      <c r="C241" s="20"/>
      <c r="D241" s="32"/>
      <c r="H241" s="101"/>
      <c r="J241" s="98"/>
      <c r="L241" s="99"/>
      <c r="M241" s="101"/>
      <c r="N241" s="101"/>
      <c r="O241" s="101"/>
      <c r="P241" s="84"/>
      <c r="Q241" s="101"/>
      <c r="R241" s="101"/>
      <c r="S241" s="101"/>
      <c r="T241" s="101"/>
      <c r="U241" s="101"/>
      <c r="V241" s="101"/>
      <c r="W241" s="101"/>
      <c r="X241" s="101"/>
      <c r="Y241" s="101"/>
      <c r="Z241" s="101"/>
      <c r="AA241" s="101"/>
      <c r="AB241" s="101"/>
      <c r="AC241" s="101"/>
      <c r="AD241" s="101"/>
      <c r="AE241" s="101"/>
      <c r="AF241" s="101"/>
      <c r="AG241" s="101"/>
      <c r="AH241" s="101"/>
      <c r="AI241" s="101"/>
      <c r="AJ241" s="101"/>
      <c r="AK241" s="101"/>
      <c r="AL241" s="101"/>
      <c r="AM241" s="101"/>
      <c r="AN241" s="101"/>
      <c r="AO241" s="101"/>
    </row>
    <row r="242" spans="3:41" s="97" customFormat="1" ht="12.6" x14ac:dyDescent="0.25">
      <c r="C242" s="20"/>
      <c r="D242" s="32" t="s">
        <v>173</v>
      </c>
      <c r="E242" s="32"/>
      <c r="G242" s="184"/>
      <c r="H242" s="101"/>
      <c r="J242" s="98" t="s">
        <v>1205</v>
      </c>
      <c r="L242" s="99"/>
      <c r="M242" s="101"/>
      <c r="N242" s="101"/>
      <c r="O242" s="101"/>
      <c r="P242" s="84"/>
      <c r="Q242" s="101"/>
      <c r="R242" s="101">
        <f t="shared" ref="R242:AD242" si="93">Inputs_Basecase_TL3_Maximum_Facility</f>
        <v>16652</v>
      </c>
      <c r="S242" s="101">
        <f t="shared" si="93"/>
        <v>16652</v>
      </c>
      <c r="T242" s="101">
        <f t="shared" si="93"/>
        <v>16652</v>
      </c>
      <c r="U242" s="101">
        <f t="shared" si="93"/>
        <v>16652</v>
      </c>
      <c r="V242" s="101">
        <f t="shared" si="93"/>
        <v>16652</v>
      </c>
      <c r="W242" s="101">
        <f t="shared" si="93"/>
        <v>16652</v>
      </c>
      <c r="X242" s="101">
        <f t="shared" si="93"/>
        <v>16652</v>
      </c>
      <c r="Y242" s="101">
        <f t="shared" si="93"/>
        <v>16652</v>
      </c>
      <c r="Z242" s="101">
        <f t="shared" si="93"/>
        <v>16652</v>
      </c>
      <c r="AA242" s="101">
        <f t="shared" si="93"/>
        <v>16652</v>
      </c>
      <c r="AB242" s="101">
        <f t="shared" si="93"/>
        <v>16652</v>
      </c>
      <c r="AC242" s="101">
        <f t="shared" si="93"/>
        <v>16652</v>
      </c>
      <c r="AD242" s="101">
        <f t="shared" si="93"/>
        <v>16652</v>
      </c>
      <c r="AE242" s="101"/>
      <c r="AF242" s="101"/>
      <c r="AG242" s="101"/>
      <c r="AH242" s="101"/>
      <c r="AI242" s="101"/>
      <c r="AJ242" s="101"/>
      <c r="AK242" s="101"/>
      <c r="AL242" s="101"/>
      <c r="AM242" s="101"/>
      <c r="AN242" s="101"/>
      <c r="AO242" s="101"/>
    </row>
    <row r="243" spans="3:41" s="97" customFormat="1" ht="12.6" x14ac:dyDescent="0.25">
      <c r="C243" s="20"/>
      <c r="D243" s="32"/>
      <c r="H243" s="101"/>
      <c r="J243" s="98"/>
      <c r="L243" s="99"/>
      <c r="M243" s="101"/>
      <c r="N243" s="101"/>
      <c r="O243" s="101"/>
      <c r="P243" s="84"/>
      <c r="Q243" s="101"/>
      <c r="AE243" s="101"/>
      <c r="AF243" s="101"/>
      <c r="AG243" s="101"/>
      <c r="AH243" s="101"/>
      <c r="AI243" s="101"/>
      <c r="AJ243" s="101"/>
      <c r="AK243" s="101"/>
      <c r="AL243" s="101"/>
      <c r="AM243" s="101"/>
      <c r="AN243" s="101"/>
      <c r="AO243" s="101"/>
    </row>
    <row r="244" spans="3:41" s="97" customFormat="1" ht="12.6" x14ac:dyDescent="0.25">
      <c r="D244" s="32" t="s">
        <v>172</v>
      </c>
      <c r="H244" s="101"/>
      <c r="J244" s="98"/>
      <c r="L244" s="99"/>
      <c r="M244" s="101"/>
      <c r="N244" s="101"/>
      <c r="O244" s="101"/>
      <c r="P244" s="101"/>
      <c r="Q244" s="101"/>
      <c r="R244" s="101"/>
      <c r="S244" s="101"/>
      <c r="T244" s="101"/>
      <c r="U244" s="101"/>
      <c r="V244" s="101"/>
      <c r="W244" s="101"/>
      <c r="X244" s="101"/>
      <c r="Y244" s="101"/>
      <c r="Z244" s="101"/>
      <c r="AA244" s="101"/>
      <c r="AB244" s="101"/>
      <c r="AC244" s="101"/>
      <c r="AD244" s="101"/>
      <c r="AE244" s="101"/>
      <c r="AF244" s="101"/>
      <c r="AG244" s="101"/>
      <c r="AH244" s="101"/>
      <c r="AI244" s="101"/>
      <c r="AJ244" s="101"/>
      <c r="AK244" s="101"/>
      <c r="AL244" s="101"/>
      <c r="AM244" s="101"/>
      <c r="AN244" s="101"/>
      <c r="AO244" s="101"/>
    </row>
    <row r="245" spans="3:41" s="97" customFormat="1" x14ac:dyDescent="0.2">
      <c r="E245" s="97" t="s">
        <v>1207</v>
      </c>
      <c r="H245" s="101"/>
      <c r="J245" s="98" t="s">
        <v>49</v>
      </c>
      <c r="L245" s="99"/>
      <c r="N245" s="109"/>
      <c r="O245" s="109"/>
      <c r="P245" s="109"/>
      <c r="Q245" s="109"/>
      <c r="R245" s="24"/>
      <c r="S245" s="24" t="e">
        <f t="shared" ref="S245:AD245" si="94">Inputs_Basecase_SARobor</f>
        <v>#NAME?</v>
      </c>
      <c r="T245" s="24" t="e">
        <f t="shared" si="94"/>
        <v>#NAME?</v>
      </c>
      <c r="U245" s="24" t="e">
        <f t="shared" si="94"/>
        <v>#NAME?</v>
      </c>
      <c r="V245" s="24" t="e">
        <f t="shared" si="94"/>
        <v>#NAME?</v>
      </c>
      <c r="W245" s="24" t="e">
        <f t="shared" si="94"/>
        <v>#NAME?</v>
      </c>
      <c r="X245" s="24" t="e">
        <f t="shared" si="94"/>
        <v>#NAME?</v>
      </c>
      <c r="Y245" s="24" t="e">
        <f t="shared" si="94"/>
        <v>#NAME?</v>
      </c>
      <c r="Z245" s="24" t="e">
        <f t="shared" si="94"/>
        <v>#NAME?</v>
      </c>
      <c r="AA245" s="24" t="e">
        <f t="shared" si="94"/>
        <v>#NAME?</v>
      </c>
      <c r="AB245" s="24" t="e">
        <f t="shared" si="94"/>
        <v>#NAME?</v>
      </c>
      <c r="AC245" s="24" t="e">
        <f t="shared" si="94"/>
        <v>#NAME?</v>
      </c>
      <c r="AD245" s="24" t="e">
        <f t="shared" si="94"/>
        <v>#NAME?</v>
      </c>
      <c r="AE245" s="24"/>
      <c r="AF245" s="109"/>
      <c r="AG245" s="109"/>
      <c r="AH245" s="109"/>
      <c r="AI245" s="109"/>
      <c r="AJ245" s="109"/>
      <c r="AK245" s="109"/>
      <c r="AL245" s="109"/>
      <c r="AM245" s="109"/>
      <c r="AN245" s="109"/>
      <c r="AO245" s="109"/>
    </row>
    <row r="246" spans="3:41" s="97" customFormat="1" x14ac:dyDescent="0.2">
      <c r="E246" s="97" t="s">
        <v>171</v>
      </c>
      <c r="H246" s="101"/>
      <c r="J246" s="98" t="s">
        <v>49</v>
      </c>
      <c r="L246" s="99"/>
      <c r="M246" s="101"/>
      <c r="N246" s="101"/>
      <c r="O246" s="101"/>
      <c r="P246" s="101"/>
      <c r="Q246" s="101"/>
      <c r="R246" s="96"/>
      <c r="S246" s="96">
        <f t="shared" ref="S246:AD246" si="95">Inputs_Basecase_TL3_Margin</f>
        <v>1.2E-2</v>
      </c>
      <c r="T246" s="96">
        <f t="shared" si="95"/>
        <v>1.2E-2</v>
      </c>
      <c r="U246" s="96">
        <f t="shared" si="95"/>
        <v>1.2E-2</v>
      </c>
      <c r="V246" s="96">
        <f t="shared" si="95"/>
        <v>1.2E-2</v>
      </c>
      <c r="W246" s="96">
        <f t="shared" si="95"/>
        <v>1.2E-2</v>
      </c>
      <c r="X246" s="96">
        <f t="shared" si="95"/>
        <v>1.2E-2</v>
      </c>
      <c r="Y246" s="96">
        <f t="shared" si="95"/>
        <v>1.2E-2</v>
      </c>
      <c r="Z246" s="96">
        <f t="shared" si="95"/>
        <v>1.2E-2</v>
      </c>
      <c r="AA246" s="96">
        <f t="shared" si="95"/>
        <v>1.2E-2</v>
      </c>
      <c r="AB246" s="96">
        <f t="shared" si="95"/>
        <v>1.2E-2</v>
      </c>
      <c r="AC246" s="96">
        <f t="shared" si="95"/>
        <v>1.2E-2</v>
      </c>
      <c r="AD246" s="96">
        <f t="shared" si="95"/>
        <v>1.2E-2</v>
      </c>
      <c r="AE246" s="96"/>
      <c r="AF246" s="101"/>
      <c r="AG246" s="101"/>
      <c r="AH246" s="101"/>
      <c r="AI246" s="101"/>
      <c r="AJ246" s="101"/>
      <c r="AK246" s="101"/>
      <c r="AL246" s="101"/>
      <c r="AM246" s="101"/>
      <c r="AN246" s="101"/>
      <c r="AO246" s="101"/>
    </row>
    <row r="247" spans="3:41" s="97" customFormat="1" ht="12.6" x14ac:dyDescent="0.25">
      <c r="C247" s="32"/>
      <c r="D247" s="32"/>
      <c r="E247" s="97" t="s">
        <v>170</v>
      </c>
      <c r="H247" s="101"/>
      <c r="J247" s="98" t="s">
        <v>49</v>
      </c>
      <c r="L247" s="99"/>
      <c r="N247" s="101"/>
      <c r="O247" s="101"/>
      <c r="P247" s="101"/>
      <c r="Q247" s="34"/>
      <c r="R247" s="24"/>
      <c r="S247" s="24" t="e">
        <f t="shared" ref="S247:AD247" si="96">+S246+S245</f>
        <v>#NAME?</v>
      </c>
      <c r="T247" s="24" t="e">
        <f t="shared" si="96"/>
        <v>#NAME?</v>
      </c>
      <c r="U247" s="24" t="e">
        <f t="shared" si="96"/>
        <v>#NAME?</v>
      </c>
      <c r="V247" s="24" t="e">
        <f t="shared" si="96"/>
        <v>#NAME?</v>
      </c>
      <c r="W247" s="24" t="e">
        <f t="shared" si="96"/>
        <v>#NAME?</v>
      </c>
      <c r="X247" s="24" t="e">
        <f t="shared" si="96"/>
        <v>#NAME?</v>
      </c>
      <c r="Y247" s="24" t="e">
        <f t="shared" si="96"/>
        <v>#NAME?</v>
      </c>
      <c r="Z247" s="24" t="e">
        <f t="shared" si="96"/>
        <v>#NAME?</v>
      </c>
      <c r="AA247" s="24" t="e">
        <f t="shared" si="96"/>
        <v>#NAME?</v>
      </c>
      <c r="AB247" s="24" t="e">
        <f t="shared" si="96"/>
        <v>#NAME?</v>
      </c>
      <c r="AC247" s="24" t="e">
        <f t="shared" si="96"/>
        <v>#NAME?</v>
      </c>
      <c r="AD247" s="24" t="e">
        <f t="shared" si="96"/>
        <v>#NAME?</v>
      </c>
      <c r="AE247" s="24"/>
      <c r="AF247" s="34"/>
      <c r="AG247" s="34"/>
      <c r="AH247" s="34"/>
      <c r="AI247" s="34"/>
      <c r="AJ247" s="34"/>
      <c r="AK247" s="34"/>
      <c r="AL247" s="34"/>
      <c r="AM247" s="34"/>
      <c r="AN247" s="34"/>
      <c r="AO247" s="34"/>
    </row>
    <row r="248" spans="3:41" s="97" customFormat="1" ht="12.6" x14ac:dyDescent="0.25">
      <c r="C248" s="20"/>
      <c r="D248" s="32"/>
      <c r="E248" s="27" t="s">
        <v>169</v>
      </c>
      <c r="F248" s="28"/>
      <c r="G248" s="28"/>
      <c r="H248" s="100"/>
      <c r="I248" s="28"/>
      <c r="J248" s="29" t="s">
        <v>49</v>
      </c>
      <c r="K248" s="28"/>
      <c r="L248" s="30"/>
      <c r="M248" s="100"/>
      <c r="N248" s="100"/>
      <c r="O248" s="100"/>
      <c r="P248" s="88"/>
      <c r="Q248" s="100"/>
      <c r="R248" s="183"/>
      <c r="S248" s="183" t="e">
        <f t="shared" ref="S248:AD248" si="97">((1+(S246+S245))^(1/12))-1</f>
        <v>#NAME?</v>
      </c>
      <c r="T248" s="183" t="e">
        <f t="shared" si="97"/>
        <v>#NAME?</v>
      </c>
      <c r="U248" s="183" t="e">
        <f t="shared" si="97"/>
        <v>#NAME?</v>
      </c>
      <c r="V248" s="183" t="e">
        <f t="shared" si="97"/>
        <v>#NAME?</v>
      </c>
      <c r="W248" s="183" t="e">
        <f t="shared" si="97"/>
        <v>#NAME?</v>
      </c>
      <c r="X248" s="183" t="e">
        <f t="shared" si="97"/>
        <v>#NAME?</v>
      </c>
      <c r="Y248" s="183" t="e">
        <f t="shared" si="97"/>
        <v>#NAME?</v>
      </c>
      <c r="Z248" s="183" t="e">
        <f t="shared" si="97"/>
        <v>#NAME?</v>
      </c>
      <c r="AA248" s="183" t="e">
        <f t="shared" si="97"/>
        <v>#NAME?</v>
      </c>
      <c r="AB248" s="183" t="e">
        <f t="shared" si="97"/>
        <v>#NAME?</v>
      </c>
      <c r="AC248" s="183" t="e">
        <f t="shared" si="97"/>
        <v>#NAME?</v>
      </c>
      <c r="AD248" s="183" t="e">
        <f t="shared" si="97"/>
        <v>#NAME?</v>
      </c>
      <c r="AE248" s="96"/>
      <c r="AF248" s="101"/>
      <c r="AG248" s="101"/>
      <c r="AH248" s="101"/>
      <c r="AI248" s="101"/>
      <c r="AJ248" s="101"/>
      <c r="AK248" s="101"/>
      <c r="AL248" s="101"/>
      <c r="AM248" s="101"/>
      <c r="AN248" s="101"/>
      <c r="AO248" s="101"/>
    </row>
    <row r="249" spans="3:41" s="97" customFormat="1" x14ac:dyDescent="0.2">
      <c r="H249" s="101"/>
      <c r="J249" s="98"/>
      <c r="L249" s="99"/>
      <c r="M249" s="101"/>
      <c r="N249" s="101"/>
      <c r="O249" s="101"/>
      <c r="P249" s="101"/>
      <c r="Q249" s="101"/>
      <c r="R249" s="101"/>
      <c r="S249" s="101"/>
      <c r="T249" s="101"/>
      <c r="U249" s="101"/>
      <c r="V249" s="101"/>
      <c r="W249" s="101"/>
      <c r="X249" s="101"/>
      <c r="Y249" s="101"/>
      <c r="Z249" s="101"/>
      <c r="AA249" s="101"/>
      <c r="AB249" s="101"/>
      <c r="AC249" s="101"/>
      <c r="AD249" s="101"/>
      <c r="AE249" s="101"/>
      <c r="AF249" s="101"/>
      <c r="AG249" s="101"/>
      <c r="AH249" s="101"/>
      <c r="AI249" s="101"/>
      <c r="AJ249" s="101"/>
      <c r="AK249" s="101"/>
      <c r="AL249" s="101"/>
      <c r="AM249" s="101"/>
      <c r="AN249" s="101"/>
      <c r="AO249" s="101"/>
    </row>
    <row r="250" spans="3:41" s="97" customFormat="1" ht="12.6" x14ac:dyDescent="0.25">
      <c r="E250" s="32" t="s">
        <v>168</v>
      </c>
      <c r="H250" s="101"/>
      <c r="J250" s="98" t="s">
        <v>49</v>
      </c>
      <c r="L250" s="99"/>
      <c r="N250" s="109"/>
      <c r="O250" s="109"/>
      <c r="P250" s="109"/>
      <c r="Q250" s="109"/>
      <c r="R250" s="108">
        <f t="shared" ref="R250:AD250" si="98">Inputs_Basecase_TL3_Commitment_Fee/12</f>
        <v>0</v>
      </c>
      <c r="S250" s="108">
        <f t="shared" si="98"/>
        <v>0</v>
      </c>
      <c r="T250" s="108">
        <f t="shared" si="98"/>
        <v>0</v>
      </c>
      <c r="U250" s="108">
        <f t="shared" si="98"/>
        <v>0</v>
      </c>
      <c r="V250" s="108">
        <f t="shared" si="98"/>
        <v>0</v>
      </c>
      <c r="W250" s="108">
        <f t="shared" si="98"/>
        <v>0</v>
      </c>
      <c r="X250" s="108">
        <f t="shared" si="98"/>
        <v>0</v>
      </c>
      <c r="Y250" s="108">
        <f t="shared" si="98"/>
        <v>0</v>
      </c>
      <c r="Z250" s="108">
        <f t="shared" si="98"/>
        <v>0</v>
      </c>
      <c r="AA250" s="108">
        <f t="shared" si="98"/>
        <v>0</v>
      </c>
      <c r="AB250" s="108">
        <f t="shared" si="98"/>
        <v>0</v>
      </c>
      <c r="AC250" s="108">
        <f t="shared" si="98"/>
        <v>0</v>
      </c>
      <c r="AD250" s="108">
        <f t="shared" si="98"/>
        <v>0</v>
      </c>
      <c r="AE250" s="109"/>
      <c r="AF250" s="109"/>
      <c r="AG250" s="109"/>
      <c r="AH250" s="109"/>
      <c r="AI250" s="109"/>
      <c r="AJ250" s="109"/>
      <c r="AK250" s="109"/>
      <c r="AL250" s="109"/>
      <c r="AM250" s="109"/>
      <c r="AN250" s="109"/>
      <c r="AO250" s="109"/>
    </row>
    <row r="251" spans="3:41" s="97" customFormat="1" x14ac:dyDescent="0.2">
      <c r="H251" s="101"/>
      <c r="J251" s="98"/>
      <c r="L251" s="99"/>
      <c r="M251" s="101"/>
      <c r="N251" s="101"/>
      <c r="O251" s="101"/>
      <c r="P251" s="101"/>
      <c r="Q251" s="101"/>
      <c r="R251" s="101"/>
      <c r="S251" s="101"/>
      <c r="T251" s="101"/>
      <c r="U251" s="101"/>
      <c r="V251" s="101"/>
      <c r="W251" s="101"/>
      <c r="X251" s="101"/>
      <c r="Y251" s="101"/>
      <c r="Z251" s="101"/>
      <c r="AA251" s="101"/>
      <c r="AB251" s="101"/>
      <c r="AC251" s="101"/>
      <c r="AD251" s="101"/>
      <c r="AE251" s="101"/>
      <c r="AF251" s="101"/>
      <c r="AG251" s="101"/>
      <c r="AH251" s="101"/>
      <c r="AI251" s="101"/>
      <c r="AJ251" s="101"/>
      <c r="AK251" s="101"/>
      <c r="AL251" s="101"/>
      <c r="AM251" s="101"/>
      <c r="AN251" s="101"/>
      <c r="AO251" s="101"/>
    </row>
    <row r="252" spans="3:41" s="97" customFormat="1" ht="12.6" x14ac:dyDescent="0.25">
      <c r="C252" s="32"/>
      <c r="D252" s="32" t="s">
        <v>167</v>
      </c>
      <c r="H252" s="101"/>
      <c r="J252" s="98" t="s">
        <v>1205</v>
      </c>
      <c r="L252" s="99" t="s">
        <v>203</v>
      </c>
      <c r="M252" s="101">
        <f>MAX(R253:AD253)</f>
        <v>16652</v>
      </c>
      <c r="O252" s="101"/>
      <c r="P252" s="101"/>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row>
    <row r="253" spans="3:41" s="97" customFormat="1" ht="12.6" x14ac:dyDescent="0.25">
      <c r="C253" s="20"/>
      <c r="D253" s="32" t="s">
        <v>166</v>
      </c>
      <c r="H253" s="101"/>
      <c r="J253" s="98" t="s">
        <v>1205</v>
      </c>
      <c r="L253" s="99"/>
      <c r="M253" s="101"/>
      <c r="N253" s="101"/>
      <c r="O253" s="101"/>
      <c r="P253" s="84"/>
      <c r="Q253" s="101"/>
      <c r="R253" s="101">
        <f>SUM($Q259:R259)</f>
        <v>16652</v>
      </c>
      <c r="S253" s="101">
        <f>SUM($Q259:S259)</f>
        <v>16652</v>
      </c>
      <c r="T253" s="101">
        <f>SUM($Q259:T259)</f>
        <v>16652</v>
      </c>
      <c r="U253" s="101">
        <f>SUM($Q259:U259)</f>
        <v>16652</v>
      </c>
      <c r="V253" s="101">
        <f>SUM($Q259:V259)</f>
        <v>16652</v>
      </c>
      <c r="W253" s="101">
        <f>SUM($Q259:W259)</f>
        <v>16652</v>
      </c>
      <c r="X253" s="101">
        <f>SUM($Q259:X259)</f>
        <v>16652</v>
      </c>
      <c r="Y253" s="101">
        <f>SUM($Q259:Y259)</f>
        <v>16652</v>
      </c>
      <c r="Z253" s="101">
        <f>SUM($Q259:Z259)</f>
        <v>16652</v>
      </c>
      <c r="AA253" s="101">
        <f>SUM($Q259:AA259)</f>
        <v>16652</v>
      </c>
      <c r="AB253" s="101">
        <f>SUM($Q259:AB259)</f>
        <v>16652</v>
      </c>
      <c r="AC253" s="101">
        <f>SUM($Q259:AC259)</f>
        <v>16652</v>
      </c>
      <c r="AD253" s="101">
        <f>SUM($Q259:AD259)</f>
        <v>16652</v>
      </c>
      <c r="AE253" s="101"/>
      <c r="AF253" s="101"/>
      <c r="AG253" s="101"/>
      <c r="AH253" s="101"/>
      <c r="AI253" s="101"/>
      <c r="AJ253" s="101"/>
      <c r="AK253" s="101"/>
      <c r="AL253" s="101"/>
      <c r="AM253" s="101"/>
      <c r="AN253" s="101"/>
      <c r="AO253" s="101"/>
    </row>
    <row r="254" spans="3:41" s="97" customFormat="1" x14ac:dyDescent="0.2">
      <c r="H254" s="101"/>
      <c r="J254" s="98"/>
      <c r="L254" s="99"/>
      <c r="M254" s="101"/>
      <c r="N254" s="101"/>
      <c r="O254" s="101"/>
      <c r="P254" s="101"/>
      <c r="Q254" s="101"/>
      <c r="R254" s="101"/>
      <c r="S254" s="101"/>
      <c r="T254" s="101"/>
      <c r="U254" s="101"/>
      <c r="V254" s="101"/>
      <c r="W254" s="101"/>
      <c r="X254" s="101"/>
      <c r="Y254" s="101"/>
      <c r="Z254" s="101"/>
      <c r="AA254" s="101"/>
      <c r="AB254" s="101"/>
      <c r="AC254" s="101"/>
      <c r="AD254" s="101"/>
      <c r="AE254" s="101"/>
      <c r="AF254" s="101"/>
      <c r="AG254" s="101"/>
      <c r="AH254" s="101"/>
      <c r="AI254" s="101"/>
      <c r="AJ254" s="101"/>
      <c r="AK254" s="101"/>
      <c r="AL254" s="101"/>
      <c r="AM254" s="101"/>
      <c r="AN254" s="101"/>
      <c r="AO254" s="101"/>
    </row>
    <row r="255" spans="3:41" s="97" customFormat="1" ht="12.6" x14ac:dyDescent="0.25">
      <c r="D255" s="32" t="s">
        <v>165</v>
      </c>
      <c r="H255" s="101"/>
      <c r="J255" s="98" t="s">
        <v>1205</v>
      </c>
      <c r="L255" s="99"/>
      <c r="N255" s="109"/>
      <c r="O255" s="109"/>
      <c r="P255" s="109"/>
      <c r="Q255" s="109"/>
      <c r="R255" s="101">
        <f t="shared" ref="R255:AD255" si="99">R242-R253</f>
        <v>0</v>
      </c>
      <c r="S255" s="101">
        <f t="shared" si="99"/>
        <v>0</v>
      </c>
      <c r="T255" s="101">
        <f t="shared" si="99"/>
        <v>0</v>
      </c>
      <c r="U255" s="101">
        <f t="shared" si="99"/>
        <v>0</v>
      </c>
      <c r="V255" s="101">
        <f t="shared" si="99"/>
        <v>0</v>
      </c>
      <c r="W255" s="101">
        <f t="shared" si="99"/>
        <v>0</v>
      </c>
      <c r="X255" s="101">
        <f t="shared" si="99"/>
        <v>0</v>
      </c>
      <c r="Y255" s="101">
        <f t="shared" si="99"/>
        <v>0</v>
      </c>
      <c r="Z255" s="101">
        <f t="shared" si="99"/>
        <v>0</v>
      </c>
      <c r="AA255" s="101">
        <f t="shared" si="99"/>
        <v>0</v>
      </c>
      <c r="AB255" s="101">
        <f t="shared" si="99"/>
        <v>0</v>
      </c>
      <c r="AC255" s="101">
        <f t="shared" si="99"/>
        <v>0</v>
      </c>
      <c r="AD255" s="101">
        <f t="shared" si="99"/>
        <v>0</v>
      </c>
      <c r="AE255" s="109"/>
      <c r="AF255" s="109"/>
      <c r="AG255" s="109"/>
      <c r="AH255" s="109"/>
      <c r="AI255" s="109"/>
      <c r="AJ255" s="109"/>
      <c r="AK255" s="109"/>
      <c r="AL255" s="109"/>
      <c r="AM255" s="109"/>
      <c r="AN255" s="109"/>
      <c r="AO255" s="109"/>
    </row>
    <row r="256" spans="3:41" s="97" customFormat="1" x14ac:dyDescent="0.2">
      <c r="H256" s="101"/>
      <c r="J256" s="98"/>
      <c r="L256" s="99"/>
      <c r="M256" s="101"/>
      <c r="N256" s="101"/>
      <c r="O256" s="101"/>
      <c r="P256" s="101"/>
      <c r="Q256" s="101"/>
      <c r="R256" s="101"/>
      <c r="S256" s="101"/>
      <c r="T256" s="101"/>
      <c r="U256" s="101"/>
      <c r="V256" s="101"/>
      <c r="W256" s="101"/>
      <c r="X256" s="101"/>
      <c r="Y256" s="101"/>
      <c r="Z256" s="101"/>
      <c r="AA256" s="101"/>
      <c r="AB256" s="101"/>
      <c r="AC256" s="101"/>
      <c r="AD256" s="101"/>
      <c r="AE256" s="101"/>
      <c r="AF256" s="101"/>
      <c r="AG256" s="101"/>
      <c r="AH256" s="101"/>
      <c r="AI256" s="101"/>
      <c r="AJ256" s="101"/>
      <c r="AK256" s="101"/>
      <c r="AL256" s="101"/>
      <c r="AM256" s="101"/>
      <c r="AN256" s="101"/>
      <c r="AO256" s="101"/>
    </row>
    <row r="257" spans="3:41" s="97" customFormat="1" ht="12.6" x14ac:dyDescent="0.25">
      <c r="C257" s="32"/>
      <c r="D257" s="32" t="s">
        <v>164</v>
      </c>
      <c r="H257" s="101"/>
      <c r="J257" s="98"/>
      <c r="L257" s="99"/>
      <c r="N257" s="101"/>
      <c r="O257" s="101"/>
      <c r="P257" s="101"/>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row>
    <row r="258" spans="3:41" s="97" customFormat="1" ht="12.6" x14ac:dyDescent="0.25">
      <c r="C258" s="20"/>
      <c r="D258" s="32"/>
      <c r="E258" s="97" t="s">
        <v>91</v>
      </c>
      <c r="H258" s="101"/>
      <c r="J258" s="98" t="s">
        <v>1205</v>
      </c>
      <c r="L258" s="99"/>
      <c r="M258" s="101"/>
      <c r="N258" s="101"/>
      <c r="O258" s="101"/>
      <c r="P258" s="84"/>
      <c r="Q258" s="101"/>
      <c r="R258" s="101">
        <f t="shared" ref="R258:AD258" si="100">Q270</f>
        <v>0</v>
      </c>
      <c r="S258" s="101">
        <f t="shared" si="100"/>
        <v>16652</v>
      </c>
      <c r="T258" s="101">
        <f t="shared" si="100"/>
        <v>0</v>
      </c>
      <c r="U258" s="101">
        <f t="shared" si="100"/>
        <v>0</v>
      </c>
      <c r="V258" s="101">
        <f t="shared" si="100"/>
        <v>0</v>
      </c>
      <c r="W258" s="101">
        <f t="shared" si="100"/>
        <v>0</v>
      </c>
      <c r="X258" s="101">
        <f t="shared" si="100"/>
        <v>0</v>
      </c>
      <c r="Y258" s="101">
        <f t="shared" si="100"/>
        <v>0</v>
      </c>
      <c r="Z258" s="101">
        <f t="shared" si="100"/>
        <v>0</v>
      </c>
      <c r="AA258" s="101">
        <f t="shared" si="100"/>
        <v>0</v>
      </c>
      <c r="AB258" s="101">
        <f t="shared" si="100"/>
        <v>0</v>
      </c>
      <c r="AC258" s="101">
        <f t="shared" si="100"/>
        <v>0</v>
      </c>
      <c r="AD258" s="101">
        <f t="shared" si="100"/>
        <v>0</v>
      </c>
      <c r="AE258" s="101"/>
      <c r="AF258" s="101"/>
      <c r="AG258" s="101"/>
      <c r="AH258" s="101"/>
      <c r="AI258" s="101"/>
      <c r="AJ258" s="101"/>
      <c r="AK258" s="101"/>
      <c r="AL258" s="101"/>
      <c r="AM258" s="101"/>
      <c r="AN258" s="101"/>
      <c r="AO258" s="101"/>
    </row>
    <row r="259" spans="3:41" s="97" customFormat="1" x14ac:dyDescent="0.2">
      <c r="E259" s="97" t="s">
        <v>163</v>
      </c>
      <c r="H259" s="101"/>
      <c r="J259" s="98" t="s">
        <v>1205</v>
      </c>
      <c r="L259" s="99" t="s">
        <v>202</v>
      </c>
      <c r="M259" s="101"/>
      <c r="N259" s="101"/>
      <c r="O259" s="101"/>
      <c r="P259" s="101"/>
      <c r="Q259" s="101"/>
      <c r="R259" s="101">
        <f>R270</f>
        <v>16652</v>
      </c>
      <c r="S259" s="101">
        <f t="shared" ref="S259:AD259" si="101">Inputs_Basecase_TL3_Drawdown</f>
        <v>0</v>
      </c>
      <c r="T259" s="101">
        <f t="shared" si="101"/>
        <v>0</v>
      </c>
      <c r="U259" s="101">
        <f t="shared" si="101"/>
        <v>0</v>
      </c>
      <c r="V259" s="101">
        <f t="shared" si="101"/>
        <v>0</v>
      </c>
      <c r="W259" s="101">
        <f t="shared" si="101"/>
        <v>0</v>
      </c>
      <c r="X259" s="101">
        <f t="shared" si="101"/>
        <v>0</v>
      </c>
      <c r="Y259" s="101">
        <f t="shared" si="101"/>
        <v>0</v>
      </c>
      <c r="Z259" s="101">
        <f t="shared" si="101"/>
        <v>0</v>
      </c>
      <c r="AA259" s="101">
        <f t="shared" si="101"/>
        <v>0</v>
      </c>
      <c r="AB259" s="101">
        <f t="shared" si="101"/>
        <v>0</v>
      </c>
      <c r="AC259" s="101">
        <f t="shared" si="101"/>
        <v>0</v>
      </c>
      <c r="AD259" s="101">
        <f t="shared" si="101"/>
        <v>0</v>
      </c>
      <c r="AE259" s="101"/>
      <c r="AF259" s="101"/>
      <c r="AG259" s="101"/>
      <c r="AH259" s="101"/>
      <c r="AI259" s="101"/>
      <c r="AJ259" s="101"/>
      <c r="AK259" s="101"/>
      <c r="AL259" s="101"/>
      <c r="AM259" s="101"/>
      <c r="AN259" s="101"/>
      <c r="AO259" s="101"/>
    </row>
    <row r="260" spans="3:41" s="97" customFormat="1" ht="12.6" x14ac:dyDescent="0.25">
      <c r="E260" s="27" t="s">
        <v>162</v>
      </c>
      <c r="F260" s="28"/>
      <c r="G260" s="28"/>
      <c r="H260" s="100"/>
      <c r="I260" s="28"/>
      <c r="J260" s="29" t="s">
        <v>1205</v>
      </c>
      <c r="K260" s="28"/>
      <c r="L260" s="30"/>
      <c r="M260" s="28"/>
      <c r="N260" s="87"/>
      <c r="O260" s="87"/>
      <c r="P260" s="87"/>
      <c r="Q260" s="87"/>
      <c r="R260" s="100">
        <f t="shared" ref="R260:AD260" si="102">SUM(R258:R259)</f>
        <v>16652</v>
      </c>
      <c r="S260" s="100">
        <f t="shared" si="102"/>
        <v>16652</v>
      </c>
      <c r="T260" s="100">
        <f t="shared" si="102"/>
        <v>0</v>
      </c>
      <c r="U260" s="100">
        <f t="shared" si="102"/>
        <v>0</v>
      </c>
      <c r="V260" s="100">
        <f t="shared" si="102"/>
        <v>0</v>
      </c>
      <c r="W260" s="100">
        <f t="shared" si="102"/>
        <v>0</v>
      </c>
      <c r="X260" s="100">
        <f t="shared" si="102"/>
        <v>0</v>
      </c>
      <c r="Y260" s="100">
        <f t="shared" si="102"/>
        <v>0</v>
      </c>
      <c r="Z260" s="100">
        <f t="shared" si="102"/>
        <v>0</v>
      </c>
      <c r="AA260" s="100">
        <f t="shared" si="102"/>
        <v>0</v>
      </c>
      <c r="AB260" s="100">
        <f t="shared" si="102"/>
        <v>0</v>
      </c>
      <c r="AC260" s="100">
        <f t="shared" si="102"/>
        <v>0</v>
      </c>
      <c r="AD260" s="100">
        <f t="shared" si="102"/>
        <v>0</v>
      </c>
      <c r="AE260" s="109"/>
      <c r="AF260" s="109"/>
      <c r="AG260" s="109"/>
      <c r="AH260" s="109"/>
      <c r="AI260" s="109"/>
      <c r="AJ260" s="109"/>
      <c r="AK260" s="109"/>
      <c r="AL260" s="109"/>
      <c r="AM260" s="109"/>
      <c r="AN260" s="109"/>
      <c r="AO260" s="109"/>
    </row>
    <row r="261" spans="3:41" s="97" customFormat="1" x14ac:dyDescent="0.2">
      <c r="H261" s="101"/>
      <c r="J261" s="98"/>
      <c r="L261" s="99"/>
      <c r="M261" s="101"/>
      <c r="N261" s="101"/>
      <c r="O261" s="101"/>
      <c r="P261" s="101"/>
      <c r="Q261" s="101"/>
      <c r="R261" s="101"/>
      <c r="S261" s="101"/>
      <c r="T261" s="101"/>
      <c r="U261" s="101"/>
      <c r="V261" s="101"/>
      <c r="W261" s="101"/>
      <c r="X261" s="101"/>
      <c r="Y261" s="101"/>
      <c r="Z261" s="101"/>
      <c r="AA261" s="101"/>
      <c r="AB261" s="101"/>
      <c r="AC261" s="101"/>
      <c r="AD261" s="101"/>
      <c r="AE261" s="101"/>
      <c r="AF261" s="101"/>
      <c r="AG261" s="101"/>
      <c r="AH261" s="101"/>
      <c r="AI261" s="101"/>
      <c r="AJ261" s="101"/>
      <c r="AK261" s="101"/>
      <c r="AL261" s="101"/>
      <c r="AM261" s="101"/>
      <c r="AN261" s="101"/>
      <c r="AO261" s="101"/>
    </row>
    <row r="262" spans="3:41" s="97" customFormat="1" ht="12.6" x14ac:dyDescent="0.25">
      <c r="D262" s="32" t="s">
        <v>161</v>
      </c>
      <c r="H262" s="101"/>
      <c r="L262" s="99"/>
      <c r="N262" s="101"/>
      <c r="O262" s="101"/>
      <c r="P262" s="101"/>
      <c r="Q262" s="101"/>
      <c r="R262" s="101"/>
      <c r="S262" s="101"/>
      <c r="T262" s="101"/>
      <c r="U262" s="101"/>
      <c r="V262" s="101"/>
      <c r="W262" s="101"/>
      <c r="X262" s="101"/>
      <c r="Y262" s="101"/>
      <c r="Z262" s="101"/>
      <c r="AA262" s="101"/>
      <c r="AB262" s="101"/>
      <c r="AC262" s="101"/>
      <c r="AD262" s="101"/>
      <c r="AE262" s="101"/>
      <c r="AF262" s="101"/>
      <c r="AG262" s="101"/>
      <c r="AH262" s="101"/>
      <c r="AI262" s="101"/>
      <c r="AJ262" s="101"/>
      <c r="AK262" s="101"/>
      <c r="AL262" s="101"/>
      <c r="AM262" s="101"/>
      <c r="AN262" s="101"/>
      <c r="AO262" s="101"/>
    </row>
    <row r="263" spans="3:41" s="97" customFormat="1" ht="12.6" x14ac:dyDescent="0.25">
      <c r="C263" s="20"/>
      <c r="D263" s="32"/>
      <c r="E263" s="97" t="s">
        <v>160</v>
      </c>
      <c r="H263" s="101"/>
      <c r="J263" s="98" t="s">
        <v>1205</v>
      </c>
      <c r="L263" s="99"/>
      <c r="M263" s="101"/>
      <c r="N263" s="101"/>
      <c r="O263" s="101"/>
      <c r="P263" s="84"/>
      <c r="Q263" s="101"/>
      <c r="R263" s="108"/>
      <c r="S263" s="108">
        <f t="shared" ref="S263:AD263" si="103">Inputs_Basecase_TL3_Repayment_Principal</f>
        <v>1</v>
      </c>
      <c r="T263" s="108">
        <f t="shared" si="103"/>
        <v>0</v>
      </c>
      <c r="U263" s="108">
        <f t="shared" si="103"/>
        <v>0</v>
      </c>
      <c r="V263" s="108">
        <f t="shared" si="103"/>
        <v>0</v>
      </c>
      <c r="W263" s="108">
        <f t="shared" si="103"/>
        <v>0</v>
      </c>
      <c r="X263" s="108">
        <f t="shared" si="103"/>
        <v>0</v>
      </c>
      <c r="Y263" s="108">
        <f t="shared" si="103"/>
        <v>0</v>
      </c>
      <c r="Z263" s="108">
        <f t="shared" si="103"/>
        <v>0</v>
      </c>
      <c r="AA263" s="108">
        <f t="shared" si="103"/>
        <v>0</v>
      </c>
      <c r="AB263" s="108">
        <f t="shared" si="103"/>
        <v>0</v>
      </c>
      <c r="AC263" s="108">
        <f t="shared" si="103"/>
        <v>0</v>
      </c>
      <c r="AD263" s="108">
        <f t="shared" si="103"/>
        <v>0</v>
      </c>
      <c r="AE263" s="101"/>
      <c r="AF263" s="101"/>
      <c r="AG263" s="101"/>
      <c r="AH263" s="101"/>
      <c r="AI263" s="101"/>
      <c r="AJ263" s="101"/>
      <c r="AK263" s="101"/>
      <c r="AL263" s="101"/>
      <c r="AM263" s="101"/>
      <c r="AN263" s="101"/>
      <c r="AO263" s="101"/>
    </row>
    <row r="264" spans="3:41" s="97" customFormat="1" x14ac:dyDescent="0.2">
      <c r="E264" s="97" t="s">
        <v>146</v>
      </c>
      <c r="H264" s="101"/>
      <c r="J264" s="98" t="s">
        <v>1205</v>
      </c>
      <c r="L264" s="99"/>
      <c r="M264" s="101"/>
      <c r="N264" s="101"/>
      <c r="O264" s="101"/>
      <c r="P264" s="101"/>
      <c r="Q264" s="101"/>
      <c r="R264" s="101"/>
      <c r="S264" s="101">
        <f t="shared" ref="S264:AD264" si="104">-Inputs_Basecase_TL3_Repayment_Principal*Finance_TL3_Total</f>
        <v>-16652</v>
      </c>
      <c r="T264" s="101">
        <f t="shared" si="104"/>
        <v>0</v>
      </c>
      <c r="U264" s="101">
        <f t="shared" si="104"/>
        <v>0</v>
      </c>
      <c r="V264" s="101">
        <f t="shared" si="104"/>
        <v>0</v>
      </c>
      <c r="W264" s="101">
        <f t="shared" si="104"/>
        <v>0</v>
      </c>
      <c r="X264" s="101">
        <f t="shared" si="104"/>
        <v>0</v>
      </c>
      <c r="Y264" s="101">
        <f t="shared" si="104"/>
        <v>0</v>
      </c>
      <c r="Z264" s="101">
        <f t="shared" si="104"/>
        <v>0</v>
      </c>
      <c r="AA264" s="101">
        <f t="shared" si="104"/>
        <v>0</v>
      </c>
      <c r="AB264" s="101">
        <f t="shared" si="104"/>
        <v>0</v>
      </c>
      <c r="AC264" s="101">
        <f t="shared" si="104"/>
        <v>0</v>
      </c>
      <c r="AD264" s="101">
        <f t="shared" si="104"/>
        <v>0</v>
      </c>
      <c r="AE264" s="101"/>
      <c r="AF264" s="101"/>
      <c r="AG264" s="101"/>
      <c r="AH264" s="101"/>
      <c r="AI264" s="101"/>
      <c r="AJ264" s="101"/>
      <c r="AK264" s="101"/>
      <c r="AL264" s="101"/>
      <c r="AM264" s="101"/>
      <c r="AN264" s="101"/>
      <c r="AO264" s="101"/>
    </row>
    <row r="265" spans="3:41" s="97" customFormat="1" ht="12.6" x14ac:dyDescent="0.25">
      <c r="E265" s="27" t="s">
        <v>159</v>
      </c>
      <c r="F265" s="28"/>
      <c r="G265" s="28"/>
      <c r="H265" s="100"/>
      <c r="I265" s="28"/>
      <c r="J265" s="29" t="s">
        <v>1205</v>
      </c>
      <c r="K265" s="28"/>
      <c r="L265" s="30" t="s">
        <v>201</v>
      </c>
      <c r="M265" s="28"/>
      <c r="N265" s="87"/>
      <c r="O265" s="87"/>
      <c r="P265" s="87"/>
      <c r="Q265" s="87"/>
      <c r="R265" s="100"/>
      <c r="S265" s="100">
        <f t="shared" ref="S265:AD265" si="105">IF(-S264&lt;S260,S264,-S260)</f>
        <v>-16652</v>
      </c>
      <c r="T265" s="100">
        <f t="shared" si="105"/>
        <v>0</v>
      </c>
      <c r="U265" s="100">
        <f t="shared" si="105"/>
        <v>0</v>
      </c>
      <c r="V265" s="100">
        <f t="shared" si="105"/>
        <v>0</v>
      </c>
      <c r="W265" s="100">
        <f t="shared" si="105"/>
        <v>0</v>
      </c>
      <c r="X265" s="100">
        <f t="shared" si="105"/>
        <v>0</v>
      </c>
      <c r="Y265" s="100">
        <f t="shared" si="105"/>
        <v>0</v>
      </c>
      <c r="Z265" s="100">
        <f t="shared" si="105"/>
        <v>0</v>
      </c>
      <c r="AA265" s="100">
        <f t="shared" si="105"/>
        <v>0</v>
      </c>
      <c r="AB265" s="100">
        <f t="shared" si="105"/>
        <v>0</v>
      </c>
      <c r="AC265" s="100">
        <f t="shared" si="105"/>
        <v>0</v>
      </c>
      <c r="AD265" s="100">
        <f t="shared" si="105"/>
        <v>0</v>
      </c>
      <c r="AE265" s="109"/>
      <c r="AF265" s="109"/>
      <c r="AG265" s="109"/>
      <c r="AH265" s="109"/>
      <c r="AI265" s="109"/>
      <c r="AJ265" s="109"/>
      <c r="AK265" s="109"/>
      <c r="AL265" s="109"/>
      <c r="AM265" s="109"/>
      <c r="AN265" s="109"/>
      <c r="AO265" s="109"/>
    </row>
    <row r="266" spans="3:41" s="97" customFormat="1" x14ac:dyDescent="0.2">
      <c r="H266" s="101"/>
      <c r="J266" s="98"/>
      <c r="L266" s="99"/>
      <c r="M266" s="101"/>
      <c r="N266" s="101"/>
      <c r="O266" s="101"/>
      <c r="P266" s="101"/>
      <c r="Q266" s="101"/>
      <c r="R266" s="101"/>
      <c r="S266" s="101"/>
      <c r="T266" s="101"/>
      <c r="U266" s="101"/>
      <c r="V266" s="101"/>
      <c r="W266" s="101"/>
      <c r="X266" s="101"/>
      <c r="Y266" s="101"/>
      <c r="Z266" s="101"/>
      <c r="AA266" s="101"/>
      <c r="AB266" s="101"/>
      <c r="AC266" s="101"/>
      <c r="AD266" s="101"/>
      <c r="AE266" s="101"/>
      <c r="AF266" s="101"/>
      <c r="AG266" s="101"/>
      <c r="AH266" s="101"/>
      <c r="AI266" s="101"/>
      <c r="AJ266" s="101"/>
      <c r="AK266" s="101"/>
      <c r="AL266" s="101"/>
      <c r="AM266" s="101"/>
      <c r="AN266" s="101"/>
      <c r="AO266" s="101"/>
    </row>
    <row r="267" spans="3:41" s="97" customFormat="1" ht="12.6" x14ac:dyDescent="0.25">
      <c r="D267" s="27" t="s">
        <v>158</v>
      </c>
      <c r="E267" s="28"/>
      <c r="F267" s="28"/>
      <c r="G267" s="28"/>
      <c r="H267" s="100"/>
      <c r="I267" s="28"/>
      <c r="J267" s="29" t="s">
        <v>1205</v>
      </c>
      <c r="K267" s="28"/>
      <c r="L267" s="30"/>
      <c r="M267" s="100"/>
      <c r="N267" s="100"/>
      <c r="O267" s="100"/>
      <c r="P267" s="100"/>
      <c r="Q267" s="100"/>
      <c r="R267" s="100"/>
      <c r="S267" s="100">
        <f t="shared" ref="S267:AD267" si="106">S260+S265</f>
        <v>0</v>
      </c>
      <c r="T267" s="100">
        <f t="shared" si="106"/>
        <v>0</v>
      </c>
      <c r="U267" s="100">
        <f t="shared" si="106"/>
        <v>0</v>
      </c>
      <c r="V267" s="100">
        <f t="shared" si="106"/>
        <v>0</v>
      </c>
      <c r="W267" s="100">
        <f t="shared" si="106"/>
        <v>0</v>
      </c>
      <c r="X267" s="100">
        <f t="shared" si="106"/>
        <v>0</v>
      </c>
      <c r="Y267" s="100">
        <f t="shared" si="106"/>
        <v>0</v>
      </c>
      <c r="Z267" s="100">
        <f t="shared" si="106"/>
        <v>0</v>
      </c>
      <c r="AA267" s="100">
        <f t="shared" si="106"/>
        <v>0</v>
      </c>
      <c r="AB267" s="100">
        <f t="shared" si="106"/>
        <v>0</v>
      </c>
      <c r="AC267" s="100">
        <f t="shared" si="106"/>
        <v>0</v>
      </c>
      <c r="AD267" s="100">
        <f t="shared" si="106"/>
        <v>0</v>
      </c>
      <c r="AE267" s="101"/>
      <c r="AF267" s="101"/>
      <c r="AG267" s="101"/>
      <c r="AH267" s="101"/>
      <c r="AI267" s="101"/>
      <c r="AJ267" s="101"/>
      <c r="AK267" s="101"/>
      <c r="AL267" s="101"/>
      <c r="AM267" s="101"/>
      <c r="AN267" s="101"/>
      <c r="AO267" s="101"/>
    </row>
    <row r="268" spans="3:41" s="97" customFormat="1" ht="12.6" x14ac:dyDescent="0.25">
      <c r="D268" s="32"/>
      <c r="E268" s="32"/>
      <c r="F268" s="32"/>
      <c r="G268" s="32"/>
      <c r="H268" s="103"/>
      <c r="I268" s="32"/>
      <c r="J268" s="37"/>
      <c r="K268" s="32"/>
      <c r="L268" s="99"/>
      <c r="M268" s="103"/>
      <c r="N268" s="103"/>
      <c r="O268" s="103"/>
      <c r="P268" s="103"/>
      <c r="Q268" s="103"/>
      <c r="R268" s="103"/>
      <c r="S268" s="103"/>
      <c r="T268" s="103"/>
      <c r="U268" s="103"/>
      <c r="V268" s="103"/>
      <c r="W268" s="103"/>
      <c r="X268" s="103"/>
      <c r="Y268" s="103"/>
      <c r="Z268" s="103"/>
      <c r="AA268" s="103"/>
      <c r="AB268" s="103"/>
      <c r="AC268" s="103"/>
      <c r="AD268" s="103"/>
      <c r="AE268" s="103"/>
      <c r="AF268" s="103"/>
      <c r="AG268" s="103"/>
      <c r="AH268" s="103"/>
      <c r="AI268" s="103"/>
      <c r="AJ268" s="103"/>
      <c r="AK268" s="103"/>
      <c r="AL268" s="103"/>
      <c r="AM268" s="103"/>
      <c r="AN268" s="103"/>
      <c r="AO268" s="103"/>
    </row>
    <row r="269" spans="3:41" s="97" customFormat="1" x14ac:dyDescent="0.2">
      <c r="E269" s="97" t="s">
        <v>157</v>
      </c>
      <c r="H269" s="101"/>
      <c r="J269" s="98"/>
      <c r="L269" s="99" t="s">
        <v>200</v>
      </c>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row>
    <row r="270" spans="3:41" s="97" customFormat="1" ht="13.2" thickBot="1" x14ac:dyDescent="0.3">
      <c r="D270" s="36" t="s">
        <v>156</v>
      </c>
      <c r="E270" s="58"/>
      <c r="F270" s="58"/>
      <c r="G270" s="58"/>
      <c r="H270" s="105"/>
      <c r="I270" s="58"/>
      <c r="J270" s="59" t="s">
        <v>1205</v>
      </c>
      <c r="K270" s="58"/>
      <c r="L270" s="60" t="s">
        <v>199</v>
      </c>
      <c r="M270" s="105"/>
      <c r="N270" s="105"/>
      <c r="O270" s="182"/>
      <c r="P270" s="182"/>
      <c r="Q270" s="200"/>
      <c r="R270" s="105">
        <f>Act_BS_Debt_LT3</f>
        <v>16652</v>
      </c>
      <c r="S270" s="105">
        <f t="shared" ref="S270:AD270" si="107">S267-S269</f>
        <v>0</v>
      </c>
      <c r="T270" s="105">
        <f t="shared" si="107"/>
        <v>0</v>
      </c>
      <c r="U270" s="105">
        <f t="shared" si="107"/>
        <v>0</v>
      </c>
      <c r="V270" s="105">
        <f t="shared" si="107"/>
        <v>0</v>
      </c>
      <c r="W270" s="105">
        <f t="shared" si="107"/>
        <v>0</v>
      </c>
      <c r="X270" s="105">
        <f t="shared" si="107"/>
        <v>0</v>
      </c>
      <c r="Y270" s="105">
        <f t="shared" si="107"/>
        <v>0</v>
      </c>
      <c r="Z270" s="105">
        <f t="shared" si="107"/>
        <v>0</v>
      </c>
      <c r="AA270" s="105">
        <f t="shared" si="107"/>
        <v>0</v>
      </c>
      <c r="AB270" s="105">
        <f t="shared" si="107"/>
        <v>0</v>
      </c>
      <c r="AC270" s="105">
        <f t="shared" si="107"/>
        <v>0</v>
      </c>
      <c r="AD270" s="105">
        <f t="shared" si="107"/>
        <v>0</v>
      </c>
      <c r="AE270" s="34"/>
      <c r="AF270" s="34"/>
      <c r="AG270" s="34"/>
      <c r="AH270" s="34"/>
      <c r="AI270" s="34"/>
      <c r="AJ270" s="34"/>
      <c r="AK270" s="34"/>
      <c r="AL270" s="34"/>
      <c r="AM270" s="34"/>
      <c r="AN270" s="34"/>
      <c r="AO270" s="34"/>
    </row>
    <row r="271" spans="3:41" s="97" customFormat="1" x14ac:dyDescent="0.2">
      <c r="H271" s="101"/>
      <c r="J271" s="98"/>
      <c r="L271" s="99"/>
      <c r="M271" s="101"/>
      <c r="N271" s="101"/>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row>
    <row r="272" spans="3:41" s="97" customFormat="1" ht="12.6" x14ac:dyDescent="0.25">
      <c r="D272" s="32" t="s">
        <v>155</v>
      </c>
      <c r="H272" s="101"/>
      <c r="J272" s="98"/>
      <c r="L272" s="99"/>
      <c r="M272" s="101"/>
      <c r="N272" s="101"/>
      <c r="O272" s="101"/>
      <c r="P272" s="101"/>
      <c r="Q272" s="101"/>
      <c r="R272" s="101"/>
      <c r="S272" s="101"/>
      <c r="T272" s="101"/>
      <c r="U272" s="101"/>
      <c r="V272" s="101"/>
      <c r="W272" s="101"/>
      <c r="X272" s="101"/>
      <c r="Y272" s="101"/>
      <c r="Z272" s="101"/>
      <c r="AA272" s="101"/>
      <c r="AB272" s="101"/>
      <c r="AC272" s="101"/>
      <c r="AD272" s="101"/>
      <c r="AE272" s="101"/>
      <c r="AF272" s="101"/>
      <c r="AG272" s="101"/>
      <c r="AH272" s="101"/>
      <c r="AI272" s="101"/>
      <c r="AJ272" s="101"/>
      <c r="AK272" s="101"/>
      <c r="AL272" s="101"/>
      <c r="AM272" s="101"/>
      <c r="AN272" s="101"/>
      <c r="AO272" s="101"/>
    </row>
    <row r="273" spans="1:41" s="97" customFormat="1" x14ac:dyDescent="0.2">
      <c r="B273" s="20"/>
      <c r="C273" s="20"/>
      <c r="D273" s="20"/>
      <c r="E273" s="97" t="s">
        <v>154</v>
      </c>
      <c r="J273" s="98" t="s">
        <v>1205</v>
      </c>
      <c r="L273" s="99" t="s">
        <v>198</v>
      </c>
      <c r="N273" s="21"/>
      <c r="O273" s="21"/>
      <c r="P273" s="21"/>
      <c r="Q273" s="101">
        <f t="shared" ref="Q273:AD273" si="108">IF(Q270&gt;0,IF(((R265)*-1)&gt;Q260,Q260,0-(R265)),0)</f>
        <v>0</v>
      </c>
      <c r="R273" s="101">
        <f t="shared" si="108"/>
        <v>16652</v>
      </c>
      <c r="S273" s="101">
        <f t="shared" si="108"/>
        <v>0</v>
      </c>
      <c r="T273" s="101">
        <f t="shared" si="108"/>
        <v>0</v>
      </c>
      <c r="U273" s="101">
        <f t="shared" si="108"/>
        <v>0</v>
      </c>
      <c r="V273" s="101">
        <f t="shared" si="108"/>
        <v>0</v>
      </c>
      <c r="W273" s="101">
        <f t="shared" si="108"/>
        <v>0</v>
      </c>
      <c r="X273" s="101">
        <f t="shared" si="108"/>
        <v>0</v>
      </c>
      <c r="Y273" s="101">
        <f t="shared" si="108"/>
        <v>0</v>
      </c>
      <c r="Z273" s="101">
        <f t="shared" si="108"/>
        <v>0</v>
      </c>
      <c r="AA273" s="101">
        <f t="shared" si="108"/>
        <v>0</v>
      </c>
      <c r="AB273" s="101">
        <f t="shared" si="108"/>
        <v>0</v>
      </c>
      <c r="AC273" s="101">
        <f t="shared" si="108"/>
        <v>0</v>
      </c>
      <c r="AD273" s="21">
        <f t="shared" si="108"/>
        <v>0</v>
      </c>
      <c r="AE273" s="21"/>
      <c r="AF273" s="21"/>
      <c r="AG273" s="21"/>
      <c r="AH273" s="21"/>
      <c r="AI273" s="21"/>
      <c r="AJ273" s="21"/>
      <c r="AK273" s="21"/>
      <c r="AL273" s="21"/>
      <c r="AM273" s="21"/>
      <c r="AN273" s="21"/>
      <c r="AO273" s="21"/>
    </row>
    <row r="274" spans="1:41" s="97" customFormat="1" x14ac:dyDescent="0.2">
      <c r="E274" s="97" t="s">
        <v>153</v>
      </c>
      <c r="H274" s="101"/>
      <c r="J274" s="98" t="s">
        <v>1205</v>
      </c>
      <c r="L274" s="99" t="s">
        <v>197</v>
      </c>
      <c r="M274" s="101"/>
      <c r="N274" s="101"/>
      <c r="O274" s="101"/>
      <c r="P274" s="101"/>
      <c r="Q274" s="101">
        <f t="shared" ref="Q274:AD274" si="109">Q270-Q273</f>
        <v>0</v>
      </c>
      <c r="R274" s="101">
        <f t="shared" si="109"/>
        <v>0</v>
      </c>
      <c r="S274" s="101">
        <f t="shared" si="109"/>
        <v>0</v>
      </c>
      <c r="T274" s="101">
        <f t="shared" si="109"/>
        <v>0</v>
      </c>
      <c r="U274" s="101">
        <f t="shared" si="109"/>
        <v>0</v>
      </c>
      <c r="V274" s="101">
        <f t="shared" si="109"/>
        <v>0</v>
      </c>
      <c r="W274" s="101">
        <f t="shared" si="109"/>
        <v>0</v>
      </c>
      <c r="X274" s="101">
        <f t="shared" si="109"/>
        <v>0</v>
      </c>
      <c r="Y274" s="101">
        <f t="shared" si="109"/>
        <v>0</v>
      </c>
      <c r="Z274" s="101">
        <f t="shared" si="109"/>
        <v>0</v>
      </c>
      <c r="AA274" s="101">
        <f t="shared" si="109"/>
        <v>0</v>
      </c>
      <c r="AB274" s="101">
        <f t="shared" si="109"/>
        <v>0</v>
      </c>
      <c r="AC274" s="101">
        <f t="shared" si="109"/>
        <v>0</v>
      </c>
      <c r="AD274" s="101">
        <f t="shared" si="109"/>
        <v>0</v>
      </c>
      <c r="AE274" s="101"/>
      <c r="AF274" s="101"/>
      <c r="AG274" s="101"/>
      <c r="AH274" s="101"/>
      <c r="AI274" s="101"/>
      <c r="AJ274" s="101"/>
      <c r="AK274" s="101"/>
      <c r="AL274" s="101"/>
      <c r="AM274" s="101"/>
      <c r="AN274" s="101"/>
      <c r="AO274" s="101"/>
    </row>
    <row r="275" spans="1:41" s="97" customFormat="1" x14ac:dyDescent="0.2">
      <c r="H275" s="101"/>
      <c r="J275" s="98"/>
      <c r="L275" s="99"/>
      <c r="M275" s="101"/>
      <c r="N275" s="101"/>
      <c r="O275" s="101"/>
      <c r="P275" s="101"/>
      <c r="Q275" s="101"/>
      <c r="R275" s="101"/>
      <c r="S275" s="101"/>
      <c r="T275" s="101"/>
      <c r="U275" s="101"/>
      <c r="V275" s="101"/>
      <c r="W275" s="101"/>
      <c r="X275" s="101"/>
      <c r="Y275" s="101"/>
      <c r="Z275" s="101"/>
      <c r="AA275" s="101"/>
      <c r="AB275" s="101"/>
      <c r="AC275" s="101"/>
      <c r="AD275" s="101"/>
      <c r="AE275" s="101"/>
      <c r="AF275" s="101"/>
      <c r="AG275" s="101"/>
      <c r="AH275" s="101"/>
      <c r="AI275" s="101"/>
      <c r="AJ275" s="101"/>
      <c r="AK275" s="101"/>
      <c r="AL275" s="101"/>
      <c r="AM275" s="101"/>
      <c r="AN275" s="101"/>
      <c r="AO275" s="101"/>
    </row>
    <row r="276" spans="1:41" s="97" customFormat="1" ht="12.6" x14ac:dyDescent="0.25">
      <c r="D276" s="32" t="s">
        <v>152</v>
      </c>
      <c r="H276" s="101"/>
      <c r="J276" s="98" t="s">
        <v>20</v>
      </c>
      <c r="L276" s="99"/>
      <c r="M276" s="101"/>
      <c r="N276" s="101"/>
      <c r="O276" s="101"/>
      <c r="P276" s="101"/>
      <c r="Q276" s="101"/>
      <c r="R276" s="101">
        <f t="shared" ref="R276:AD276" si="110">Inputs_Basecase_TL3_Months_Oustanding</f>
        <v>0</v>
      </c>
      <c r="S276" s="101">
        <f t="shared" si="110"/>
        <v>12</v>
      </c>
      <c r="T276" s="101">
        <f t="shared" si="110"/>
        <v>12</v>
      </c>
      <c r="U276" s="101">
        <f t="shared" si="110"/>
        <v>12</v>
      </c>
      <c r="V276" s="101">
        <f t="shared" si="110"/>
        <v>12</v>
      </c>
      <c r="W276" s="101">
        <f t="shared" si="110"/>
        <v>12</v>
      </c>
      <c r="X276" s="101">
        <f t="shared" si="110"/>
        <v>12</v>
      </c>
      <c r="Y276" s="101">
        <f t="shared" si="110"/>
        <v>12</v>
      </c>
      <c r="Z276" s="101">
        <f t="shared" si="110"/>
        <v>12</v>
      </c>
      <c r="AA276" s="101">
        <f t="shared" si="110"/>
        <v>12</v>
      </c>
      <c r="AB276" s="101">
        <f t="shared" si="110"/>
        <v>12</v>
      </c>
      <c r="AC276" s="101">
        <f t="shared" si="110"/>
        <v>12</v>
      </c>
      <c r="AD276" s="101">
        <f t="shared" si="110"/>
        <v>12</v>
      </c>
      <c r="AE276" s="108"/>
      <c r="AF276" s="108"/>
      <c r="AG276" s="108"/>
      <c r="AH276" s="108"/>
      <c r="AI276" s="108"/>
      <c r="AJ276" s="108"/>
      <c r="AK276" s="108"/>
      <c r="AL276" s="108"/>
      <c r="AM276" s="108"/>
      <c r="AN276" s="108"/>
      <c r="AO276" s="108"/>
    </row>
    <row r="277" spans="1:41" s="97" customFormat="1" x14ac:dyDescent="0.2">
      <c r="H277" s="101"/>
      <c r="J277" s="98"/>
      <c r="L277" s="99"/>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c r="AO277" s="101"/>
    </row>
    <row r="278" spans="1:41" s="97" customFormat="1" ht="12.6" x14ac:dyDescent="0.25">
      <c r="D278" s="32" t="s">
        <v>151</v>
      </c>
      <c r="H278" s="101"/>
      <c r="J278" s="98"/>
      <c r="L278" s="99"/>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01"/>
      <c r="AO278" s="101"/>
    </row>
    <row r="279" spans="1:41" s="97" customFormat="1" x14ac:dyDescent="0.2">
      <c r="E279" s="97" t="s">
        <v>150</v>
      </c>
      <c r="H279" s="101"/>
      <c r="J279" s="98" t="s">
        <v>1205</v>
      </c>
      <c r="L279" s="99" t="s">
        <v>196</v>
      </c>
      <c r="M279" s="101"/>
      <c r="N279" s="101"/>
      <c r="O279" s="101"/>
      <c r="P279" s="101"/>
      <c r="Q279" s="181"/>
      <c r="R279" s="21">
        <f t="shared" ref="R279:AD279" si="111">IF(AND(Inputs_Basecase_TL3_Availability_Start_Date&gt;Q$5,Inputs_Basecase_TL3_Availability_Start_Date&lt;R$5),-Inputs_Basecase_TL3_Arrangement_Fee*Inputs_Basecase_TL3_Maximum_Facility,0)</f>
        <v>0</v>
      </c>
      <c r="S279" s="21">
        <f t="shared" si="111"/>
        <v>0</v>
      </c>
      <c r="T279" s="21">
        <f t="shared" si="111"/>
        <v>0</v>
      </c>
      <c r="U279" s="21">
        <f t="shared" si="111"/>
        <v>0</v>
      </c>
      <c r="V279" s="21">
        <f t="shared" si="111"/>
        <v>0</v>
      </c>
      <c r="W279" s="21">
        <f t="shared" si="111"/>
        <v>0</v>
      </c>
      <c r="X279" s="21">
        <f t="shared" si="111"/>
        <v>0</v>
      </c>
      <c r="Y279" s="21">
        <f t="shared" si="111"/>
        <v>0</v>
      </c>
      <c r="Z279" s="21">
        <f t="shared" si="111"/>
        <v>0</v>
      </c>
      <c r="AA279" s="21">
        <f t="shared" si="111"/>
        <v>0</v>
      </c>
      <c r="AB279" s="21">
        <f t="shared" si="111"/>
        <v>0</v>
      </c>
      <c r="AC279" s="21">
        <f t="shared" si="111"/>
        <v>0</v>
      </c>
      <c r="AD279" s="21">
        <f t="shared" si="111"/>
        <v>0</v>
      </c>
      <c r="AE279" s="181"/>
      <c r="AF279" s="181"/>
      <c r="AG279" s="181"/>
      <c r="AH279" s="181"/>
      <c r="AI279" s="181"/>
      <c r="AJ279" s="181"/>
      <c r="AK279" s="181"/>
      <c r="AL279" s="181"/>
      <c r="AM279" s="181"/>
      <c r="AN279" s="181"/>
      <c r="AO279" s="181"/>
    </row>
    <row r="280" spans="1:41" s="97" customFormat="1" x14ac:dyDescent="0.2">
      <c r="E280" s="97" t="s">
        <v>149</v>
      </c>
      <c r="H280" s="101"/>
      <c r="J280" s="98" t="s">
        <v>1205</v>
      </c>
      <c r="L280" s="99" t="s">
        <v>195</v>
      </c>
      <c r="M280" s="101"/>
      <c r="N280" s="101"/>
      <c r="O280" s="101"/>
      <c r="P280" s="101"/>
      <c r="Q280" s="101"/>
      <c r="R280" s="101">
        <f t="shared" ref="R280:AD280" si="112">-((Q255+R255)/2)*(R250*R276)</f>
        <v>0</v>
      </c>
      <c r="S280" s="101">
        <f t="shared" si="112"/>
        <v>0</v>
      </c>
      <c r="T280" s="101">
        <f t="shared" si="112"/>
        <v>0</v>
      </c>
      <c r="U280" s="101">
        <f t="shared" si="112"/>
        <v>0</v>
      </c>
      <c r="V280" s="101">
        <f t="shared" si="112"/>
        <v>0</v>
      </c>
      <c r="W280" s="101">
        <f t="shared" si="112"/>
        <v>0</v>
      </c>
      <c r="X280" s="101">
        <f t="shared" si="112"/>
        <v>0</v>
      </c>
      <c r="Y280" s="101">
        <f t="shared" si="112"/>
        <v>0</v>
      </c>
      <c r="Z280" s="101">
        <f t="shared" si="112"/>
        <v>0</v>
      </c>
      <c r="AA280" s="101">
        <f t="shared" si="112"/>
        <v>0</v>
      </c>
      <c r="AB280" s="101">
        <f t="shared" si="112"/>
        <v>0</v>
      </c>
      <c r="AC280" s="101">
        <f t="shared" si="112"/>
        <v>0</v>
      </c>
      <c r="AD280" s="101">
        <f t="shared" si="112"/>
        <v>0</v>
      </c>
      <c r="AE280" s="101"/>
      <c r="AF280" s="101"/>
      <c r="AG280" s="101"/>
      <c r="AH280" s="101"/>
      <c r="AI280" s="101"/>
      <c r="AJ280" s="101"/>
      <c r="AK280" s="101"/>
      <c r="AL280" s="101"/>
      <c r="AM280" s="101"/>
      <c r="AN280" s="101"/>
      <c r="AO280" s="101"/>
    </row>
    <row r="281" spans="1:41" s="97" customFormat="1" x14ac:dyDescent="0.2">
      <c r="E281" s="28" t="s">
        <v>148</v>
      </c>
      <c r="F281" s="28"/>
      <c r="G281" s="28"/>
      <c r="H281" s="100"/>
      <c r="I281" s="28"/>
      <c r="J281" s="29" t="s">
        <v>1205</v>
      </c>
      <c r="K281" s="28"/>
      <c r="L281" s="30"/>
      <c r="M281" s="100"/>
      <c r="N281" s="100"/>
      <c r="O281" s="100"/>
      <c r="P281" s="100"/>
      <c r="Q281" s="100"/>
      <c r="R281" s="100">
        <f t="shared" ref="R281:AD281" si="113">R279+R280</f>
        <v>0</v>
      </c>
      <c r="S281" s="100">
        <f t="shared" si="113"/>
        <v>0</v>
      </c>
      <c r="T281" s="100">
        <f t="shared" si="113"/>
        <v>0</v>
      </c>
      <c r="U281" s="100">
        <f t="shared" si="113"/>
        <v>0</v>
      </c>
      <c r="V281" s="100">
        <f t="shared" si="113"/>
        <v>0</v>
      </c>
      <c r="W281" s="100">
        <f t="shared" si="113"/>
        <v>0</v>
      </c>
      <c r="X281" s="100">
        <f t="shared" si="113"/>
        <v>0</v>
      </c>
      <c r="Y281" s="100">
        <f t="shared" si="113"/>
        <v>0</v>
      </c>
      <c r="Z281" s="100">
        <f t="shared" si="113"/>
        <v>0</v>
      </c>
      <c r="AA281" s="100">
        <f t="shared" si="113"/>
        <v>0</v>
      </c>
      <c r="AB281" s="100">
        <f t="shared" si="113"/>
        <v>0</v>
      </c>
      <c r="AC281" s="100">
        <f t="shared" si="113"/>
        <v>0</v>
      </c>
      <c r="AD281" s="100">
        <f t="shared" si="113"/>
        <v>0</v>
      </c>
      <c r="AE281" s="101"/>
      <c r="AF281" s="101"/>
      <c r="AG281" s="101"/>
      <c r="AH281" s="101"/>
      <c r="AI281" s="101"/>
      <c r="AJ281" s="101"/>
      <c r="AK281" s="101"/>
      <c r="AL281" s="101"/>
      <c r="AM281" s="101"/>
      <c r="AN281" s="101"/>
      <c r="AO281" s="101"/>
    </row>
    <row r="282" spans="1:41" s="97" customFormat="1" x14ac:dyDescent="0.2">
      <c r="E282" s="20"/>
      <c r="H282" s="101"/>
      <c r="J282" s="98"/>
      <c r="L282" s="99"/>
      <c r="M282" s="101"/>
      <c r="N282" s="101"/>
      <c r="O282" s="101"/>
      <c r="P282" s="101"/>
      <c r="Q282" s="113"/>
      <c r="R282" s="113"/>
      <c r="S282" s="113"/>
      <c r="T282" s="113"/>
      <c r="U282" s="113"/>
      <c r="V282" s="113"/>
      <c r="W282" s="113"/>
      <c r="X282" s="113"/>
      <c r="Y282" s="113"/>
      <c r="Z282" s="113"/>
      <c r="AA282" s="113"/>
      <c r="AB282" s="113"/>
      <c r="AC282" s="113"/>
      <c r="AD282" s="113"/>
      <c r="AE282" s="113"/>
      <c r="AF282" s="113"/>
      <c r="AG282" s="113"/>
      <c r="AH282" s="113"/>
      <c r="AI282" s="113"/>
      <c r="AJ282" s="113"/>
      <c r="AK282" s="113"/>
      <c r="AL282" s="113"/>
      <c r="AM282" s="113"/>
      <c r="AN282" s="113"/>
      <c r="AO282" s="113"/>
    </row>
    <row r="283" spans="1:41" s="97" customFormat="1" ht="12.6" x14ac:dyDescent="0.25">
      <c r="D283" s="27" t="s">
        <v>147</v>
      </c>
      <c r="E283" s="28"/>
      <c r="F283" s="28"/>
      <c r="G283" s="28"/>
      <c r="H283" s="100"/>
      <c r="I283" s="28"/>
      <c r="J283" s="29" t="s">
        <v>1205</v>
      </c>
      <c r="K283" s="28"/>
      <c r="L283" s="30" t="s">
        <v>194</v>
      </c>
      <c r="M283" s="100"/>
      <c r="N283" s="100"/>
      <c r="O283" s="100"/>
      <c r="P283" s="100"/>
      <c r="Q283" s="100"/>
      <c r="R283" s="100">
        <f t="shared" ref="R283:AD283" si="114">-((R258+R260)/2)*(R248*R276)</f>
        <v>0</v>
      </c>
      <c r="S283" s="100" t="e">
        <f t="shared" si="114"/>
        <v>#NAME?</v>
      </c>
      <c r="T283" s="100" t="e">
        <f t="shared" si="114"/>
        <v>#NAME?</v>
      </c>
      <c r="U283" s="100" t="e">
        <f t="shared" si="114"/>
        <v>#NAME?</v>
      </c>
      <c r="V283" s="100" t="e">
        <f t="shared" si="114"/>
        <v>#NAME?</v>
      </c>
      <c r="W283" s="100" t="e">
        <f t="shared" si="114"/>
        <v>#NAME?</v>
      </c>
      <c r="X283" s="100" t="e">
        <f t="shared" si="114"/>
        <v>#NAME?</v>
      </c>
      <c r="Y283" s="100" t="e">
        <f t="shared" si="114"/>
        <v>#NAME?</v>
      </c>
      <c r="Z283" s="100" t="e">
        <f t="shared" si="114"/>
        <v>#NAME?</v>
      </c>
      <c r="AA283" s="100" t="e">
        <f t="shared" si="114"/>
        <v>#NAME?</v>
      </c>
      <c r="AB283" s="100" t="e">
        <f t="shared" si="114"/>
        <v>#NAME?</v>
      </c>
      <c r="AC283" s="100" t="e">
        <f t="shared" si="114"/>
        <v>#NAME?</v>
      </c>
      <c r="AD283" s="100" t="e">
        <f t="shared" si="114"/>
        <v>#NAME?</v>
      </c>
      <c r="AE283" s="101"/>
      <c r="AF283" s="101"/>
      <c r="AG283" s="101"/>
      <c r="AH283" s="101"/>
      <c r="AI283" s="101"/>
      <c r="AJ283" s="101"/>
      <c r="AK283" s="101"/>
      <c r="AL283" s="101"/>
      <c r="AM283" s="101"/>
      <c r="AN283" s="101"/>
      <c r="AO283" s="101"/>
    </row>
    <row r="284" spans="1:41" s="97" customFormat="1" ht="12.6" x14ac:dyDescent="0.25">
      <c r="D284" s="32"/>
      <c r="H284" s="101"/>
      <c r="J284" s="98"/>
      <c r="L284" s="99"/>
      <c r="M284" s="101"/>
      <c r="N284" s="101"/>
      <c r="O284" s="101"/>
      <c r="P284" s="101"/>
      <c r="Q284" s="101"/>
      <c r="R284" s="101"/>
      <c r="S284" s="101"/>
      <c r="T284" s="101"/>
      <c r="U284" s="101"/>
      <c r="V284" s="101"/>
      <c r="W284" s="101"/>
      <c r="X284" s="101"/>
      <c r="Y284" s="101"/>
      <c r="Z284" s="101"/>
      <c r="AA284" s="101"/>
      <c r="AB284" s="101"/>
      <c r="AC284" s="101"/>
      <c r="AD284" s="101"/>
      <c r="AE284" s="101"/>
      <c r="AF284" s="101"/>
      <c r="AG284" s="101"/>
      <c r="AH284" s="101"/>
      <c r="AI284" s="101"/>
      <c r="AJ284" s="101"/>
      <c r="AK284" s="101"/>
      <c r="AL284" s="101"/>
      <c r="AM284" s="101"/>
      <c r="AN284" s="101"/>
      <c r="AO284" s="101"/>
    </row>
    <row r="285" spans="1:41" s="97" customFormat="1" ht="13.2" thickBot="1" x14ac:dyDescent="0.3">
      <c r="D285" s="32"/>
      <c r="H285" s="101"/>
      <c r="J285" s="98"/>
      <c r="L285" s="99"/>
      <c r="M285" s="101"/>
      <c r="N285" s="101"/>
      <c r="O285" s="101"/>
      <c r="P285" s="101"/>
      <c r="Q285" s="101"/>
      <c r="R285" s="101"/>
      <c r="S285" s="101"/>
      <c r="T285" s="101"/>
      <c r="U285" s="101"/>
      <c r="V285" s="101"/>
      <c r="W285" s="101"/>
      <c r="X285" s="101"/>
      <c r="Y285" s="101"/>
      <c r="Z285" s="101"/>
      <c r="AA285" s="101"/>
      <c r="AB285" s="101"/>
      <c r="AC285" s="101"/>
      <c r="AD285" s="101"/>
      <c r="AE285" s="101"/>
      <c r="AF285" s="101"/>
      <c r="AG285" s="101"/>
      <c r="AH285" s="101"/>
      <c r="AI285" s="101"/>
      <c r="AJ285" s="101"/>
      <c r="AK285" s="101"/>
      <c r="AL285" s="101"/>
      <c r="AM285" s="101"/>
      <c r="AN285" s="101"/>
      <c r="AO285" s="101"/>
    </row>
    <row r="286" spans="1:41" s="97" customFormat="1" ht="12.6" thickTop="1" x14ac:dyDescent="0.2">
      <c r="A286" s="1"/>
      <c r="B286" s="20"/>
      <c r="C286" s="337" t="s">
        <v>523</v>
      </c>
      <c r="D286" s="337"/>
      <c r="E286" s="338"/>
      <c r="F286" s="338"/>
      <c r="G286" s="338"/>
      <c r="H286" s="338"/>
      <c r="I286" s="338"/>
      <c r="J286" s="340"/>
      <c r="K286" s="338"/>
      <c r="L286" s="342"/>
      <c r="M286" s="338"/>
      <c r="N286" s="343"/>
      <c r="O286" s="343"/>
      <c r="P286" s="343"/>
      <c r="Q286" s="343"/>
      <c r="R286" s="343"/>
      <c r="S286" s="343"/>
      <c r="T286" s="343"/>
      <c r="U286" s="343"/>
      <c r="V286" s="343"/>
      <c r="W286" s="343"/>
      <c r="X286" s="343"/>
      <c r="Y286" s="343"/>
      <c r="Z286" s="343"/>
      <c r="AA286" s="343"/>
      <c r="AB286" s="343"/>
      <c r="AC286" s="343"/>
      <c r="AD286" s="343"/>
      <c r="AE286" s="101"/>
      <c r="AF286" s="101"/>
      <c r="AG286" s="101"/>
      <c r="AH286" s="101"/>
      <c r="AI286" s="101"/>
      <c r="AJ286" s="101"/>
      <c r="AK286" s="101"/>
      <c r="AL286" s="101"/>
      <c r="AM286" s="101"/>
      <c r="AN286" s="101"/>
      <c r="AO286" s="101"/>
    </row>
    <row r="287" spans="1:41" s="97" customFormat="1" ht="12.6" x14ac:dyDescent="0.25">
      <c r="C287" s="20"/>
      <c r="D287" s="32"/>
      <c r="H287" s="101"/>
      <c r="J287" s="98"/>
      <c r="L287" s="99"/>
      <c r="M287" s="101"/>
      <c r="N287" s="101"/>
      <c r="O287" s="101"/>
      <c r="P287" s="84"/>
      <c r="Q287" s="101"/>
      <c r="R287" s="101"/>
      <c r="S287" s="101"/>
      <c r="T287" s="101"/>
      <c r="U287" s="101"/>
      <c r="V287" s="101"/>
      <c r="W287" s="101"/>
      <c r="X287" s="101"/>
      <c r="Y287" s="101"/>
      <c r="Z287" s="101"/>
      <c r="AA287" s="101"/>
      <c r="AB287" s="101"/>
      <c r="AC287" s="101"/>
      <c r="AD287" s="101"/>
      <c r="AE287" s="101"/>
      <c r="AF287" s="101"/>
      <c r="AG287" s="101"/>
      <c r="AH287" s="101"/>
      <c r="AI287" s="101"/>
      <c r="AJ287" s="101"/>
      <c r="AK287" s="101"/>
      <c r="AL287" s="101"/>
      <c r="AM287" s="101"/>
      <c r="AN287" s="101"/>
      <c r="AO287" s="101"/>
    </row>
    <row r="288" spans="1:41" s="97" customFormat="1" ht="12.6" x14ac:dyDescent="0.25">
      <c r="C288" s="20"/>
      <c r="D288" s="32" t="s">
        <v>173</v>
      </c>
      <c r="E288" s="32"/>
      <c r="G288" s="184"/>
      <c r="H288" s="101"/>
      <c r="J288" s="98" t="s">
        <v>1205</v>
      </c>
      <c r="L288" s="99"/>
      <c r="M288" s="101"/>
      <c r="N288" s="101"/>
      <c r="O288" s="101"/>
      <c r="P288" s="84"/>
      <c r="Q288" s="101"/>
      <c r="R288" s="101">
        <f t="shared" ref="R288:AD288" si="115">Inputs_Basecase_TL4_Maximum_Facility</f>
        <v>5390</v>
      </c>
      <c r="S288" s="101">
        <f t="shared" si="115"/>
        <v>5390</v>
      </c>
      <c r="T288" s="101">
        <f t="shared" si="115"/>
        <v>5390</v>
      </c>
      <c r="U288" s="101">
        <f t="shared" si="115"/>
        <v>5390</v>
      </c>
      <c r="V288" s="101">
        <f t="shared" si="115"/>
        <v>5390</v>
      </c>
      <c r="W288" s="101">
        <f t="shared" si="115"/>
        <v>5390</v>
      </c>
      <c r="X288" s="101">
        <f t="shared" si="115"/>
        <v>5390</v>
      </c>
      <c r="Y288" s="101">
        <f t="shared" si="115"/>
        <v>5390</v>
      </c>
      <c r="Z288" s="101">
        <f t="shared" si="115"/>
        <v>5390</v>
      </c>
      <c r="AA288" s="101">
        <f t="shared" si="115"/>
        <v>5390</v>
      </c>
      <c r="AB288" s="101">
        <f t="shared" si="115"/>
        <v>5390</v>
      </c>
      <c r="AC288" s="101">
        <f t="shared" si="115"/>
        <v>5390</v>
      </c>
      <c r="AD288" s="101">
        <f t="shared" si="115"/>
        <v>5390</v>
      </c>
      <c r="AE288" s="101"/>
      <c r="AF288" s="101"/>
      <c r="AG288" s="101"/>
      <c r="AH288" s="101"/>
      <c r="AI288" s="101"/>
      <c r="AJ288" s="101"/>
      <c r="AK288" s="101"/>
      <c r="AL288" s="101"/>
      <c r="AM288" s="101"/>
      <c r="AN288" s="101"/>
      <c r="AO288" s="101"/>
    </row>
    <row r="289" spans="3:41" s="97" customFormat="1" ht="12.6" x14ac:dyDescent="0.25">
      <c r="C289" s="20"/>
      <c r="D289" s="32"/>
      <c r="H289" s="101"/>
      <c r="J289" s="98"/>
      <c r="L289" s="99"/>
      <c r="M289" s="101"/>
      <c r="N289" s="101"/>
      <c r="O289" s="101"/>
      <c r="P289" s="84"/>
      <c r="Q289" s="101"/>
      <c r="AE289" s="101"/>
      <c r="AF289" s="101"/>
      <c r="AG289" s="101"/>
      <c r="AH289" s="101"/>
      <c r="AI289" s="101"/>
      <c r="AJ289" s="101"/>
      <c r="AK289" s="101"/>
      <c r="AL289" s="101"/>
      <c r="AM289" s="101"/>
      <c r="AN289" s="101"/>
      <c r="AO289" s="101"/>
    </row>
    <row r="290" spans="3:41" s="97" customFormat="1" ht="12.6" x14ac:dyDescent="0.25">
      <c r="D290" s="32" t="s">
        <v>172</v>
      </c>
      <c r="H290" s="101"/>
      <c r="J290" s="98"/>
      <c r="L290" s="99"/>
      <c r="M290" s="101"/>
      <c r="N290" s="101"/>
      <c r="O290" s="101"/>
      <c r="P290" s="101"/>
      <c r="Q290" s="101"/>
      <c r="R290" s="101"/>
      <c r="S290" s="101"/>
      <c r="T290" s="101"/>
      <c r="U290" s="101"/>
      <c r="V290" s="101"/>
      <c r="W290" s="101"/>
      <c r="X290" s="101"/>
      <c r="Y290" s="101"/>
      <c r="Z290" s="101"/>
      <c r="AA290" s="101"/>
      <c r="AB290" s="101"/>
      <c r="AC290" s="101"/>
      <c r="AD290" s="101"/>
      <c r="AE290" s="101"/>
      <c r="AF290" s="101"/>
      <c r="AG290" s="101"/>
      <c r="AH290" s="101"/>
      <c r="AI290" s="101"/>
      <c r="AJ290" s="101"/>
      <c r="AK290" s="101"/>
      <c r="AL290" s="101"/>
      <c r="AM290" s="101"/>
      <c r="AN290" s="101"/>
      <c r="AO290" s="101"/>
    </row>
    <row r="291" spans="3:41" s="97" customFormat="1" x14ac:dyDescent="0.2">
      <c r="E291" s="97" t="s">
        <v>1207</v>
      </c>
      <c r="H291" s="101"/>
      <c r="J291" s="98" t="s">
        <v>49</v>
      </c>
      <c r="L291" s="99"/>
      <c r="N291" s="109"/>
      <c r="O291" s="109"/>
      <c r="P291" s="109"/>
      <c r="Q291" s="109"/>
      <c r="R291" s="24"/>
      <c r="S291" s="24" t="e">
        <f t="shared" ref="S291:AD291" si="116">Inputs_Basecase_SARobor</f>
        <v>#NAME?</v>
      </c>
      <c r="T291" s="24" t="e">
        <f t="shared" si="116"/>
        <v>#NAME?</v>
      </c>
      <c r="U291" s="24" t="e">
        <f t="shared" si="116"/>
        <v>#NAME?</v>
      </c>
      <c r="V291" s="24" t="e">
        <f t="shared" si="116"/>
        <v>#NAME?</v>
      </c>
      <c r="W291" s="24" t="e">
        <f t="shared" si="116"/>
        <v>#NAME?</v>
      </c>
      <c r="X291" s="24" t="e">
        <f t="shared" si="116"/>
        <v>#NAME?</v>
      </c>
      <c r="Y291" s="24" t="e">
        <f t="shared" si="116"/>
        <v>#NAME?</v>
      </c>
      <c r="Z291" s="24" t="e">
        <f t="shared" si="116"/>
        <v>#NAME?</v>
      </c>
      <c r="AA291" s="24" t="e">
        <f t="shared" si="116"/>
        <v>#NAME?</v>
      </c>
      <c r="AB291" s="24" t="e">
        <f t="shared" si="116"/>
        <v>#NAME?</v>
      </c>
      <c r="AC291" s="24" t="e">
        <f t="shared" si="116"/>
        <v>#NAME?</v>
      </c>
      <c r="AD291" s="24" t="e">
        <f t="shared" si="116"/>
        <v>#NAME?</v>
      </c>
      <c r="AE291" s="24"/>
      <c r="AF291" s="109"/>
      <c r="AG291" s="109"/>
      <c r="AH291" s="109"/>
      <c r="AI291" s="109"/>
      <c r="AJ291" s="109"/>
      <c r="AK291" s="109"/>
      <c r="AL291" s="109"/>
      <c r="AM291" s="109"/>
      <c r="AN291" s="109"/>
      <c r="AO291" s="109"/>
    </row>
    <row r="292" spans="3:41" s="97" customFormat="1" x14ac:dyDescent="0.2">
      <c r="E292" s="97" t="s">
        <v>171</v>
      </c>
      <c r="H292" s="101"/>
      <c r="J292" s="98" t="s">
        <v>49</v>
      </c>
      <c r="L292" s="99"/>
      <c r="M292" s="101"/>
      <c r="N292" s="101"/>
      <c r="O292" s="101"/>
      <c r="P292" s="101"/>
      <c r="Q292" s="101"/>
      <c r="R292" s="96"/>
      <c r="S292" s="96">
        <f t="shared" ref="S292:AD292" si="117">Inputs_Basecase_TL4_Margin</f>
        <v>1.3433333333333334E-2</v>
      </c>
      <c r="T292" s="96">
        <f t="shared" si="117"/>
        <v>1.3433333333333334E-2</v>
      </c>
      <c r="U292" s="96">
        <f t="shared" si="117"/>
        <v>1.3433333333333334E-2</v>
      </c>
      <c r="V292" s="96">
        <f t="shared" si="117"/>
        <v>1.3433333333333334E-2</v>
      </c>
      <c r="W292" s="96">
        <f t="shared" si="117"/>
        <v>1.3433333333333334E-2</v>
      </c>
      <c r="X292" s="96">
        <f t="shared" si="117"/>
        <v>1.3433333333333334E-2</v>
      </c>
      <c r="Y292" s="96">
        <f t="shared" si="117"/>
        <v>1.3433333333333334E-2</v>
      </c>
      <c r="Z292" s="96">
        <f t="shared" si="117"/>
        <v>1.3433333333333334E-2</v>
      </c>
      <c r="AA292" s="96">
        <f t="shared" si="117"/>
        <v>1.3433333333333334E-2</v>
      </c>
      <c r="AB292" s="96">
        <f t="shared" si="117"/>
        <v>1.3433333333333334E-2</v>
      </c>
      <c r="AC292" s="96">
        <f t="shared" si="117"/>
        <v>1.3433333333333334E-2</v>
      </c>
      <c r="AD292" s="96">
        <f t="shared" si="117"/>
        <v>1.3433333333333334E-2</v>
      </c>
      <c r="AE292" s="96"/>
      <c r="AF292" s="101"/>
      <c r="AG292" s="101"/>
      <c r="AH292" s="101"/>
      <c r="AI292" s="101"/>
      <c r="AJ292" s="101"/>
      <c r="AK292" s="101"/>
      <c r="AL292" s="101"/>
      <c r="AM292" s="101"/>
      <c r="AN292" s="101"/>
      <c r="AO292" s="101"/>
    </row>
    <row r="293" spans="3:41" s="97" customFormat="1" ht="12.6" x14ac:dyDescent="0.25">
      <c r="C293" s="32"/>
      <c r="D293" s="32"/>
      <c r="E293" s="97" t="s">
        <v>170</v>
      </c>
      <c r="H293" s="101"/>
      <c r="J293" s="98" t="s">
        <v>49</v>
      </c>
      <c r="L293" s="99"/>
      <c r="N293" s="101"/>
      <c r="O293" s="101"/>
      <c r="P293" s="101"/>
      <c r="Q293" s="34"/>
      <c r="R293" s="24"/>
      <c r="S293" s="24" t="e">
        <f t="shared" ref="S293:AD293" si="118">+S292+S291</f>
        <v>#NAME?</v>
      </c>
      <c r="T293" s="24" t="e">
        <f t="shared" si="118"/>
        <v>#NAME?</v>
      </c>
      <c r="U293" s="24" t="e">
        <f t="shared" si="118"/>
        <v>#NAME?</v>
      </c>
      <c r="V293" s="24" t="e">
        <f t="shared" si="118"/>
        <v>#NAME?</v>
      </c>
      <c r="W293" s="24" t="e">
        <f t="shared" si="118"/>
        <v>#NAME?</v>
      </c>
      <c r="X293" s="24" t="e">
        <f t="shared" si="118"/>
        <v>#NAME?</v>
      </c>
      <c r="Y293" s="24" t="e">
        <f t="shared" si="118"/>
        <v>#NAME?</v>
      </c>
      <c r="Z293" s="24" t="e">
        <f t="shared" si="118"/>
        <v>#NAME?</v>
      </c>
      <c r="AA293" s="24" t="e">
        <f t="shared" si="118"/>
        <v>#NAME?</v>
      </c>
      <c r="AB293" s="24" t="e">
        <f t="shared" si="118"/>
        <v>#NAME?</v>
      </c>
      <c r="AC293" s="24" t="e">
        <f t="shared" si="118"/>
        <v>#NAME?</v>
      </c>
      <c r="AD293" s="24" t="e">
        <f t="shared" si="118"/>
        <v>#NAME?</v>
      </c>
      <c r="AE293" s="24"/>
      <c r="AF293" s="34"/>
      <c r="AG293" s="34"/>
      <c r="AH293" s="34"/>
      <c r="AI293" s="34"/>
      <c r="AJ293" s="34"/>
      <c r="AK293" s="34"/>
      <c r="AL293" s="34"/>
      <c r="AM293" s="34"/>
      <c r="AN293" s="34"/>
      <c r="AO293" s="34"/>
    </row>
    <row r="294" spans="3:41" s="97" customFormat="1" ht="12.6" x14ac:dyDescent="0.25">
      <c r="C294" s="20"/>
      <c r="D294" s="32"/>
      <c r="E294" s="27" t="s">
        <v>169</v>
      </c>
      <c r="F294" s="28"/>
      <c r="G294" s="28"/>
      <c r="H294" s="100"/>
      <c r="I294" s="28"/>
      <c r="J294" s="29" t="s">
        <v>49</v>
      </c>
      <c r="K294" s="28"/>
      <c r="L294" s="30"/>
      <c r="M294" s="100"/>
      <c r="N294" s="100"/>
      <c r="O294" s="100"/>
      <c r="P294" s="88"/>
      <c r="Q294" s="100"/>
      <c r="R294" s="183"/>
      <c r="S294" s="183" t="e">
        <f t="shared" ref="S294:AD294" si="119">((1+(S292+S291))^(1/12))-1</f>
        <v>#NAME?</v>
      </c>
      <c r="T294" s="183" t="e">
        <f t="shared" si="119"/>
        <v>#NAME?</v>
      </c>
      <c r="U294" s="183" t="e">
        <f t="shared" si="119"/>
        <v>#NAME?</v>
      </c>
      <c r="V294" s="183" t="e">
        <f t="shared" si="119"/>
        <v>#NAME?</v>
      </c>
      <c r="W294" s="183" t="e">
        <f t="shared" si="119"/>
        <v>#NAME?</v>
      </c>
      <c r="X294" s="183" t="e">
        <f t="shared" si="119"/>
        <v>#NAME?</v>
      </c>
      <c r="Y294" s="183" t="e">
        <f t="shared" si="119"/>
        <v>#NAME?</v>
      </c>
      <c r="Z294" s="183" t="e">
        <f t="shared" si="119"/>
        <v>#NAME?</v>
      </c>
      <c r="AA294" s="183" t="e">
        <f t="shared" si="119"/>
        <v>#NAME?</v>
      </c>
      <c r="AB294" s="183" t="e">
        <f t="shared" si="119"/>
        <v>#NAME?</v>
      </c>
      <c r="AC294" s="183" t="e">
        <f t="shared" si="119"/>
        <v>#NAME?</v>
      </c>
      <c r="AD294" s="183" t="e">
        <f t="shared" si="119"/>
        <v>#NAME?</v>
      </c>
      <c r="AE294" s="96"/>
      <c r="AF294" s="101"/>
      <c r="AG294" s="101"/>
      <c r="AH294" s="101"/>
      <c r="AI294" s="101"/>
      <c r="AJ294" s="101"/>
      <c r="AK294" s="101"/>
      <c r="AL294" s="101"/>
      <c r="AM294" s="101"/>
      <c r="AN294" s="101"/>
      <c r="AO294" s="101"/>
    </row>
    <row r="295" spans="3:41" s="97" customFormat="1" x14ac:dyDescent="0.2">
      <c r="H295" s="101"/>
      <c r="J295" s="98"/>
      <c r="L295" s="99"/>
      <c r="M295" s="101"/>
      <c r="N295" s="101"/>
      <c r="O295" s="101"/>
      <c r="P295" s="101"/>
      <c r="Q295" s="101"/>
      <c r="R295" s="101"/>
      <c r="S295" s="101"/>
      <c r="T295" s="101"/>
      <c r="U295" s="101"/>
      <c r="V295" s="101"/>
      <c r="W295" s="101"/>
      <c r="X295" s="101"/>
      <c r="Y295" s="101"/>
      <c r="Z295" s="101"/>
      <c r="AA295" s="101"/>
      <c r="AB295" s="101"/>
      <c r="AC295" s="101"/>
      <c r="AD295" s="101"/>
      <c r="AE295" s="101"/>
      <c r="AF295" s="101"/>
      <c r="AG295" s="101"/>
      <c r="AH295" s="101"/>
      <c r="AI295" s="101"/>
      <c r="AJ295" s="101"/>
      <c r="AK295" s="101"/>
      <c r="AL295" s="101"/>
      <c r="AM295" s="101"/>
      <c r="AN295" s="101"/>
      <c r="AO295" s="101"/>
    </row>
    <row r="296" spans="3:41" s="97" customFormat="1" ht="12.6" x14ac:dyDescent="0.25">
      <c r="E296" s="32" t="s">
        <v>168</v>
      </c>
      <c r="H296" s="101"/>
      <c r="J296" s="98" t="s">
        <v>49</v>
      </c>
      <c r="L296" s="99"/>
      <c r="N296" s="109"/>
      <c r="O296" s="109"/>
      <c r="P296" s="109"/>
      <c r="Q296" s="109"/>
      <c r="R296" s="108">
        <f t="shared" ref="R296:AD296" si="120">Inputs_Basecase_TL4_Commitment_Fee/12</f>
        <v>0</v>
      </c>
      <c r="S296" s="108">
        <f t="shared" si="120"/>
        <v>0</v>
      </c>
      <c r="T296" s="108">
        <f t="shared" si="120"/>
        <v>0</v>
      </c>
      <c r="U296" s="108">
        <f t="shared" si="120"/>
        <v>0</v>
      </c>
      <c r="V296" s="108">
        <f t="shared" si="120"/>
        <v>0</v>
      </c>
      <c r="W296" s="108">
        <f t="shared" si="120"/>
        <v>0</v>
      </c>
      <c r="X296" s="108">
        <f t="shared" si="120"/>
        <v>0</v>
      </c>
      <c r="Y296" s="108">
        <f t="shared" si="120"/>
        <v>0</v>
      </c>
      <c r="Z296" s="108">
        <f t="shared" si="120"/>
        <v>0</v>
      </c>
      <c r="AA296" s="108">
        <f t="shared" si="120"/>
        <v>0</v>
      </c>
      <c r="AB296" s="108">
        <f t="shared" si="120"/>
        <v>0</v>
      </c>
      <c r="AC296" s="108">
        <f t="shared" si="120"/>
        <v>0</v>
      </c>
      <c r="AD296" s="108">
        <f t="shared" si="120"/>
        <v>0</v>
      </c>
      <c r="AE296" s="109"/>
      <c r="AF296" s="109"/>
      <c r="AG296" s="109"/>
      <c r="AH296" s="109"/>
      <c r="AI296" s="109"/>
      <c r="AJ296" s="109"/>
      <c r="AK296" s="109"/>
      <c r="AL296" s="109"/>
      <c r="AM296" s="109"/>
      <c r="AN296" s="109"/>
      <c r="AO296" s="109"/>
    </row>
    <row r="297" spans="3:41" s="97" customFormat="1" x14ac:dyDescent="0.2">
      <c r="H297" s="101"/>
      <c r="J297" s="98"/>
      <c r="L297" s="99"/>
      <c r="M297" s="101"/>
      <c r="N297" s="101"/>
      <c r="O297" s="101"/>
      <c r="P297" s="101"/>
      <c r="Q297" s="101"/>
      <c r="R297" s="101"/>
      <c r="S297" s="101"/>
      <c r="T297" s="101"/>
      <c r="U297" s="101"/>
      <c r="V297" s="101"/>
      <c r="W297" s="101"/>
      <c r="X297" s="101"/>
      <c r="Y297" s="101"/>
      <c r="Z297" s="101"/>
      <c r="AA297" s="101"/>
      <c r="AB297" s="101"/>
      <c r="AC297" s="101"/>
      <c r="AD297" s="101"/>
      <c r="AE297" s="101"/>
      <c r="AF297" s="101"/>
      <c r="AG297" s="101"/>
      <c r="AH297" s="101"/>
      <c r="AI297" s="101"/>
      <c r="AJ297" s="101"/>
      <c r="AK297" s="101"/>
      <c r="AL297" s="101"/>
      <c r="AM297" s="101"/>
      <c r="AN297" s="101"/>
      <c r="AO297" s="101"/>
    </row>
    <row r="298" spans="3:41" s="97" customFormat="1" ht="12.6" x14ac:dyDescent="0.25">
      <c r="C298" s="32"/>
      <c r="D298" s="32" t="s">
        <v>167</v>
      </c>
      <c r="H298" s="101"/>
      <c r="J298" s="98" t="s">
        <v>1205</v>
      </c>
      <c r="L298" s="99" t="s">
        <v>193</v>
      </c>
      <c r="M298" s="101">
        <f>MAX(R299:AD299)</f>
        <v>5390</v>
      </c>
      <c r="O298" s="101"/>
      <c r="P298" s="101"/>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row>
    <row r="299" spans="3:41" s="97" customFormat="1" ht="12.6" x14ac:dyDescent="0.25">
      <c r="C299" s="20"/>
      <c r="D299" s="32" t="s">
        <v>166</v>
      </c>
      <c r="H299" s="101"/>
      <c r="J299" s="98" t="s">
        <v>1205</v>
      </c>
      <c r="L299" s="99"/>
      <c r="M299" s="101"/>
      <c r="N299" s="101"/>
      <c r="O299" s="101"/>
      <c r="P299" s="84"/>
      <c r="Q299" s="101"/>
      <c r="R299" s="101">
        <f>SUM($Q305:R305)</f>
        <v>5390</v>
      </c>
      <c r="S299" s="101">
        <f>SUM($Q305:S305)</f>
        <v>5390</v>
      </c>
      <c r="T299" s="101">
        <f>SUM($Q305:T305)</f>
        <v>5390</v>
      </c>
      <c r="U299" s="101">
        <f>SUM($Q305:U305)</f>
        <v>5390</v>
      </c>
      <c r="V299" s="101">
        <f>SUM($Q305:V305)</f>
        <v>5390</v>
      </c>
      <c r="W299" s="101">
        <f>SUM($Q305:W305)</f>
        <v>5390</v>
      </c>
      <c r="X299" s="101">
        <f>SUM($Q305:X305)</f>
        <v>5390</v>
      </c>
      <c r="Y299" s="101">
        <f>SUM($Q305:Y305)</f>
        <v>5390</v>
      </c>
      <c r="Z299" s="101">
        <f>SUM($Q305:Z305)</f>
        <v>5390</v>
      </c>
      <c r="AA299" s="101">
        <f>SUM($Q305:AA305)</f>
        <v>5390</v>
      </c>
      <c r="AB299" s="101">
        <f>SUM($Q305:AB305)</f>
        <v>5390</v>
      </c>
      <c r="AC299" s="101">
        <f>SUM($Q305:AC305)</f>
        <v>5390</v>
      </c>
      <c r="AD299" s="101">
        <f>SUM($Q305:AD305)</f>
        <v>5390</v>
      </c>
      <c r="AE299" s="101"/>
      <c r="AF299" s="101"/>
      <c r="AG299" s="101"/>
      <c r="AH299" s="101"/>
      <c r="AI299" s="101"/>
      <c r="AJ299" s="101"/>
      <c r="AK299" s="101"/>
      <c r="AL299" s="101"/>
      <c r="AM299" s="101"/>
      <c r="AN299" s="101"/>
      <c r="AO299" s="101"/>
    </row>
    <row r="300" spans="3:41" s="97" customFormat="1" x14ac:dyDescent="0.2">
      <c r="H300" s="101"/>
      <c r="J300" s="98"/>
      <c r="L300" s="99"/>
      <c r="M300" s="101"/>
      <c r="N300" s="101"/>
      <c r="O300" s="101"/>
      <c r="P300" s="101"/>
      <c r="Q300" s="101"/>
      <c r="R300" s="101"/>
      <c r="S300" s="101"/>
      <c r="T300" s="101"/>
      <c r="U300" s="101"/>
      <c r="V300" s="101"/>
      <c r="W300" s="101"/>
      <c r="X300" s="101"/>
      <c r="Y300" s="101"/>
      <c r="Z300" s="101"/>
      <c r="AA300" s="101"/>
      <c r="AB300" s="101"/>
      <c r="AC300" s="101"/>
      <c r="AD300" s="101"/>
      <c r="AE300" s="101"/>
      <c r="AF300" s="101"/>
      <c r="AG300" s="101"/>
      <c r="AH300" s="101"/>
      <c r="AI300" s="101"/>
      <c r="AJ300" s="101"/>
      <c r="AK300" s="101"/>
      <c r="AL300" s="101"/>
      <c r="AM300" s="101"/>
      <c r="AN300" s="101"/>
      <c r="AO300" s="101"/>
    </row>
    <row r="301" spans="3:41" s="97" customFormat="1" ht="12.6" x14ac:dyDescent="0.25">
      <c r="D301" s="32" t="s">
        <v>165</v>
      </c>
      <c r="H301" s="101"/>
      <c r="J301" s="98" t="s">
        <v>1205</v>
      </c>
      <c r="L301" s="99"/>
      <c r="N301" s="109"/>
      <c r="O301" s="109"/>
      <c r="P301" s="109"/>
      <c r="Q301" s="109"/>
      <c r="R301" s="101">
        <f t="shared" ref="R301:AD301" si="121">R288-R299</f>
        <v>0</v>
      </c>
      <c r="S301" s="101">
        <f t="shared" si="121"/>
        <v>0</v>
      </c>
      <c r="T301" s="101">
        <f t="shared" si="121"/>
        <v>0</v>
      </c>
      <c r="U301" s="101">
        <f t="shared" si="121"/>
        <v>0</v>
      </c>
      <c r="V301" s="101">
        <f t="shared" si="121"/>
        <v>0</v>
      </c>
      <c r="W301" s="101">
        <f t="shared" si="121"/>
        <v>0</v>
      </c>
      <c r="X301" s="101">
        <f t="shared" si="121"/>
        <v>0</v>
      </c>
      <c r="Y301" s="101">
        <f t="shared" si="121"/>
        <v>0</v>
      </c>
      <c r="Z301" s="101">
        <f t="shared" si="121"/>
        <v>0</v>
      </c>
      <c r="AA301" s="101">
        <f t="shared" si="121"/>
        <v>0</v>
      </c>
      <c r="AB301" s="101">
        <f t="shared" si="121"/>
        <v>0</v>
      </c>
      <c r="AC301" s="101">
        <f t="shared" si="121"/>
        <v>0</v>
      </c>
      <c r="AD301" s="101">
        <f t="shared" si="121"/>
        <v>0</v>
      </c>
      <c r="AE301" s="109"/>
      <c r="AF301" s="109"/>
      <c r="AG301" s="109"/>
      <c r="AH301" s="109"/>
      <c r="AI301" s="109"/>
      <c r="AJ301" s="109"/>
      <c r="AK301" s="109"/>
      <c r="AL301" s="109"/>
      <c r="AM301" s="109"/>
      <c r="AN301" s="109"/>
      <c r="AO301" s="109"/>
    </row>
    <row r="302" spans="3:41" s="97" customFormat="1" x14ac:dyDescent="0.2">
      <c r="H302" s="101"/>
      <c r="J302" s="98"/>
      <c r="L302" s="99"/>
      <c r="M302" s="101"/>
      <c r="N302" s="101"/>
      <c r="O302" s="101"/>
      <c r="P302" s="101"/>
      <c r="Q302" s="101"/>
      <c r="R302" s="101"/>
      <c r="S302" s="101"/>
      <c r="T302" s="101"/>
      <c r="U302" s="101"/>
      <c r="V302" s="101"/>
      <c r="W302" s="101"/>
      <c r="X302" s="101"/>
      <c r="Y302" s="101"/>
      <c r="Z302" s="101"/>
      <c r="AA302" s="101"/>
      <c r="AB302" s="101"/>
      <c r="AC302" s="101"/>
      <c r="AD302" s="101"/>
      <c r="AE302" s="101"/>
      <c r="AF302" s="101"/>
      <c r="AG302" s="101"/>
      <c r="AH302" s="101"/>
      <c r="AI302" s="101"/>
      <c r="AJ302" s="101"/>
      <c r="AK302" s="101"/>
      <c r="AL302" s="101"/>
      <c r="AM302" s="101"/>
      <c r="AN302" s="101"/>
      <c r="AO302" s="101"/>
    </row>
    <row r="303" spans="3:41" s="97" customFormat="1" ht="12.6" x14ac:dyDescent="0.25">
      <c r="C303" s="32"/>
      <c r="D303" s="32" t="s">
        <v>164</v>
      </c>
      <c r="H303" s="101"/>
      <c r="J303" s="98"/>
      <c r="L303" s="99"/>
      <c r="N303" s="101"/>
      <c r="O303" s="101"/>
      <c r="P303" s="101"/>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row>
    <row r="304" spans="3:41" s="97" customFormat="1" ht="12.6" x14ac:dyDescent="0.25">
      <c r="C304" s="20"/>
      <c r="D304" s="32"/>
      <c r="E304" s="97" t="s">
        <v>91</v>
      </c>
      <c r="H304" s="101"/>
      <c r="J304" s="98" t="s">
        <v>1205</v>
      </c>
      <c r="L304" s="99"/>
      <c r="M304" s="101"/>
      <c r="N304" s="101"/>
      <c r="O304" s="101"/>
      <c r="P304" s="84"/>
      <c r="Q304" s="101"/>
      <c r="R304" s="101">
        <f t="shared" ref="R304:AD304" si="122">Q316</f>
        <v>0</v>
      </c>
      <c r="S304" s="101">
        <f t="shared" si="122"/>
        <v>5390</v>
      </c>
      <c r="T304" s="101">
        <f t="shared" si="122"/>
        <v>4312</v>
      </c>
      <c r="U304" s="101">
        <f t="shared" si="122"/>
        <v>3234</v>
      </c>
      <c r="V304" s="101">
        <f t="shared" si="122"/>
        <v>2156</v>
      </c>
      <c r="W304" s="101">
        <f t="shared" si="122"/>
        <v>1078</v>
      </c>
      <c r="X304" s="101">
        <f t="shared" si="122"/>
        <v>0</v>
      </c>
      <c r="Y304" s="101">
        <f t="shared" si="122"/>
        <v>0</v>
      </c>
      <c r="Z304" s="101">
        <f t="shared" si="122"/>
        <v>0</v>
      </c>
      <c r="AA304" s="101">
        <f t="shared" si="122"/>
        <v>0</v>
      </c>
      <c r="AB304" s="101">
        <f t="shared" si="122"/>
        <v>0</v>
      </c>
      <c r="AC304" s="101">
        <f t="shared" si="122"/>
        <v>0</v>
      </c>
      <c r="AD304" s="101">
        <f t="shared" si="122"/>
        <v>0</v>
      </c>
      <c r="AE304" s="101"/>
      <c r="AF304" s="101"/>
      <c r="AG304" s="101"/>
      <c r="AH304" s="101"/>
      <c r="AI304" s="101"/>
      <c r="AJ304" s="101"/>
      <c r="AK304" s="101"/>
      <c r="AL304" s="101"/>
      <c r="AM304" s="101"/>
      <c r="AN304" s="101"/>
      <c r="AO304" s="101"/>
    </row>
    <row r="305" spans="2:41" s="97" customFormat="1" x14ac:dyDescent="0.2">
      <c r="E305" s="97" t="s">
        <v>163</v>
      </c>
      <c r="H305" s="101"/>
      <c r="J305" s="98" t="s">
        <v>1205</v>
      </c>
      <c r="L305" s="99" t="s">
        <v>192</v>
      </c>
      <c r="M305" s="101"/>
      <c r="N305" s="101"/>
      <c r="O305" s="101"/>
      <c r="P305" s="101"/>
      <c r="Q305" s="101"/>
      <c r="R305" s="101">
        <f>R316</f>
        <v>5390</v>
      </c>
      <c r="S305" s="101">
        <f t="shared" ref="S305:AD305" si="123">Inputs_Basecase_TL4_Drawdown</f>
        <v>0</v>
      </c>
      <c r="T305" s="101">
        <f t="shared" si="123"/>
        <v>0</v>
      </c>
      <c r="U305" s="101">
        <f t="shared" si="123"/>
        <v>0</v>
      </c>
      <c r="V305" s="101">
        <f t="shared" si="123"/>
        <v>0</v>
      </c>
      <c r="W305" s="101">
        <f t="shared" si="123"/>
        <v>0</v>
      </c>
      <c r="X305" s="101">
        <f t="shared" si="123"/>
        <v>0</v>
      </c>
      <c r="Y305" s="101">
        <f t="shared" si="123"/>
        <v>0</v>
      </c>
      <c r="Z305" s="101">
        <f t="shared" si="123"/>
        <v>0</v>
      </c>
      <c r="AA305" s="101">
        <f t="shared" si="123"/>
        <v>0</v>
      </c>
      <c r="AB305" s="101">
        <f t="shared" si="123"/>
        <v>0</v>
      </c>
      <c r="AC305" s="101">
        <f t="shared" si="123"/>
        <v>0</v>
      </c>
      <c r="AD305" s="101">
        <f t="shared" si="123"/>
        <v>0</v>
      </c>
      <c r="AE305" s="101"/>
      <c r="AF305" s="101"/>
      <c r="AG305" s="101"/>
      <c r="AH305" s="101"/>
      <c r="AI305" s="101"/>
      <c r="AJ305" s="101"/>
      <c r="AK305" s="101"/>
      <c r="AL305" s="101"/>
      <c r="AM305" s="101"/>
      <c r="AN305" s="101"/>
      <c r="AO305" s="101"/>
    </row>
    <row r="306" spans="2:41" s="97" customFormat="1" ht="12.6" x14ac:dyDescent="0.25">
      <c r="E306" s="27" t="s">
        <v>162</v>
      </c>
      <c r="F306" s="28"/>
      <c r="G306" s="28"/>
      <c r="H306" s="100"/>
      <c r="I306" s="28"/>
      <c r="J306" s="29" t="s">
        <v>1205</v>
      </c>
      <c r="K306" s="28"/>
      <c r="L306" s="30"/>
      <c r="M306" s="28"/>
      <c r="N306" s="87"/>
      <c r="O306" s="87"/>
      <c r="P306" s="87"/>
      <c r="Q306" s="87"/>
      <c r="R306" s="100">
        <f t="shared" ref="R306:AD306" si="124">SUM(R304:R305)</f>
        <v>5390</v>
      </c>
      <c r="S306" s="100">
        <f t="shared" si="124"/>
        <v>5390</v>
      </c>
      <c r="T306" s="100">
        <f t="shared" si="124"/>
        <v>4312</v>
      </c>
      <c r="U306" s="100">
        <f t="shared" si="124"/>
        <v>3234</v>
      </c>
      <c r="V306" s="100">
        <f t="shared" si="124"/>
        <v>2156</v>
      </c>
      <c r="W306" s="100">
        <f t="shared" si="124"/>
        <v>1078</v>
      </c>
      <c r="X306" s="100">
        <f t="shared" si="124"/>
        <v>0</v>
      </c>
      <c r="Y306" s="100">
        <f t="shared" si="124"/>
        <v>0</v>
      </c>
      <c r="Z306" s="100">
        <f t="shared" si="124"/>
        <v>0</v>
      </c>
      <c r="AA306" s="100">
        <f t="shared" si="124"/>
        <v>0</v>
      </c>
      <c r="AB306" s="100">
        <f t="shared" si="124"/>
        <v>0</v>
      </c>
      <c r="AC306" s="100">
        <f t="shared" si="124"/>
        <v>0</v>
      </c>
      <c r="AD306" s="100">
        <f t="shared" si="124"/>
        <v>0</v>
      </c>
      <c r="AE306" s="109"/>
      <c r="AF306" s="109"/>
      <c r="AG306" s="109"/>
      <c r="AH306" s="109"/>
      <c r="AI306" s="109"/>
      <c r="AJ306" s="109"/>
      <c r="AK306" s="109"/>
      <c r="AL306" s="109"/>
      <c r="AM306" s="109"/>
      <c r="AN306" s="109"/>
      <c r="AO306" s="109"/>
    </row>
    <row r="307" spans="2:41" s="97" customFormat="1" x14ac:dyDescent="0.2">
      <c r="H307" s="101"/>
      <c r="J307" s="98"/>
      <c r="L307" s="99"/>
      <c r="M307" s="101"/>
      <c r="N307" s="101"/>
      <c r="O307" s="101"/>
      <c r="P307" s="101"/>
      <c r="Q307" s="101"/>
      <c r="R307" s="101"/>
      <c r="S307" s="101"/>
      <c r="T307" s="101"/>
      <c r="U307" s="101"/>
      <c r="V307" s="101"/>
      <c r="W307" s="101"/>
      <c r="X307" s="101"/>
      <c r="Y307" s="101"/>
      <c r="Z307" s="101"/>
      <c r="AA307" s="101"/>
      <c r="AB307" s="101"/>
      <c r="AC307" s="101"/>
      <c r="AD307" s="101"/>
      <c r="AE307" s="101"/>
      <c r="AF307" s="101"/>
      <c r="AG307" s="101"/>
      <c r="AH307" s="101"/>
      <c r="AI307" s="101"/>
      <c r="AJ307" s="101"/>
      <c r="AK307" s="101"/>
      <c r="AL307" s="101"/>
      <c r="AM307" s="101"/>
      <c r="AN307" s="101"/>
      <c r="AO307" s="101"/>
    </row>
    <row r="308" spans="2:41" s="97" customFormat="1" ht="12.6" x14ac:dyDescent="0.25">
      <c r="D308" s="32" t="s">
        <v>161</v>
      </c>
      <c r="H308" s="101"/>
      <c r="L308" s="99"/>
      <c r="N308" s="101"/>
      <c r="O308" s="101"/>
      <c r="P308" s="101"/>
      <c r="Q308" s="101"/>
      <c r="R308" s="101"/>
      <c r="S308" s="101"/>
      <c r="T308" s="101"/>
      <c r="U308" s="101"/>
      <c r="V308" s="101"/>
      <c r="W308" s="101"/>
      <c r="X308" s="101"/>
      <c r="Y308" s="101"/>
      <c r="Z308" s="101"/>
      <c r="AA308" s="101"/>
      <c r="AB308" s="101"/>
      <c r="AC308" s="101"/>
      <c r="AD308" s="101"/>
      <c r="AE308" s="101"/>
      <c r="AF308" s="101"/>
      <c r="AG308" s="101"/>
      <c r="AH308" s="101"/>
      <c r="AI308" s="101"/>
      <c r="AJ308" s="101"/>
      <c r="AK308" s="101"/>
      <c r="AL308" s="101"/>
      <c r="AM308" s="101"/>
      <c r="AN308" s="101"/>
      <c r="AO308" s="101"/>
    </row>
    <row r="309" spans="2:41" s="97" customFormat="1" ht="12.6" x14ac:dyDescent="0.25">
      <c r="C309" s="20"/>
      <c r="D309" s="32"/>
      <c r="E309" s="97" t="s">
        <v>160</v>
      </c>
      <c r="H309" s="101"/>
      <c r="J309" s="98" t="s">
        <v>1205</v>
      </c>
      <c r="L309" s="99"/>
      <c r="M309" s="101"/>
      <c r="N309" s="101"/>
      <c r="O309" s="101"/>
      <c r="P309" s="84"/>
      <c r="Q309" s="101"/>
      <c r="R309" s="108"/>
      <c r="S309" s="108">
        <f t="shared" ref="S309:AD309" si="125">Inputs_Basecase_TL4_Repayment_Principal</f>
        <v>0.2</v>
      </c>
      <c r="T309" s="108">
        <f t="shared" si="125"/>
        <v>0.2</v>
      </c>
      <c r="U309" s="108">
        <f t="shared" si="125"/>
        <v>0.2</v>
      </c>
      <c r="V309" s="108">
        <f t="shared" si="125"/>
        <v>0.2</v>
      </c>
      <c r="W309" s="108">
        <f t="shared" si="125"/>
        <v>0.2</v>
      </c>
      <c r="X309" s="108">
        <f t="shared" si="125"/>
        <v>0</v>
      </c>
      <c r="Y309" s="108">
        <f t="shared" si="125"/>
        <v>0</v>
      </c>
      <c r="Z309" s="108">
        <f t="shared" si="125"/>
        <v>0</v>
      </c>
      <c r="AA309" s="108">
        <f t="shared" si="125"/>
        <v>0</v>
      </c>
      <c r="AB309" s="108">
        <f t="shared" si="125"/>
        <v>0</v>
      </c>
      <c r="AC309" s="108">
        <f t="shared" si="125"/>
        <v>0</v>
      </c>
      <c r="AD309" s="108">
        <f t="shared" si="125"/>
        <v>0</v>
      </c>
      <c r="AE309" s="101"/>
      <c r="AF309" s="101"/>
      <c r="AG309" s="101"/>
      <c r="AH309" s="101"/>
      <c r="AI309" s="101"/>
      <c r="AJ309" s="101"/>
      <c r="AK309" s="101"/>
      <c r="AL309" s="101"/>
      <c r="AM309" s="101"/>
      <c r="AN309" s="101"/>
      <c r="AO309" s="101"/>
    </row>
    <row r="310" spans="2:41" s="97" customFormat="1" x14ac:dyDescent="0.2">
      <c r="E310" s="97" t="s">
        <v>146</v>
      </c>
      <c r="H310" s="101"/>
      <c r="J310" s="98" t="s">
        <v>1205</v>
      </c>
      <c r="L310" s="99"/>
      <c r="M310" s="101"/>
      <c r="N310" s="101"/>
      <c r="O310" s="101"/>
      <c r="P310" s="101"/>
      <c r="Q310" s="101"/>
      <c r="R310" s="101"/>
      <c r="S310" s="101">
        <f t="shared" ref="S310:AD310" si="126">-Inputs_Basecase_TL4_Repayment_Principal*Finance_TL4_Total</f>
        <v>-1078</v>
      </c>
      <c r="T310" s="101">
        <f t="shared" si="126"/>
        <v>-1078</v>
      </c>
      <c r="U310" s="101">
        <f t="shared" si="126"/>
        <v>-1078</v>
      </c>
      <c r="V310" s="101">
        <f t="shared" si="126"/>
        <v>-1078</v>
      </c>
      <c r="W310" s="101">
        <f t="shared" si="126"/>
        <v>-1078</v>
      </c>
      <c r="X310" s="101">
        <f t="shared" si="126"/>
        <v>0</v>
      </c>
      <c r="Y310" s="101">
        <f t="shared" si="126"/>
        <v>0</v>
      </c>
      <c r="Z310" s="101">
        <f t="shared" si="126"/>
        <v>0</v>
      </c>
      <c r="AA310" s="101">
        <f t="shared" si="126"/>
        <v>0</v>
      </c>
      <c r="AB310" s="101">
        <f t="shared" si="126"/>
        <v>0</v>
      </c>
      <c r="AC310" s="101">
        <f t="shared" si="126"/>
        <v>0</v>
      </c>
      <c r="AD310" s="101">
        <f t="shared" si="126"/>
        <v>0</v>
      </c>
      <c r="AE310" s="101"/>
      <c r="AF310" s="101"/>
      <c r="AG310" s="101"/>
      <c r="AH310" s="101"/>
      <c r="AI310" s="101"/>
      <c r="AJ310" s="101"/>
      <c r="AK310" s="101"/>
      <c r="AL310" s="101"/>
      <c r="AM310" s="101"/>
      <c r="AN310" s="101"/>
      <c r="AO310" s="101"/>
    </row>
    <row r="311" spans="2:41" s="97" customFormat="1" ht="12.6" x14ac:dyDescent="0.25">
      <c r="E311" s="27" t="s">
        <v>159</v>
      </c>
      <c r="F311" s="28"/>
      <c r="G311" s="28"/>
      <c r="H311" s="100"/>
      <c r="I311" s="28"/>
      <c r="J311" s="29" t="s">
        <v>1205</v>
      </c>
      <c r="K311" s="28"/>
      <c r="L311" s="30" t="s">
        <v>191</v>
      </c>
      <c r="M311" s="28"/>
      <c r="N311" s="87"/>
      <c r="O311" s="87"/>
      <c r="P311" s="87"/>
      <c r="Q311" s="87"/>
      <c r="R311" s="100"/>
      <c r="S311" s="100">
        <f t="shared" ref="S311:AD311" si="127">IF(-S310&lt;S306,S310,-S306)</f>
        <v>-1078</v>
      </c>
      <c r="T311" s="100">
        <f t="shared" si="127"/>
        <v>-1078</v>
      </c>
      <c r="U311" s="100">
        <f t="shared" si="127"/>
        <v>-1078</v>
      </c>
      <c r="V311" s="100">
        <f t="shared" si="127"/>
        <v>-1078</v>
      </c>
      <c r="W311" s="100">
        <f t="shared" si="127"/>
        <v>-1078</v>
      </c>
      <c r="X311" s="100">
        <f t="shared" si="127"/>
        <v>0</v>
      </c>
      <c r="Y311" s="100">
        <f t="shared" si="127"/>
        <v>0</v>
      </c>
      <c r="Z311" s="100">
        <f t="shared" si="127"/>
        <v>0</v>
      </c>
      <c r="AA311" s="100">
        <f t="shared" si="127"/>
        <v>0</v>
      </c>
      <c r="AB311" s="100">
        <f t="shared" si="127"/>
        <v>0</v>
      </c>
      <c r="AC311" s="100">
        <f t="shared" si="127"/>
        <v>0</v>
      </c>
      <c r="AD311" s="100">
        <f t="shared" si="127"/>
        <v>0</v>
      </c>
      <c r="AE311" s="109"/>
      <c r="AF311" s="109"/>
      <c r="AG311" s="109"/>
      <c r="AH311" s="109"/>
      <c r="AI311" s="109"/>
      <c r="AJ311" s="109"/>
      <c r="AK311" s="109"/>
      <c r="AL311" s="109"/>
      <c r="AM311" s="109"/>
      <c r="AN311" s="109"/>
      <c r="AO311" s="109"/>
    </row>
    <row r="312" spans="2:41" s="97" customFormat="1" x14ac:dyDescent="0.2">
      <c r="H312" s="101"/>
      <c r="J312" s="98"/>
      <c r="L312" s="99"/>
      <c r="M312" s="101"/>
      <c r="N312" s="101"/>
      <c r="O312" s="101"/>
      <c r="P312" s="101"/>
      <c r="Q312" s="101"/>
      <c r="R312" s="101"/>
      <c r="S312" s="101"/>
      <c r="T312" s="101"/>
      <c r="U312" s="101"/>
      <c r="V312" s="101"/>
      <c r="W312" s="101"/>
      <c r="X312" s="101"/>
      <c r="Y312" s="101"/>
      <c r="Z312" s="101"/>
      <c r="AA312" s="101"/>
      <c r="AB312" s="101"/>
      <c r="AC312" s="101"/>
      <c r="AD312" s="101"/>
      <c r="AE312" s="101"/>
      <c r="AF312" s="101"/>
      <c r="AG312" s="101"/>
      <c r="AH312" s="101"/>
      <c r="AI312" s="101"/>
      <c r="AJ312" s="101"/>
      <c r="AK312" s="101"/>
      <c r="AL312" s="101"/>
      <c r="AM312" s="101"/>
      <c r="AN312" s="101"/>
      <c r="AO312" s="101"/>
    </row>
    <row r="313" spans="2:41" s="97" customFormat="1" ht="12.6" x14ac:dyDescent="0.25">
      <c r="D313" s="27" t="s">
        <v>158</v>
      </c>
      <c r="E313" s="28"/>
      <c r="F313" s="28"/>
      <c r="G313" s="28"/>
      <c r="H313" s="100"/>
      <c r="I313" s="28"/>
      <c r="J313" s="29" t="s">
        <v>1205</v>
      </c>
      <c r="K313" s="28"/>
      <c r="L313" s="30"/>
      <c r="M313" s="100"/>
      <c r="N313" s="100"/>
      <c r="O313" s="100"/>
      <c r="P313" s="100"/>
      <c r="Q313" s="100"/>
      <c r="R313" s="100"/>
      <c r="S313" s="100">
        <f t="shared" ref="S313:AD313" si="128">S306+S311</f>
        <v>4312</v>
      </c>
      <c r="T313" s="100">
        <f t="shared" si="128"/>
        <v>3234</v>
      </c>
      <c r="U313" s="100">
        <f t="shared" si="128"/>
        <v>2156</v>
      </c>
      <c r="V313" s="100">
        <f t="shared" si="128"/>
        <v>1078</v>
      </c>
      <c r="W313" s="100">
        <f t="shared" si="128"/>
        <v>0</v>
      </c>
      <c r="X313" s="100">
        <f t="shared" si="128"/>
        <v>0</v>
      </c>
      <c r="Y313" s="100">
        <f t="shared" si="128"/>
        <v>0</v>
      </c>
      <c r="Z313" s="100">
        <f t="shared" si="128"/>
        <v>0</v>
      </c>
      <c r="AA313" s="100">
        <f t="shared" si="128"/>
        <v>0</v>
      </c>
      <c r="AB313" s="100">
        <f t="shared" si="128"/>
        <v>0</v>
      </c>
      <c r="AC313" s="100">
        <f t="shared" si="128"/>
        <v>0</v>
      </c>
      <c r="AD313" s="100">
        <f t="shared" si="128"/>
        <v>0</v>
      </c>
      <c r="AE313" s="101"/>
      <c r="AF313" s="101"/>
      <c r="AG313" s="101"/>
      <c r="AH313" s="101"/>
      <c r="AI313" s="101"/>
      <c r="AJ313" s="101"/>
      <c r="AK313" s="101"/>
      <c r="AL313" s="101"/>
      <c r="AM313" s="101"/>
      <c r="AN313" s="101"/>
      <c r="AO313" s="101"/>
    </row>
    <row r="314" spans="2:41" s="97" customFormat="1" ht="12.6" x14ac:dyDescent="0.25">
      <c r="D314" s="32"/>
      <c r="E314" s="32"/>
      <c r="F314" s="32"/>
      <c r="G314" s="32"/>
      <c r="H314" s="103"/>
      <c r="I314" s="32"/>
      <c r="J314" s="37"/>
      <c r="K314" s="32"/>
      <c r="L314" s="99"/>
      <c r="M314" s="103"/>
      <c r="N314" s="103"/>
      <c r="O314" s="103"/>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3"/>
      <c r="AK314" s="103"/>
      <c r="AL314" s="103"/>
      <c r="AM314" s="103"/>
      <c r="AN314" s="103"/>
      <c r="AO314" s="103"/>
    </row>
    <row r="315" spans="2:41" s="97" customFormat="1" x14ac:dyDescent="0.2">
      <c r="E315" s="97" t="s">
        <v>157</v>
      </c>
      <c r="H315" s="101"/>
      <c r="J315" s="98"/>
      <c r="L315" s="99" t="s">
        <v>190</v>
      </c>
      <c r="M315" s="101"/>
      <c r="N315" s="101"/>
      <c r="O315" s="101"/>
      <c r="P315" s="101"/>
      <c r="Q315" s="101"/>
      <c r="R315" s="101"/>
      <c r="S315" s="101"/>
      <c r="T315" s="101"/>
      <c r="U315" s="101"/>
      <c r="V315" s="101"/>
      <c r="W315" s="101"/>
      <c r="X315" s="101"/>
      <c r="Y315" s="101"/>
      <c r="Z315" s="101"/>
      <c r="AA315" s="101"/>
      <c r="AB315" s="101"/>
      <c r="AC315" s="101"/>
      <c r="AD315" s="101"/>
      <c r="AE315" s="101"/>
      <c r="AF315" s="101"/>
      <c r="AG315" s="101"/>
      <c r="AH315" s="101"/>
      <c r="AI315" s="101"/>
      <c r="AJ315" s="101"/>
      <c r="AK315" s="101"/>
      <c r="AL315" s="101"/>
      <c r="AM315" s="101"/>
      <c r="AN315" s="101"/>
      <c r="AO315" s="101"/>
    </row>
    <row r="316" spans="2:41" s="97" customFormat="1" ht="13.2" thickBot="1" x14ac:dyDescent="0.3">
      <c r="D316" s="36" t="s">
        <v>156</v>
      </c>
      <c r="E316" s="58"/>
      <c r="F316" s="58"/>
      <c r="G316" s="58"/>
      <c r="H316" s="105"/>
      <c r="I316" s="58"/>
      <c r="J316" s="59" t="s">
        <v>1205</v>
      </c>
      <c r="K316" s="58"/>
      <c r="L316" s="60" t="s">
        <v>189</v>
      </c>
      <c r="M316" s="105"/>
      <c r="N316" s="105"/>
      <c r="O316" s="182"/>
      <c r="P316" s="182"/>
      <c r="Q316" s="200"/>
      <c r="R316" s="105">
        <f>Act_BS_Debt_LT4</f>
        <v>5390</v>
      </c>
      <c r="S316" s="105">
        <f t="shared" ref="S316:AD316" si="129">S313-S315</f>
        <v>4312</v>
      </c>
      <c r="T316" s="105">
        <f t="shared" si="129"/>
        <v>3234</v>
      </c>
      <c r="U316" s="105">
        <f t="shared" si="129"/>
        <v>2156</v>
      </c>
      <c r="V316" s="105">
        <f t="shared" si="129"/>
        <v>1078</v>
      </c>
      <c r="W316" s="105">
        <f t="shared" si="129"/>
        <v>0</v>
      </c>
      <c r="X316" s="105">
        <f t="shared" si="129"/>
        <v>0</v>
      </c>
      <c r="Y316" s="105">
        <f t="shared" si="129"/>
        <v>0</v>
      </c>
      <c r="Z316" s="105">
        <f t="shared" si="129"/>
        <v>0</v>
      </c>
      <c r="AA316" s="105">
        <f t="shared" si="129"/>
        <v>0</v>
      </c>
      <c r="AB316" s="105">
        <f t="shared" si="129"/>
        <v>0</v>
      </c>
      <c r="AC316" s="105">
        <f t="shared" si="129"/>
        <v>0</v>
      </c>
      <c r="AD316" s="105">
        <f t="shared" si="129"/>
        <v>0</v>
      </c>
      <c r="AE316" s="34"/>
      <c r="AF316" s="34"/>
      <c r="AG316" s="34"/>
      <c r="AH316" s="34"/>
      <c r="AI316" s="34"/>
      <c r="AJ316" s="34"/>
      <c r="AK316" s="34"/>
      <c r="AL316" s="34"/>
      <c r="AM316" s="34"/>
      <c r="AN316" s="34"/>
      <c r="AO316" s="34"/>
    </row>
    <row r="317" spans="2:41" s="97" customFormat="1" x14ac:dyDescent="0.2">
      <c r="H317" s="101"/>
      <c r="J317" s="98"/>
      <c r="L317" s="99"/>
      <c r="M317" s="101"/>
      <c r="N317" s="101"/>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row>
    <row r="318" spans="2:41" s="97" customFormat="1" ht="12.6" x14ac:dyDescent="0.25">
      <c r="D318" s="32" t="s">
        <v>155</v>
      </c>
      <c r="H318" s="101"/>
      <c r="J318" s="98"/>
      <c r="L318" s="99"/>
      <c r="M318" s="101"/>
      <c r="N318" s="101"/>
      <c r="O318" s="101"/>
      <c r="P318" s="101"/>
      <c r="Q318" s="101"/>
      <c r="R318" s="101"/>
      <c r="S318" s="101"/>
      <c r="T318" s="101"/>
      <c r="U318" s="101"/>
      <c r="V318" s="101"/>
      <c r="W318" s="101"/>
      <c r="X318" s="101"/>
      <c r="Y318" s="101"/>
      <c r="Z318" s="101"/>
      <c r="AA318" s="101"/>
      <c r="AB318" s="101"/>
      <c r="AC318" s="101"/>
      <c r="AD318" s="101"/>
      <c r="AE318" s="101"/>
      <c r="AF318" s="101"/>
      <c r="AG318" s="101"/>
      <c r="AH318" s="101"/>
      <c r="AI318" s="101"/>
      <c r="AJ318" s="101"/>
      <c r="AK318" s="101"/>
      <c r="AL318" s="101"/>
      <c r="AM318" s="101"/>
      <c r="AN318" s="101"/>
      <c r="AO318" s="101"/>
    </row>
    <row r="319" spans="2:41" s="97" customFormat="1" x14ac:dyDescent="0.2">
      <c r="B319" s="20"/>
      <c r="C319" s="20"/>
      <c r="D319" s="20"/>
      <c r="E319" s="97" t="s">
        <v>154</v>
      </c>
      <c r="J319" s="98" t="s">
        <v>1205</v>
      </c>
      <c r="L319" s="99" t="s">
        <v>188</v>
      </c>
      <c r="N319" s="21"/>
      <c r="O319" s="21"/>
      <c r="P319" s="21"/>
      <c r="Q319" s="101">
        <f t="shared" ref="Q319:AD319" si="130">IF(Q316&gt;0,IF(((R311)*-1)&gt;Q306,Q306,0-(R311)),0)</f>
        <v>0</v>
      </c>
      <c r="R319" s="101">
        <f>IF(R316&gt;0,IF(((S311)*-1)&gt;R306,R306,0-(S311)),0)</f>
        <v>1078</v>
      </c>
      <c r="S319" s="101">
        <f t="shared" si="130"/>
        <v>1078</v>
      </c>
      <c r="T319" s="101">
        <f t="shared" si="130"/>
        <v>1078</v>
      </c>
      <c r="U319" s="101">
        <f t="shared" si="130"/>
        <v>1078</v>
      </c>
      <c r="V319" s="101">
        <f t="shared" si="130"/>
        <v>1078</v>
      </c>
      <c r="W319" s="101">
        <f t="shared" si="130"/>
        <v>0</v>
      </c>
      <c r="X319" s="101">
        <f t="shared" si="130"/>
        <v>0</v>
      </c>
      <c r="Y319" s="101">
        <f t="shared" si="130"/>
        <v>0</v>
      </c>
      <c r="Z319" s="101">
        <f t="shared" si="130"/>
        <v>0</v>
      </c>
      <c r="AA319" s="101">
        <f t="shared" si="130"/>
        <v>0</v>
      </c>
      <c r="AB319" s="101">
        <f t="shared" si="130"/>
        <v>0</v>
      </c>
      <c r="AC319" s="101">
        <f t="shared" si="130"/>
        <v>0</v>
      </c>
      <c r="AD319" s="21">
        <f t="shared" si="130"/>
        <v>0</v>
      </c>
      <c r="AE319" s="21"/>
      <c r="AF319" s="21"/>
      <c r="AG319" s="21"/>
      <c r="AH319" s="21"/>
      <c r="AI319" s="21"/>
      <c r="AJ319" s="21"/>
      <c r="AK319" s="21"/>
      <c r="AL319" s="21"/>
      <c r="AM319" s="21"/>
      <c r="AN319" s="21"/>
      <c r="AO319" s="21"/>
    </row>
    <row r="320" spans="2:41" s="97" customFormat="1" x14ac:dyDescent="0.2">
      <c r="E320" s="97" t="s">
        <v>153</v>
      </c>
      <c r="H320" s="101"/>
      <c r="J320" s="98" t="s">
        <v>1205</v>
      </c>
      <c r="L320" s="99" t="s">
        <v>187</v>
      </c>
      <c r="M320" s="101"/>
      <c r="N320" s="101"/>
      <c r="O320" s="101"/>
      <c r="P320" s="101"/>
      <c r="Q320" s="101">
        <f t="shared" ref="Q320:AD320" si="131">Q316-Q319</f>
        <v>0</v>
      </c>
      <c r="R320" s="101">
        <f t="shared" si="131"/>
        <v>4312</v>
      </c>
      <c r="S320" s="101">
        <f t="shared" si="131"/>
        <v>3234</v>
      </c>
      <c r="T320" s="101">
        <f t="shared" si="131"/>
        <v>2156</v>
      </c>
      <c r="U320" s="101">
        <f t="shared" si="131"/>
        <v>1078</v>
      </c>
      <c r="V320" s="101">
        <f t="shared" si="131"/>
        <v>0</v>
      </c>
      <c r="W320" s="101">
        <f t="shared" si="131"/>
        <v>0</v>
      </c>
      <c r="X320" s="101">
        <f t="shared" si="131"/>
        <v>0</v>
      </c>
      <c r="Y320" s="101">
        <f t="shared" si="131"/>
        <v>0</v>
      </c>
      <c r="Z320" s="101">
        <f t="shared" si="131"/>
        <v>0</v>
      </c>
      <c r="AA320" s="101">
        <f t="shared" si="131"/>
        <v>0</v>
      </c>
      <c r="AB320" s="101">
        <f t="shared" si="131"/>
        <v>0</v>
      </c>
      <c r="AC320" s="101">
        <f t="shared" si="131"/>
        <v>0</v>
      </c>
      <c r="AD320" s="101">
        <f t="shared" si="131"/>
        <v>0</v>
      </c>
      <c r="AE320" s="101"/>
      <c r="AF320" s="101"/>
      <c r="AG320" s="101"/>
      <c r="AH320" s="101"/>
      <c r="AI320" s="101"/>
      <c r="AJ320" s="101"/>
      <c r="AK320" s="101"/>
      <c r="AL320" s="101"/>
      <c r="AM320" s="101"/>
      <c r="AN320" s="101"/>
      <c r="AO320" s="101"/>
    </row>
    <row r="321" spans="1:41" s="97" customFormat="1" x14ac:dyDescent="0.2">
      <c r="H321" s="101"/>
      <c r="J321" s="98"/>
      <c r="L321" s="99"/>
      <c r="M321" s="101"/>
      <c r="N321" s="101"/>
      <c r="O321" s="101"/>
      <c r="P321" s="101"/>
      <c r="Q321" s="101"/>
      <c r="R321" s="101"/>
      <c r="S321" s="101"/>
      <c r="T321" s="101"/>
      <c r="U321" s="101"/>
      <c r="V321" s="101"/>
      <c r="W321" s="101"/>
      <c r="X321" s="101"/>
      <c r="Y321" s="101"/>
      <c r="Z321" s="101"/>
      <c r="AA321" s="101"/>
      <c r="AB321" s="101"/>
      <c r="AC321" s="101"/>
      <c r="AD321" s="101"/>
      <c r="AE321" s="101"/>
      <c r="AF321" s="101"/>
      <c r="AG321" s="101"/>
      <c r="AH321" s="101"/>
      <c r="AI321" s="101"/>
      <c r="AJ321" s="101"/>
      <c r="AK321" s="101"/>
      <c r="AL321" s="101"/>
      <c r="AM321" s="101"/>
      <c r="AN321" s="101"/>
      <c r="AO321" s="101"/>
    </row>
    <row r="322" spans="1:41" s="97" customFormat="1" ht="12.6" x14ac:dyDescent="0.25">
      <c r="D322" s="32" t="s">
        <v>152</v>
      </c>
      <c r="H322" s="101"/>
      <c r="J322" s="98" t="s">
        <v>20</v>
      </c>
      <c r="L322" s="99"/>
      <c r="M322" s="101"/>
      <c r="N322" s="101"/>
      <c r="O322" s="101"/>
      <c r="P322" s="101"/>
      <c r="Q322" s="101"/>
      <c r="R322" s="101">
        <f t="shared" ref="R322:AD322" si="132">Inputs_Basecase_TL4_Months_Oustanding</f>
        <v>0</v>
      </c>
      <c r="S322" s="101">
        <f t="shared" si="132"/>
        <v>12</v>
      </c>
      <c r="T322" s="101">
        <f t="shared" si="132"/>
        <v>12</v>
      </c>
      <c r="U322" s="101">
        <f t="shared" si="132"/>
        <v>12</v>
      </c>
      <c r="V322" s="101">
        <f t="shared" si="132"/>
        <v>12</v>
      </c>
      <c r="W322" s="101">
        <f t="shared" si="132"/>
        <v>12</v>
      </c>
      <c r="X322" s="101">
        <f t="shared" si="132"/>
        <v>12</v>
      </c>
      <c r="Y322" s="101">
        <f t="shared" si="132"/>
        <v>12</v>
      </c>
      <c r="Z322" s="101">
        <f t="shared" si="132"/>
        <v>12</v>
      </c>
      <c r="AA322" s="101">
        <f t="shared" si="132"/>
        <v>12</v>
      </c>
      <c r="AB322" s="101">
        <f t="shared" si="132"/>
        <v>12</v>
      </c>
      <c r="AC322" s="101">
        <f t="shared" si="132"/>
        <v>12</v>
      </c>
      <c r="AD322" s="101">
        <f t="shared" si="132"/>
        <v>12</v>
      </c>
      <c r="AE322" s="108"/>
      <c r="AF322" s="108"/>
      <c r="AG322" s="108"/>
      <c r="AH322" s="108"/>
      <c r="AI322" s="108"/>
      <c r="AJ322" s="108"/>
      <c r="AK322" s="108"/>
      <c r="AL322" s="108"/>
      <c r="AM322" s="108"/>
      <c r="AN322" s="108"/>
      <c r="AO322" s="108"/>
    </row>
    <row r="323" spans="1:41" s="97" customFormat="1" x14ac:dyDescent="0.2">
      <c r="H323" s="101"/>
      <c r="J323" s="98"/>
      <c r="L323" s="99"/>
      <c r="M323" s="101"/>
      <c r="N323" s="101"/>
      <c r="O323" s="101"/>
      <c r="P323" s="101"/>
      <c r="Q323" s="101"/>
      <c r="R323" s="101"/>
      <c r="S323" s="101"/>
      <c r="T323" s="101"/>
      <c r="U323" s="101"/>
      <c r="V323" s="101"/>
      <c r="W323" s="101"/>
      <c r="X323" s="101"/>
      <c r="Y323" s="101"/>
      <c r="Z323" s="101"/>
      <c r="AA323" s="101"/>
      <c r="AB323" s="101"/>
      <c r="AC323" s="101"/>
      <c r="AD323" s="101"/>
      <c r="AE323" s="101"/>
      <c r="AF323" s="101"/>
      <c r="AG323" s="101"/>
      <c r="AH323" s="101"/>
      <c r="AI323" s="101"/>
      <c r="AJ323" s="101"/>
      <c r="AK323" s="101"/>
      <c r="AL323" s="101"/>
      <c r="AM323" s="101"/>
      <c r="AN323" s="101"/>
      <c r="AO323" s="101"/>
    </row>
    <row r="324" spans="1:41" s="97" customFormat="1" ht="12.6" x14ac:dyDescent="0.25">
      <c r="D324" s="32" t="s">
        <v>151</v>
      </c>
      <c r="H324" s="101"/>
      <c r="J324" s="98"/>
      <c r="L324" s="99"/>
      <c r="M324" s="101"/>
      <c r="N324" s="101"/>
      <c r="O324" s="101"/>
      <c r="P324" s="101"/>
      <c r="Q324" s="101"/>
      <c r="R324" s="101"/>
      <c r="S324" s="101"/>
      <c r="T324" s="101"/>
      <c r="U324" s="101"/>
      <c r="V324" s="101"/>
      <c r="W324" s="101"/>
      <c r="X324" s="101"/>
      <c r="Y324" s="101"/>
      <c r="Z324" s="101"/>
      <c r="AA324" s="101"/>
      <c r="AB324" s="101"/>
      <c r="AC324" s="101"/>
      <c r="AD324" s="101"/>
      <c r="AE324" s="101"/>
      <c r="AF324" s="101"/>
      <c r="AG324" s="101"/>
      <c r="AH324" s="101"/>
      <c r="AI324" s="101"/>
      <c r="AJ324" s="101"/>
      <c r="AK324" s="101"/>
      <c r="AL324" s="101"/>
      <c r="AM324" s="101"/>
      <c r="AN324" s="101"/>
      <c r="AO324" s="101"/>
    </row>
    <row r="325" spans="1:41" s="97" customFormat="1" x14ac:dyDescent="0.2">
      <c r="E325" s="97" t="s">
        <v>150</v>
      </c>
      <c r="H325" s="101"/>
      <c r="J325" s="98" t="s">
        <v>1205</v>
      </c>
      <c r="L325" s="99" t="s">
        <v>186</v>
      </c>
      <c r="M325" s="101"/>
      <c r="N325" s="101"/>
      <c r="O325" s="101"/>
      <c r="P325" s="101"/>
      <c r="Q325" s="181"/>
      <c r="R325" s="21">
        <f t="shared" ref="R325:AD325" si="133">IF(AND(Inputs_Basecase_TL4_Availability_Start_Date&gt;Q$5,Inputs_Basecase_TL4_Availability_Start_Date&lt;R$5),-Inputs_Basecase_TL4_Arrangement_Fee*Inputs_Basecase_TL4_Maximum_Facility,0)</f>
        <v>0</v>
      </c>
      <c r="S325" s="21">
        <f t="shared" si="133"/>
        <v>0</v>
      </c>
      <c r="T325" s="21">
        <f t="shared" si="133"/>
        <v>0</v>
      </c>
      <c r="U325" s="21">
        <f t="shared" si="133"/>
        <v>0</v>
      </c>
      <c r="V325" s="21">
        <f t="shared" si="133"/>
        <v>0</v>
      </c>
      <c r="W325" s="21">
        <f t="shared" si="133"/>
        <v>0</v>
      </c>
      <c r="X325" s="21">
        <f t="shared" si="133"/>
        <v>0</v>
      </c>
      <c r="Y325" s="21">
        <f t="shared" si="133"/>
        <v>0</v>
      </c>
      <c r="Z325" s="21">
        <f t="shared" si="133"/>
        <v>0</v>
      </c>
      <c r="AA325" s="21">
        <f t="shared" si="133"/>
        <v>0</v>
      </c>
      <c r="AB325" s="21">
        <f t="shared" si="133"/>
        <v>0</v>
      </c>
      <c r="AC325" s="21">
        <f t="shared" si="133"/>
        <v>0</v>
      </c>
      <c r="AD325" s="21">
        <f t="shared" si="133"/>
        <v>0</v>
      </c>
      <c r="AE325" s="181"/>
      <c r="AF325" s="181"/>
      <c r="AG325" s="181"/>
      <c r="AH325" s="181"/>
      <c r="AI325" s="181"/>
      <c r="AJ325" s="181"/>
      <c r="AK325" s="181"/>
      <c r="AL325" s="181"/>
      <c r="AM325" s="181"/>
      <c r="AN325" s="181"/>
      <c r="AO325" s="181"/>
    </row>
    <row r="326" spans="1:41" s="97" customFormat="1" x14ac:dyDescent="0.2">
      <c r="E326" s="97" t="s">
        <v>149</v>
      </c>
      <c r="H326" s="101"/>
      <c r="J326" s="98" t="s">
        <v>1205</v>
      </c>
      <c r="L326" s="99" t="s">
        <v>185</v>
      </c>
      <c r="M326" s="101"/>
      <c r="N326" s="101"/>
      <c r="O326" s="101"/>
      <c r="P326" s="101"/>
      <c r="Q326" s="101"/>
      <c r="R326" s="101">
        <f>-((Q301+R301)/2)*(R296*R322)</f>
        <v>0</v>
      </c>
      <c r="S326" s="101">
        <f t="shared" ref="S326:AD326" si="134">-((R301+S301)/2)*(S296*S322)</f>
        <v>0</v>
      </c>
      <c r="T326" s="101">
        <f t="shared" si="134"/>
        <v>0</v>
      </c>
      <c r="U326" s="101">
        <f t="shared" si="134"/>
        <v>0</v>
      </c>
      <c r="V326" s="101">
        <f t="shared" si="134"/>
        <v>0</v>
      </c>
      <c r="W326" s="101">
        <f t="shared" si="134"/>
        <v>0</v>
      </c>
      <c r="X326" s="101">
        <f t="shared" si="134"/>
        <v>0</v>
      </c>
      <c r="Y326" s="101">
        <f t="shared" si="134"/>
        <v>0</v>
      </c>
      <c r="Z326" s="101">
        <f t="shared" si="134"/>
        <v>0</v>
      </c>
      <c r="AA326" s="101">
        <f t="shared" si="134"/>
        <v>0</v>
      </c>
      <c r="AB326" s="101">
        <f t="shared" si="134"/>
        <v>0</v>
      </c>
      <c r="AC326" s="101">
        <f t="shared" si="134"/>
        <v>0</v>
      </c>
      <c r="AD326" s="101">
        <f t="shared" si="134"/>
        <v>0</v>
      </c>
      <c r="AE326" s="101"/>
      <c r="AF326" s="101"/>
      <c r="AG326" s="101"/>
      <c r="AH326" s="101"/>
      <c r="AI326" s="101"/>
      <c r="AJ326" s="101"/>
      <c r="AK326" s="101"/>
      <c r="AL326" s="101"/>
      <c r="AM326" s="101"/>
      <c r="AN326" s="101"/>
      <c r="AO326" s="101"/>
    </row>
    <row r="327" spans="1:41" s="97" customFormat="1" x14ac:dyDescent="0.2">
      <c r="E327" s="28" t="s">
        <v>148</v>
      </c>
      <c r="F327" s="28"/>
      <c r="G327" s="28"/>
      <c r="H327" s="100"/>
      <c r="I327" s="28"/>
      <c r="J327" s="29" t="s">
        <v>1205</v>
      </c>
      <c r="K327" s="28"/>
      <c r="L327" s="30"/>
      <c r="M327" s="100"/>
      <c r="N327" s="100"/>
      <c r="O327" s="100"/>
      <c r="P327" s="100"/>
      <c r="Q327" s="100"/>
      <c r="R327" s="100">
        <f t="shared" ref="R327:AD327" si="135">R325+R326</f>
        <v>0</v>
      </c>
      <c r="S327" s="100">
        <f t="shared" si="135"/>
        <v>0</v>
      </c>
      <c r="T327" s="100">
        <f t="shared" si="135"/>
        <v>0</v>
      </c>
      <c r="U327" s="100">
        <f t="shared" si="135"/>
        <v>0</v>
      </c>
      <c r="V327" s="100">
        <f t="shared" si="135"/>
        <v>0</v>
      </c>
      <c r="W327" s="100">
        <f t="shared" si="135"/>
        <v>0</v>
      </c>
      <c r="X327" s="100">
        <f t="shared" si="135"/>
        <v>0</v>
      </c>
      <c r="Y327" s="100">
        <f t="shared" si="135"/>
        <v>0</v>
      </c>
      <c r="Z327" s="100">
        <f t="shared" si="135"/>
        <v>0</v>
      </c>
      <c r="AA327" s="100">
        <f t="shared" si="135"/>
        <v>0</v>
      </c>
      <c r="AB327" s="100">
        <f t="shared" si="135"/>
        <v>0</v>
      </c>
      <c r="AC327" s="100">
        <f t="shared" si="135"/>
        <v>0</v>
      </c>
      <c r="AD327" s="100">
        <f t="shared" si="135"/>
        <v>0</v>
      </c>
      <c r="AE327" s="101"/>
      <c r="AF327" s="101"/>
      <c r="AG327" s="101"/>
      <c r="AH327" s="101"/>
      <c r="AI327" s="101"/>
      <c r="AJ327" s="101"/>
      <c r="AK327" s="101"/>
      <c r="AL327" s="101"/>
      <c r="AM327" s="101"/>
      <c r="AN327" s="101"/>
      <c r="AO327" s="101"/>
    </row>
    <row r="328" spans="1:41" s="97" customFormat="1" x14ac:dyDescent="0.2">
      <c r="E328" s="20"/>
      <c r="H328" s="101"/>
      <c r="J328" s="98"/>
      <c r="L328" s="99"/>
      <c r="M328" s="101"/>
      <c r="N328" s="101"/>
      <c r="O328" s="101"/>
      <c r="P328" s="101"/>
      <c r="Q328" s="113"/>
      <c r="R328" s="113"/>
      <c r="S328" s="113"/>
      <c r="T328" s="113"/>
      <c r="U328" s="113"/>
      <c r="V328" s="113"/>
      <c r="W328" s="113"/>
      <c r="X328" s="113"/>
      <c r="Y328" s="113"/>
      <c r="Z328" s="113"/>
      <c r="AA328" s="113"/>
      <c r="AB328" s="113"/>
      <c r="AC328" s="113"/>
      <c r="AD328" s="113"/>
      <c r="AE328" s="113"/>
      <c r="AF328" s="113"/>
      <c r="AG328" s="113"/>
      <c r="AH328" s="113"/>
      <c r="AI328" s="113"/>
      <c r="AJ328" s="113"/>
      <c r="AK328" s="113"/>
      <c r="AL328" s="113"/>
      <c r="AM328" s="113"/>
      <c r="AN328" s="113"/>
      <c r="AO328" s="113"/>
    </row>
    <row r="329" spans="1:41" s="97" customFormat="1" ht="12.6" x14ac:dyDescent="0.25">
      <c r="D329" s="27" t="s">
        <v>147</v>
      </c>
      <c r="E329" s="28"/>
      <c r="F329" s="28"/>
      <c r="G329" s="28"/>
      <c r="H329" s="100"/>
      <c r="I329" s="28"/>
      <c r="J329" s="29" t="s">
        <v>1205</v>
      </c>
      <c r="K329" s="28"/>
      <c r="L329" s="30" t="s">
        <v>184</v>
      </c>
      <c r="M329" s="100"/>
      <c r="N329" s="100"/>
      <c r="O329" s="100"/>
      <c r="P329" s="100"/>
      <c r="Q329" s="100"/>
      <c r="R329" s="100">
        <f>-((R304+R306)/2)*(R294*R322)</f>
        <v>0</v>
      </c>
      <c r="S329" s="100" t="e">
        <f t="shared" ref="S329:AD329" si="136">-((S304+S306)/2)*(S294*S322)</f>
        <v>#NAME?</v>
      </c>
      <c r="T329" s="100" t="e">
        <f t="shared" si="136"/>
        <v>#NAME?</v>
      </c>
      <c r="U329" s="100" t="e">
        <f t="shared" si="136"/>
        <v>#NAME?</v>
      </c>
      <c r="V329" s="100" t="e">
        <f t="shared" si="136"/>
        <v>#NAME?</v>
      </c>
      <c r="W329" s="100" t="e">
        <f t="shared" si="136"/>
        <v>#NAME?</v>
      </c>
      <c r="X329" s="100" t="e">
        <f t="shared" si="136"/>
        <v>#NAME?</v>
      </c>
      <c r="Y329" s="100" t="e">
        <f t="shared" si="136"/>
        <v>#NAME?</v>
      </c>
      <c r="Z329" s="100" t="e">
        <f t="shared" si="136"/>
        <v>#NAME?</v>
      </c>
      <c r="AA329" s="100" t="e">
        <f t="shared" si="136"/>
        <v>#NAME?</v>
      </c>
      <c r="AB329" s="100" t="e">
        <f t="shared" si="136"/>
        <v>#NAME?</v>
      </c>
      <c r="AC329" s="100" t="e">
        <f t="shared" si="136"/>
        <v>#NAME?</v>
      </c>
      <c r="AD329" s="100" t="e">
        <f t="shared" si="136"/>
        <v>#NAME?</v>
      </c>
      <c r="AE329" s="101"/>
      <c r="AF329" s="101"/>
      <c r="AG329" s="101"/>
      <c r="AH329" s="101"/>
      <c r="AI329" s="101"/>
      <c r="AJ329" s="101"/>
      <c r="AK329" s="101"/>
      <c r="AL329" s="101"/>
      <c r="AM329" s="101"/>
      <c r="AN329" s="101"/>
      <c r="AO329" s="101"/>
    </row>
    <row r="330" spans="1:41" s="97" customFormat="1" ht="12.6" x14ac:dyDescent="0.25">
      <c r="D330" s="32"/>
      <c r="H330" s="101"/>
      <c r="J330" s="98"/>
      <c r="L330" s="99"/>
      <c r="M330" s="101"/>
      <c r="N330" s="101"/>
      <c r="O330" s="101"/>
      <c r="P330" s="101"/>
      <c r="Q330" s="101"/>
      <c r="R330" s="101"/>
      <c r="S330" s="101"/>
      <c r="T330" s="101"/>
      <c r="U330" s="101"/>
      <c r="V330" s="101"/>
      <c r="W330" s="101"/>
      <c r="X330" s="101"/>
      <c r="Y330" s="101"/>
      <c r="Z330" s="101"/>
      <c r="AA330" s="101"/>
      <c r="AB330" s="101"/>
      <c r="AC330" s="101"/>
      <c r="AD330" s="101"/>
      <c r="AE330" s="101"/>
      <c r="AF330" s="101"/>
      <c r="AG330" s="101"/>
      <c r="AH330" s="101"/>
      <c r="AI330" s="101"/>
      <c r="AJ330" s="101"/>
      <c r="AK330" s="101"/>
      <c r="AL330" s="101"/>
      <c r="AM330" s="101"/>
      <c r="AN330" s="101"/>
      <c r="AO330" s="101"/>
    </row>
    <row r="331" spans="1:41" s="97" customFormat="1" ht="13.2" thickBot="1" x14ac:dyDescent="0.3">
      <c r="D331" s="32"/>
      <c r="H331" s="101"/>
      <c r="J331" s="98"/>
      <c r="L331" s="99"/>
      <c r="M331" s="101"/>
      <c r="N331" s="101"/>
      <c r="O331" s="101"/>
      <c r="P331" s="101"/>
      <c r="Q331" s="101"/>
      <c r="R331" s="101"/>
      <c r="S331" s="101"/>
      <c r="T331" s="101"/>
      <c r="U331" s="101"/>
      <c r="V331" s="101"/>
      <c r="W331" s="101"/>
      <c r="X331" s="101"/>
      <c r="Y331" s="101"/>
      <c r="Z331" s="101"/>
      <c r="AA331" s="101"/>
      <c r="AB331" s="101"/>
      <c r="AC331" s="101"/>
      <c r="AD331" s="101"/>
      <c r="AE331" s="101"/>
      <c r="AF331" s="101"/>
      <c r="AG331" s="101"/>
      <c r="AH331" s="101"/>
      <c r="AI331" s="101"/>
      <c r="AJ331" s="101"/>
      <c r="AK331" s="101"/>
      <c r="AL331" s="101"/>
      <c r="AM331" s="101"/>
      <c r="AN331" s="101"/>
      <c r="AO331" s="101"/>
    </row>
    <row r="332" spans="1:41" s="97" customFormat="1" ht="12.6" thickTop="1" x14ac:dyDescent="0.2">
      <c r="A332" s="1"/>
      <c r="B332" s="20"/>
      <c r="C332" s="337" t="s">
        <v>1049</v>
      </c>
      <c r="D332" s="337"/>
      <c r="E332" s="338"/>
      <c r="F332" s="338"/>
      <c r="G332" s="338"/>
      <c r="H332" s="338"/>
      <c r="I332" s="338"/>
      <c r="J332" s="340"/>
      <c r="K332" s="338"/>
      <c r="L332" s="342"/>
      <c r="M332" s="338"/>
      <c r="N332" s="343"/>
      <c r="O332" s="343"/>
      <c r="P332" s="343"/>
      <c r="Q332" s="343"/>
      <c r="R332" s="343"/>
      <c r="S332" s="343"/>
      <c r="T332" s="343"/>
      <c r="U332" s="343"/>
      <c r="V332" s="343"/>
      <c r="W332" s="343"/>
      <c r="X332" s="343"/>
      <c r="Y332" s="343"/>
      <c r="Z332" s="343"/>
      <c r="AA332" s="343"/>
      <c r="AB332" s="343"/>
      <c r="AC332" s="343"/>
      <c r="AD332" s="343"/>
      <c r="AE332" s="101"/>
      <c r="AF332" s="101"/>
      <c r="AG332" s="101"/>
      <c r="AH332" s="101"/>
      <c r="AI332" s="101"/>
      <c r="AJ332" s="101"/>
      <c r="AK332" s="101"/>
      <c r="AL332" s="101"/>
      <c r="AM332" s="101"/>
      <c r="AN332" s="101"/>
      <c r="AO332" s="101"/>
    </row>
    <row r="333" spans="1:41" s="97" customFormat="1" ht="12.6" x14ac:dyDescent="0.25">
      <c r="C333" s="20"/>
      <c r="D333" s="32"/>
      <c r="H333" s="101"/>
      <c r="J333" s="98"/>
      <c r="L333" s="99"/>
      <c r="M333" s="101"/>
      <c r="N333" s="101"/>
      <c r="O333" s="101"/>
      <c r="P333" s="84"/>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01"/>
      <c r="AO333" s="101"/>
    </row>
    <row r="334" spans="1:41" s="97" customFormat="1" ht="12.6" x14ac:dyDescent="0.25">
      <c r="C334" s="20"/>
      <c r="D334" s="32" t="s">
        <v>173</v>
      </c>
      <c r="E334" s="32"/>
      <c r="G334" s="184"/>
      <c r="H334" s="101"/>
      <c r="J334" s="98" t="s">
        <v>1205</v>
      </c>
      <c r="L334" s="99"/>
      <c r="M334" s="101"/>
      <c r="N334" s="101"/>
      <c r="O334" s="101"/>
      <c r="P334" s="84"/>
      <c r="Q334" s="101"/>
      <c r="R334" s="101">
        <f t="shared" ref="R334:AD334" si="137">Inputs_Basecase_TL5_Maximum_Facility</f>
        <v>0</v>
      </c>
      <c r="S334" s="101">
        <f t="shared" si="137"/>
        <v>0</v>
      </c>
      <c r="T334" s="101">
        <f t="shared" si="137"/>
        <v>0</v>
      </c>
      <c r="U334" s="101">
        <f t="shared" si="137"/>
        <v>0</v>
      </c>
      <c r="V334" s="101">
        <f t="shared" si="137"/>
        <v>0</v>
      </c>
      <c r="W334" s="101">
        <f t="shared" si="137"/>
        <v>0</v>
      </c>
      <c r="X334" s="101">
        <f t="shared" si="137"/>
        <v>0</v>
      </c>
      <c r="Y334" s="101">
        <f t="shared" si="137"/>
        <v>0</v>
      </c>
      <c r="Z334" s="101">
        <f t="shared" si="137"/>
        <v>0</v>
      </c>
      <c r="AA334" s="101">
        <f t="shared" si="137"/>
        <v>0</v>
      </c>
      <c r="AB334" s="101">
        <f t="shared" si="137"/>
        <v>0</v>
      </c>
      <c r="AC334" s="101">
        <f t="shared" si="137"/>
        <v>0</v>
      </c>
      <c r="AD334" s="101">
        <f t="shared" si="137"/>
        <v>0</v>
      </c>
      <c r="AE334" s="101"/>
      <c r="AF334" s="101"/>
      <c r="AG334" s="101"/>
      <c r="AH334" s="101"/>
      <c r="AI334" s="101"/>
      <c r="AJ334" s="101"/>
      <c r="AK334" s="101"/>
      <c r="AL334" s="101"/>
      <c r="AM334" s="101"/>
      <c r="AN334" s="101"/>
      <c r="AO334" s="101"/>
    </row>
    <row r="335" spans="1:41" s="97" customFormat="1" ht="12.6" x14ac:dyDescent="0.25">
      <c r="C335" s="20"/>
      <c r="D335" s="32"/>
      <c r="H335" s="101"/>
      <c r="J335" s="98"/>
      <c r="L335" s="99"/>
      <c r="M335" s="101"/>
      <c r="N335" s="101"/>
      <c r="O335" s="101"/>
      <c r="P335" s="84"/>
      <c r="Q335" s="101"/>
      <c r="AE335" s="101"/>
      <c r="AF335" s="101"/>
      <c r="AG335" s="101"/>
      <c r="AH335" s="101"/>
      <c r="AI335" s="101"/>
      <c r="AJ335" s="101"/>
      <c r="AK335" s="101"/>
      <c r="AL335" s="101"/>
      <c r="AM335" s="101"/>
      <c r="AN335" s="101"/>
      <c r="AO335" s="101"/>
    </row>
    <row r="336" spans="1:41" s="97" customFormat="1" ht="12.6" x14ac:dyDescent="0.25">
      <c r="D336" s="32" t="s">
        <v>172</v>
      </c>
      <c r="H336" s="101"/>
      <c r="J336" s="98"/>
      <c r="L336" s="99"/>
      <c r="M336" s="101"/>
      <c r="N336" s="101"/>
      <c r="O336" s="101"/>
      <c r="P336" s="101"/>
      <c r="Q336" s="101"/>
      <c r="R336" s="101"/>
      <c r="S336" s="101"/>
      <c r="T336" s="101"/>
      <c r="U336" s="101"/>
      <c r="V336" s="101"/>
      <c r="W336" s="101"/>
      <c r="X336" s="101"/>
      <c r="Y336" s="101"/>
      <c r="Z336" s="101"/>
      <c r="AA336" s="101"/>
      <c r="AB336" s="101"/>
      <c r="AC336" s="101"/>
      <c r="AD336" s="101"/>
      <c r="AE336" s="101"/>
      <c r="AF336" s="101"/>
      <c r="AG336" s="101"/>
      <c r="AH336" s="101"/>
      <c r="AI336" s="101"/>
      <c r="AJ336" s="101"/>
      <c r="AK336" s="101"/>
      <c r="AL336" s="101"/>
      <c r="AM336" s="101"/>
      <c r="AN336" s="101"/>
      <c r="AO336" s="101"/>
    </row>
    <row r="337" spans="3:41" s="97" customFormat="1" x14ac:dyDescent="0.2">
      <c r="E337" s="97" t="s">
        <v>1207</v>
      </c>
      <c r="H337" s="101"/>
      <c r="J337" s="98" t="s">
        <v>49</v>
      </c>
      <c r="L337" s="99"/>
      <c r="N337" s="109"/>
      <c r="O337" s="109"/>
      <c r="P337" s="109"/>
      <c r="Q337" s="109"/>
      <c r="R337" s="24"/>
      <c r="S337" s="24" t="e">
        <f t="shared" ref="S337:AD337" si="138">Inputs_Basecase_SARobor</f>
        <v>#NAME?</v>
      </c>
      <c r="T337" s="24" t="e">
        <f t="shared" si="138"/>
        <v>#NAME?</v>
      </c>
      <c r="U337" s="24" t="e">
        <f t="shared" si="138"/>
        <v>#NAME?</v>
      </c>
      <c r="V337" s="24" t="e">
        <f t="shared" si="138"/>
        <v>#NAME?</v>
      </c>
      <c r="W337" s="24" t="e">
        <f t="shared" si="138"/>
        <v>#NAME?</v>
      </c>
      <c r="X337" s="24" t="e">
        <f t="shared" si="138"/>
        <v>#NAME?</v>
      </c>
      <c r="Y337" s="24" t="e">
        <f t="shared" si="138"/>
        <v>#NAME?</v>
      </c>
      <c r="Z337" s="24" t="e">
        <f t="shared" si="138"/>
        <v>#NAME?</v>
      </c>
      <c r="AA337" s="24" t="e">
        <f t="shared" si="138"/>
        <v>#NAME?</v>
      </c>
      <c r="AB337" s="24" t="e">
        <f t="shared" si="138"/>
        <v>#NAME?</v>
      </c>
      <c r="AC337" s="24" t="e">
        <f t="shared" si="138"/>
        <v>#NAME?</v>
      </c>
      <c r="AD337" s="24" t="e">
        <f t="shared" si="138"/>
        <v>#NAME?</v>
      </c>
      <c r="AE337" s="24"/>
      <c r="AF337" s="109"/>
      <c r="AG337" s="109"/>
      <c r="AH337" s="109"/>
      <c r="AI337" s="109"/>
      <c r="AJ337" s="109"/>
      <c r="AK337" s="109"/>
      <c r="AL337" s="109"/>
      <c r="AM337" s="109"/>
      <c r="AN337" s="109"/>
      <c r="AO337" s="109"/>
    </row>
    <row r="338" spans="3:41" s="97" customFormat="1" x14ac:dyDescent="0.2">
      <c r="E338" s="97" t="s">
        <v>171</v>
      </c>
      <c r="H338" s="101"/>
      <c r="J338" s="98" t="s">
        <v>49</v>
      </c>
      <c r="L338" s="99"/>
      <c r="M338" s="101"/>
      <c r="N338" s="101"/>
      <c r="O338" s="101"/>
      <c r="P338" s="101"/>
      <c r="Q338" s="101"/>
      <c r="R338" s="96"/>
      <c r="S338" s="96">
        <f t="shared" ref="S338:AD338" si="139">Inputs_Basecase_TL5_Margin</f>
        <v>1.4999999999999999E-2</v>
      </c>
      <c r="T338" s="96">
        <f t="shared" si="139"/>
        <v>1.4999999999999999E-2</v>
      </c>
      <c r="U338" s="96">
        <f t="shared" si="139"/>
        <v>1.4999999999999999E-2</v>
      </c>
      <c r="V338" s="96">
        <f t="shared" si="139"/>
        <v>1.4999999999999999E-2</v>
      </c>
      <c r="W338" s="96">
        <f t="shared" si="139"/>
        <v>1.4999999999999999E-2</v>
      </c>
      <c r="X338" s="96">
        <f t="shared" si="139"/>
        <v>1.4999999999999999E-2</v>
      </c>
      <c r="Y338" s="96">
        <f t="shared" si="139"/>
        <v>1.4999999999999999E-2</v>
      </c>
      <c r="Z338" s="96">
        <f t="shared" si="139"/>
        <v>1.4999999999999999E-2</v>
      </c>
      <c r="AA338" s="96">
        <f t="shared" si="139"/>
        <v>1.4999999999999999E-2</v>
      </c>
      <c r="AB338" s="96">
        <f t="shared" si="139"/>
        <v>1.4999999999999999E-2</v>
      </c>
      <c r="AC338" s="96">
        <f t="shared" si="139"/>
        <v>1.4999999999999999E-2</v>
      </c>
      <c r="AD338" s="96">
        <f t="shared" si="139"/>
        <v>1.4999999999999999E-2</v>
      </c>
      <c r="AE338" s="96"/>
      <c r="AF338" s="101"/>
      <c r="AG338" s="101"/>
      <c r="AH338" s="101"/>
      <c r="AI338" s="101"/>
      <c r="AJ338" s="101"/>
      <c r="AK338" s="101"/>
      <c r="AL338" s="101"/>
      <c r="AM338" s="101"/>
      <c r="AN338" s="101"/>
      <c r="AO338" s="101"/>
    </row>
    <row r="339" spans="3:41" s="97" customFormat="1" ht="12.6" x14ac:dyDescent="0.25">
      <c r="C339" s="32"/>
      <c r="D339" s="32"/>
      <c r="E339" s="97" t="s">
        <v>170</v>
      </c>
      <c r="H339" s="101"/>
      <c r="J339" s="98" t="s">
        <v>49</v>
      </c>
      <c r="L339" s="99"/>
      <c r="N339" s="101"/>
      <c r="O339" s="101"/>
      <c r="P339" s="101"/>
      <c r="Q339" s="34"/>
      <c r="R339" s="24"/>
      <c r="S339" s="24" t="e">
        <f t="shared" ref="S339:AD339" si="140">+S338+S337</f>
        <v>#NAME?</v>
      </c>
      <c r="T339" s="24" t="e">
        <f t="shared" si="140"/>
        <v>#NAME?</v>
      </c>
      <c r="U339" s="24" t="e">
        <f t="shared" si="140"/>
        <v>#NAME?</v>
      </c>
      <c r="V339" s="24" t="e">
        <f t="shared" si="140"/>
        <v>#NAME?</v>
      </c>
      <c r="W339" s="24" t="e">
        <f t="shared" si="140"/>
        <v>#NAME?</v>
      </c>
      <c r="X339" s="24" t="e">
        <f t="shared" si="140"/>
        <v>#NAME?</v>
      </c>
      <c r="Y339" s="24" t="e">
        <f t="shared" si="140"/>
        <v>#NAME?</v>
      </c>
      <c r="Z339" s="24" t="e">
        <f t="shared" si="140"/>
        <v>#NAME?</v>
      </c>
      <c r="AA339" s="24" t="e">
        <f t="shared" si="140"/>
        <v>#NAME?</v>
      </c>
      <c r="AB339" s="24" t="e">
        <f t="shared" si="140"/>
        <v>#NAME?</v>
      </c>
      <c r="AC339" s="24" t="e">
        <f t="shared" si="140"/>
        <v>#NAME?</v>
      </c>
      <c r="AD339" s="24" t="e">
        <f t="shared" si="140"/>
        <v>#NAME?</v>
      </c>
      <c r="AE339" s="24"/>
      <c r="AF339" s="34"/>
      <c r="AG339" s="34"/>
      <c r="AH339" s="34"/>
      <c r="AI339" s="34"/>
      <c r="AJ339" s="34"/>
      <c r="AK339" s="34"/>
      <c r="AL339" s="34"/>
      <c r="AM339" s="34"/>
      <c r="AN339" s="34"/>
      <c r="AO339" s="34"/>
    </row>
    <row r="340" spans="3:41" s="97" customFormat="1" ht="12.6" x14ac:dyDescent="0.25">
      <c r="C340" s="20"/>
      <c r="D340" s="32"/>
      <c r="E340" s="27" t="s">
        <v>169</v>
      </c>
      <c r="F340" s="28"/>
      <c r="G340" s="28"/>
      <c r="H340" s="100"/>
      <c r="I340" s="28"/>
      <c r="J340" s="29" t="s">
        <v>49</v>
      </c>
      <c r="K340" s="28"/>
      <c r="L340" s="30"/>
      <c r="M340" s="100"/>
      <c r="N340" s="100"/>
      <c r="O340" s="100"/>
      <c r="P340" s="88"/>
      <c r="Q340" s="100"/>
      <c r="R340" s="183"/>
      <c r="S340" s="183" t="e">
        <f t="shared" ref="S340:AD340" si="141">((1+(S338+S337))^(1/12))-1</f>
        <v>#NAME?</v>
      </c>
      <c r="T340" s="183" t="e">
        <f t="shared" si="141"/>
        <v>#NAME?</v>
      </c>
      <c r="U340" s="183" t="e">
        <f t="shared" si="141"/>
        <v>#NAME?</v>
      </c>
      <c r="V340" s="183" t="e">
        <f t="shared" si="141"/>
        <v>#NAME?</v>
      </c>
      <c r="W340" s="183" t="e">
        <f t="shared" si="141"/>
        <v>#NAME?</v>
      </c>
      <c r="X340" s="183" t="e">
        <f t="shared" si="141"/>
        <v>#NAME?</v>
      </c>
      <c r="Y340" s="183" t="e">
        <f t="shared" si="141"/>
        <v>#NAME?</v>
      </c>
      <c r="Z340" s="183" t="e">
        <f t="shared" si="141"/>
        <v>#NAME?</v>
      </c>
      <c r="AA340" s="183" t="e">
        <f t="shared" si="141"/>
        <v>#NAME?</v>
      </c>
      <c r="AB340" s="183" t="e">
        <f t="shared" si="141"/>
        <v>#NAME?</v>
      </c>
      <c r="AC340" s="183" t="e">
        <f t="shared" si="141"/>
        <v>#NAME?</v>
      </c>
      <c r="AD340" s="183" t="e">
        <f t="shared" si="141"/>
        <v>#NAME?</v>
      </c>
      <c r="AE340" s="96"/>
      <c r="AF340" s="101"/>
      <c r="AG340" s="101"/>
      <c r="AH340" s="101"/>
      <c r="AI340" s="101"/>
      <c r="AJ340" s="101"/>
      <c r="AK340" s="101"/>
      <c r="AL340" s="101"/>
      <c r="AM340" s="101"/>
      <c r="AN340" s="101"/>
      <c r="AO340" s="101"/>
    </row>
    <row r="341" spans="3:41" s="97" customFormat="1" x14ac:dyDescent="0.2">
      <c r="H341" s="101"/>
      <c r="J341" s="98"/>
      <c r="L341" s="99"/>
      <c r="M341" s="101"/>
      <c r="N341" s="101"/>
      <c r="O341" s="101"/>
      <c r="P341" s="101"/>
      <c r="Q341" s="101"/>
      <c r="R341" s="101"/>
      <c r="S341" s="101"/>
      <c r="T341" s="101"/>
      <c r="U341" s="101"/>
      <c r="V341" s="101"/>
      <c r="W341" s="101"/>
      <c r="X341" s="101"/>
      <c r="Y341" s="101"/>
      <c r="Z341" s="101"/>
      <c r="AA341" s="101"/>
      <c r="AB341" s="101"/>
      <c r="AC341" s="101"/>
      <c r="AD341" s="101"/>
      <c r="AE341" s="101"/>
      <c r="AF341" s="101"/>
      <c r="AG341" s="101"/>
      <c r="AH341" s="101"/>
      <c r="AI341" s="101"/>
      <c r="AJ341" s="101"/>
      <c r="AK341" s="101"/>
      <c r="AL341" s="101"/>
      <c r="AM341" s="101"/>
      <c r="AN341" s="101"/>
      <c r="AO341" s="101"/>
    </row>
    <row r="342" spans="3:41" s="97" customFormat="1" ht="12.6" x14ac:dyDescent="0.25">
      <c r="E342" s="32" t="s">
        <v>168</v>
      </c>
      <c r="H342" s="101"/>
      <c r="J342" s="98" t="s">
        <v>49</v>
      </c>
      <c r="L342" s="99"/>
      <c r="N342" s="109"/>
      <c r="O342" s="109"/>
      <c r="P342" s="109"/>
      <c r="Q342" s="109"/>
      <c r="R342" s="108">
        <f t="shared" ref="R342:AD342" si="142">Inputs_Basecase_TL5_Commitment_Fee/12</f>
        <v>0</v>
      </c>
      <c r="S342" s="108">
        <f t="shared" si="142"/>
        <v>0</v>
      </c>
      <c r="T342" s="108">
        <f t="shared" si="142"/>
        <v>0</v>
      </c>
      <c r="U342" s="108">
        <f t="shared" si="142"/>
        <v>0</v>
      </c>
      <c r="V342" s="108">
        <f t="shared" si="142"/>
        <v>0</v>
      </c>
      <c r="W342" s="108">
        <f t="shared" si="142"/>
        <v>0</v>
      </c>
      <c r="X342" s="108">
        <f t="shared" si="142"/>
        <v>0</v>
      </c>
      <c r="Y342" s="108">
        <f t="shared" si="142"/>
        <v>0</v>
      </c>
      <c r="Z342" s="108">
        <f t="shared" si="142"/>
        <v>0</v>
      </c>
      <c r="AA342" s="108">
        <f t="shared" si="142"/>
        <v>0</v>
      </c>
      <c r="AB342" s="108">
        <f t="shared" si="142"/>
        <v>0</v>
      </c>
      <c r="AC342" s="108">
        <f t="shared" si="142"/>
        <v>0</v>
      </c>
      <c r="AD342" s="108">
        <f t="shared" si="142"/>
        <v>0</v>
      </c>
      <c r="AE342" s="109"/>
      <c r="AF342" s="109"/>
      <c r="AG342" s="109"/>
      <c r="AH342" s="109"/>
      <c r="AI342" s="109"/>
      <c r="AJ342" s="109"/>
      <c r="AK342" s="109"/>
      <c r="AL342" s="109"/>
      <c r="AM342" s="109"/>
      <c r="AN342" s="109"/>
      <c r="AO342" s="109"/>
    </row>
    <row r="343" spans="3:41" s="97" customFormat="1" x14ac:dyDescent="0.2">
      <c r="H343" s="101"/>
      <c r="J343" s="98"/>
      <c r="L343" s="99"/>
      <c r="M343" s="101"/>
      <c r="N343" s="101"/>
      <c r="O343" s="101"/>
      <c r="P343" s="101"/>
      <c r="Q343" s="101"/>
      <c r="R343" s="101"/>
      <c r="S343" s="101"/>
      <c r="T343" s="101"/>
      <c r="U343" s="101"/>
      <c r="V343" s="101"/>
      <c r="W343" s="101"/>
      <c r="X343" s="101"/>
      <c r="Y343" s="101"/>
      <c r="Z343" s="101"/>
      <c r="AA343" s="101"/>
      <c r="AB343" s="101"/>
      <c r="AC343" s="101"/>
      <c r="AD343" s="101"/>
      <c r="AE343" s="101"/>
      <c r="AF343" s="101"/>
      <c r="AG343" s="101"/>
      <c r="AH343" s="101"/>
      <c r="AI343" s="101"/>
      <c r="AJ343" s="101"/>
      <c r="AK343" s="101"/>
      <c r="AL343" s="101"/>
      <c r="AM343" s="101"/>
      <c r="AN343" s="101"/>
      <c r="AO343" s="101"/>
    </row>
    <row r="344" spans="3:41" s="97" customFormat="1" ht="12.6" x14ac:dyDescent="0.25">
      <c r="C344" s="32"/>
      <c r="D344" s="32" t="s">
        <v>167</v>
      </c>
      <c r="H344" s="101"/>
      <c r="J344" s="98" t="s">
        <v>1205</v>
      </c>
      <c r="L344" s="99" t="s">
        <v>183</v>
      </c>
      <c r="M344" s="101">
        <f>MAX(R345:AD345)</f>
        <v>0</v>
      </c>
      <c r="O344" s="101"/>
      <c r="P344" s="101"/>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row>
    <row r="345" spans="3:41" s="97" customFormat="1" ht="12.6" x14ac:dyDescent="0.25">
      <c r="C345" s="20"/>
      <c r="D345" s="32" t="s">
        <v>166</v>
      </c>
      <c r="H345" s="101"/>
      <c r="J345" s="98" t="s">
        <v>1205</v>
      </c>
      <c r="L345" s="99"/>
      <c r="M345" s="101"/>
      <c r="N345" s="101"/>
      <c r="O345" s="101"/>
      <c r="P345" s="84"/>
      <c r="Q345" s="101"/>
      <c r="R345" s="101">
        <f>SUM($Q351:R351)</f>
        <v>0</v>
      </c>
      <c r="S345" s="101">
        <f>SUM($Q351:S351)</f>
        <v>0</v>
      </c>
      <c r="T345" s="101">
        <f>SUM($Q351:T351)</f>
        <v>0</v>
      </c>
      <c r="U345" s="101">
        <f>SUM($Q351:U351)</f>
        <v>0</v>
      </c>
      <c r="V345" s="101">
        <f>SUM($Q351:V351)</f>
        <v>0</v>
      </c>
      <c r="W345" s="101">
        <f>SUM($Q351:W351)</f>
        <v>0</v>
      </c>
      <c r="X345" s="101">
        <f>SUM($Q351:X351)</f>
        <v>0</v>
      </c>
      <c r="Y345" s="101">
        <f>SUM($Q351:Y351)</f>
        <v>0</v>
      </c>
      <c r="Z345" s="101">
        <f>SUM($Q351:Z351)</f>
        <v>0</v>
      </c>
      <c r="AA345" s="101">
        <f>SUM($Q351:AA351)</f>
        <v>0</v>
      </c>
      <c r="AB345" s="101">
        <f>SUM($Q351:AB351)</f>
        <v>0</v>
      </c>
      <c r="AC345" s="101">
        <f>SUM($Q351:AC351)</f>
        <v>0</v>
      </c>
      <c r="AD345" s="101">
        <f>SUM($Q351:AD351)</f>
        <v>0</v>
      </c>
      <c r="AE345" s="101"/>
      <c r="AF345" s="101"/>
      <c r="AG345" s="101"/>
      <c r="AH345" s="101"/>
      <c r="AI345" s="101"/>
      <c r="AJ345" s="101"/>
      <c r="AK345" s="101"/>
      <c r="AL345" s="101"/>
      <c r="AM345" s="101"/>
      <c r="AN345" s="101"/>
      <c r="AO345" s="101"/>
    </row>
    <row r="346" spans="3:41" s="97" customFormat="1" x14ac:dyDescent="0.2">
      <c r="H346" s="101"/>
      <c r="J346" s="98"/>
      <c r="L346" s="99"/>
      <c r="M346" s="101"/>
      <c r="N346" s="101"/>
      <c r="O346" s="101"/>
      <c r="P346" s="101"/>
      <c r="Q346" s="101"/>
      <c r="R346" s="101"/>
      <c r="S346" s="101"/>
      <c r="T346" s="101"/>
      <c r="U346" s="101"/>
      <c r="V346" s="101"/>
      <c r="W346" s="101"/>
      <c r="X346" s="101"/>
      <c r="Y346" s="101"/>
      <c r="Z346" s="101"/>
      <c r="AA346" s="101"/>
      <c r="AB346" s="101"/>
      <c r="AC346" s="101"/>
      <c r="AD346" s="101"/>
      <c r="AE346" s="101"/>
      <c r="AF346" s="101"/>
      <c r="AG346" s="101"/>
      <c r="AH346" s="101"/>
      <c r="AI346" s="101"/>
      <c r="AJ346" s="101"/>
      <c r="AK346" s="101"/>
      <c r="AL346" s="101"/>
      <c r="AM346" s="101"/>
      <c r="AN346" s="101"/>
      <c r="AO346" s="101"/>
    </row>
    <row r="347" spans="3:41" s="97" customFormat="1" ht="12.6" x14ac:dyDescent="0.25">
      <c r="D347" s="32" t="s">
        <v>165</v>
      </c>
      <c r="H347" s="101"/>
      <c r="J347" s="98" t="s">
        <v>1205</v>
      </c>
      <c r="L347" s="99"/>
      <c r="N347" s="109"/>
      <c r="O347" s="109"/>
      <c r="P347" s="109"/>
      <c r="Q347" s="109"/>
      <c r="R347" s="101">
        <f t="shared" ref="R347:AD347" si="143">R334-R345</f>
        <v>0</v>
      </c>
      <c r="S347" s="101">
        <f t="shared" si="143"/>
        <v>0</v>
      </c>
      <c r="T347" s="101">
        <f t="shared" si="143"/>
        <v>0</v>
      </c>
      <c r="U347" s="101">
        <f t="shared" si="143"/>
        <v>0</v>
      </c>
      <c r="V347" s="101">
        <f t="shared" si="143"/>
        <v>0</v>
      </c>
      <c r="W347" s="101">
        <f t="shared" si="143"/>
        <v>0</v>
      </c>
      <c r="X347" s="101">
        <f t="shared" si="143"/>
        <v>0</v>
      </c>
      <c r="Y347" s="101">
        <f t="shared" si="143"/>
        <v>0</v>
      </c>
      <c r="Z347" s="101">
        <f t="shared" si="143"/>
        <v>0</v>
      </c>
      <c r="AA347" s="101">
        <f t="shared" si="143"/>
        <v>0</v>
      </c>
      <c r="AB347" s="101">
        <f t="shared" si="143"/>
        <v>0</v>
      </c>
      <c r="AC347" s="101">
        <f t="shared" si="143"/>
        <v>0</v>
      </c>
      <c r="AD347" s="101">
        <f t="shared" si="143"/>
        <v>0</v>
      </c>
      <c r="AE347" s="109"/>
      <c r="AF347" s="109"/>
      <c r="AG347" s="109"/>
      <c r="AH347" s="109"/>
      <c r="AI347" s="109"/>
      <c r="AJ347" s="109"/>
      <c r="AK347" s="109"/>
      <c r="AL347" s="109"/>
      <c r="AM347" s="109"/>
      <c r="AN347" s="109"/>
      <c r="AO347" s="109"/>
    </row>
    <row r="348" spans="3:41" s="97" customFormat="1" x14ac:dyDescent="0.2">
      <c r="H348" s="101"/>
      <c r="J348" s="98"/>
      <c r="L348" s="99"/>
      <c r="M348" s="101"/>
      <c r="N348" s="101"/>
      <c r="O348" s="101"/>
      <c r="P348" s="101"/>
      <c r="Q348" s="101"/>
      <c r="R348" s="101"/>
      <c r="S348" s="101"/>
      <c r="T348" s="101"/>
      <c r="U348" s="101"/>
      <c r="V348" s="101"/>
      <c r="W348" s="101"/>
      <c r="X348" s="101"/>
      <c r="Y348" s="101"/>
      <c r="Z348" s="101"/>
      <c r="AA348" s="101"/>
      <c r="AB348" s="101"/>
      <c r="AC348" s="101"/>
      <c r="AD348" s="101"/>
      <c r="AE348" s="101"/>
      <c r="AF348" s="101"/>
      <c r="AG348" s="101"/>
      <c r="AH348" s="101"/>
      <c r="AI348" s="101"/>
      <c r="AJ348" s="101"/>
      <c r="AK348" s="101"/>
      <c r="AL348" s="101"/>
      <c r="AM348" s="101"/>
      <c r="AN348" s="101"/>
      <c r="AO348" s="101"/>
    </row>
    <row r="349" spans="3:41" s="97" customFormat="1" ht="12.6" x14ac:dyDescent="0.25">
      <c r="C349" s="32"/>
      <c r="D349" s="32" t="s">
        <v>164</v>
      </c>
      <c r="H349" s="101"/>
      <c r="J349" s="98"/>
      <c r="L349" s="99"/>
      <c r="N349" s="101"/>
      <c r="O349" s="101"/>
      <c r="P349" s="101"/>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row>
    <row r="350" spans="3:41" s="97" customFormat="1" ht="12.6" x14ac:dyDescent="0.25">
      <c r="C350" s="20"/>
      <c r="D350" s="32"/>
      <c r="E350" s="97" t="s">
        <v>91</v>
      </c>
      <c r="H350" s="101"/>
      <c r="J350" s="98" t="s">
        <v>1205</v>
      </c>
      <c r="L350" s="99"/>
      <c r="M350" s="101"/>
      <c r="N350" s="101"/>
      <c r="O350" s="101"/>
      <c r="P350" s="84"/>
      <c r="Q350" s="101"/>
      <c r="R350" s="101">
        <f t="shared" ref="R350:AD350" si="144">Q362</f>
        <v>0</v>
      </c>
      <c r="S350" s="101">
        <f t="shared" si="144"/>
        <v>0</v>
      </c>
      <c r="T350" s="101">
        <f t="shared" si="144"/>
        <v>0</v>
      </c>
      <c r="U350" s="101">
        <f t="shared" si="144"/>
        <v>0</v>
      </c>
      <c r="V350" s="101">
        <f t="shared" si="144"/>
        <v>0</v>
      </c>
      <c r="W350" s="101">
        <f t="shared" si="144"/>
        <v>0</v>
      </c>
      <c r="X350" s="101">
        <f t="shared" si="144"/>
        <v>0</v>
      </c>
      <c r="Y350" s="101">
        <f t="shared" si="144"/>
        <v>0</v>
      </c>
      <c r="Z350" s="101">
        <f t="shared" si="144"/>
        <v>0</v>
      </c>
      <c r="AA350" s="101">
        <f t="shared" si="144"/>
        <v>0</v>
      </c>
      <c r="AB350" s="101">
        <f t="shared" si="144"/>
        <v>0</v>
      </c>
      <c r="AC350" s="101">
        <f t="shared" si="144"/>
        <v>0</v>
      </c>
      <c r="AD350" s="101">
        <f t="shared" si="144"/>
        <v>0</v>
      </c>
      <c r="AE350" s="101"/>
      <c r="AF350" s="101"/>
      <c r="AG350" s="101"/>
      <c r="AH350" s="101"/>
      <c r="AI350" s="101"/>
      <c r="AJ350" s="101"/>
      <c r="AK350" s="101"/>
      <c r="AL350" s="101"/>
      <c r="AM350" s="101"/>
      <c r="AN350" s="101"/>
      <c r="AO350" s="101"/>
    </row>
    <row r="351" spans="3:41" s="97" customFormat="1" x14ac:dyDescent="0.2">
      <c r="E351" s="97" t="s">
        <v>163</v>
      </c>
      <c r="H351" s="101"/>
      <c r="J351" s="98" t="s">
        <v>1205</v>
      </c>
      <c r="L351" s="99" t="s">
        <v>182</v>
      </c>
      <c r="M351" s="101"/>
      <c r="N351" s="101"/>
      <c r="O351" s="101"/>
      <c r="P351" s="101"/>
      <c r="Q351" s="67"/>
      <c r="R351" s="101">
        <f>R362</f>
        <v>0</v>
      </c>
      <c r="S351" s="101">
        <f>Inputs_Basecase_TL5_Drawdown</f>
        <v>0</v>
      </c>
      <c r="T351" s="101">
        <f t="shared" ref="T351:AD351" si="145">Inputs_Basecase_TL5_Drawdown</f>
        <v>0</v>
      </c>
      <c r="U351" s="101">
        <f t="shared" si="145"/>
        <v>0</v>
      </c>
      <c r="V351" s="101">
        <f t="shared" si="145"/>
        <v>0</v>
      </c>
      <c r="W351" s="101">
        <f t="shared" si="145"/>
        <v>0</v>
      </c>
      <c r="X351" s="101">
        <f t="shared" si="145"/>
        <v>0</v>
      </c>
      <c r="Y351" s="101">
        <f t="shared" si="145"/>
        <v>0</v>
      </c>
      <c r="Z351" s="101">
        <f t="shared" si="145"/>
        <v>0</v>
      </c>
      <c r="AA351" s="101">
        <f t="shared" si="145"/>
        <v>0</v>
      </c>
      <c r="AB351" s="101">
        <f t="shared" si="145"/>
        <v>0</v>
      </c>
      <c r="AC351" s="101">
        <f t="shared" si="145"/>
        <v>0</v>
      </c>
      <c r="AD351" s="101">
        <f t="shared" si="145"/>
        <v>0</v>
      </c>
      <c r="AE351" s="101"/>
      <c r="AF351" s="101"/>
      <c r="AG351" s="101"/>
      <c r="AH351" s="101"/>
      <c r="AI351" s="101"/>
      <c r="AJ351" s="101"/>
      <c r="AK351" s="101"/>
      <c r="AL351" s="101"/>
      <c r="AM351" s="101"/>
      <c r="AN351" s="101"/>
      <c r="AO351" s="101"/>
    </row>
    <row r="352" spans="3:41" s="97" customFormat="1" ht="12.6" x14ac:dyDescent="0.25">
      <c r="E352" s="27" t="s">
        <v>162</v>
      </c>
      <c r="F352" s="28"/>
      <c r="G352" s="28"/>
      <c r="H352" s="100"/>
      <c r="I352" s="28"/>
      <c r="J352" s="29" t="s">
        <v>1205</v>
      </c>
      <c r="K352" s="28"/>
      <c r="L352" s="30"/>
      <c r="M352" s="28"/>
      <c r="N352" s="87"/>
      <c r="O352" s="87"/>
      <c r="P352" s="87"/>
      <c r="Q352" s="87"/>
      <c r="R352" s="100">
        <f t="shared" ref="R352:AD352" si="146">SUM(R350:R351)</f>
        <v>0</v>
      </c>
      <c r="S352" s="100">
        <f t="shared" si="146"/>
        <v>0</v>
      </c>
      <c r="T352" s="100">
        <f t="shared" si="146"/>
        <v>0</v>
      </c>
      <c r="U352" s="100">
        <f t="shared" si="146"/>
        <v>0</v>
      </c>
      <c r="V352" s="100">
        <f t="shared" si="146"/>
        <v>0</v>
      </c>
      <c r="W352" s="100">
        <f t="shared" si="146"/>
        <v>0</v>
      </c>
      <c r="X352" s="100">
        <f t="shared" si="146"/>
        <v>0</v>
      </c>
      <c r="Y352" s="100">
        <f t="shared" si="146"/>
        <v>0</v>
      </c>
      <c r="Z352" s="100">
        <f t="shared" si="146"/>
        <v>0</v>
      </c>
      <c r="AA352" s="100">
        <f t="shared" si="146"/>
        <v>0</v>
      </c>
      <c r="AB352" s="100">
        <f t="shared" si="146"/>
        <v>0</v>
      </c>
      <c r="AC352" s="100">
        <f t="shared" si="146"/>
        <v>0</v>
      </c>
      <c r="AD352" s="100">
        <f t="shared" si="146"/>
        <v>0</v>
      </c>
      <c r="AE352" s="109"/>
      <c r="AF352" s="109"/>
      <c r="AG352" s="109"/>
      <c r="AH352" s="109"/>
      <c r="AI352" s="109"/>
      <c r="AJ352" s="109"/>
      <c r="AK352" s="109"/>
      <c r="AL352" s="109"/>
      <c r="AM352" s="109"/>
      <c r="AN352" s="109"/>
      <c r="AO352" s="109"/>
    </row>
    <row r="353" spans="2:41" s="97" customFormat="1" x14ac:dyDescent="0.2">
      <c r="H353" s="101"/>
      <c r="J353" s="98"/>
      <c r="L353" s="99"/>
      <c r="M353" s="101"/>
      <c r="N353" s="101"/>
      <c r="O353" s="101"/>
      <c r="P353" s="101"/>
      <c r="Q353" s="101"/>
      <c r="R353" s="101"/>
      <c r="S353" s="101"/>
      <c r="T353" s="101"/>
      <c r="U353" s="101"/>
      <c r="V353" s="101"/>
      <c r="W353" s="101"/>
      <c r="X353" s="101"/>
      <c r="Y353" s="101"/>
      <c r="Z353" s="101"/>
      <c r="AA353" s="101"/>
      <c r="AB353" s="101"/>
      <c r="AC353" s="101"/>
      <c r="AD353" s="101"/>
      <c r="AE353" s="101"/>
      <c r="AF353" s="101"/>
      <c r="AG353" s="101"/>
      <c r="AH353" s="101"/>
      <c r="AI353" s="101"/>
      <c r="AJ353" s="101"/>
      <c r="AK353" s="101"/>
      <c r="AL353" s="101"/>
      <c r="AM353" s="101"/>
      <c r="AN353" s="101"/>
      <c r="AO353" s="101"/>
    </row>
    <row r="354" spans="2:41" s="97" customFormat="1" ht="12.6" x14ac:dyDescent="0.25">
      <c r="D354" s="32" t="s">
        <v>161</v>
      </c>
      <c r="H354" s="101"/>
      <c r="L354" s="99"/>
      <c r="N354" s="101"/>
      <c r="O354" s="101"/>
      <c r="P354" s="101"/>
      <c r="Q354" s="101"/>
      <c r="R354" s="101"/>
      <c r="S354" s="101"/>
      <c r="T354" s="34"/>
      <c r="U354" s="101"/>
      <c r="V354" s="101"/>
      <c r="W354" s="101"/>
      <c r="X354" s="101"/>
      <c r="Y354" s="101"/>
      <c r="Z354" s="101"/>
      <c r="AA354" s="101"/>
      <c r="AB354" s="101"/>
      <c r="AC354" s="101"/>
      <c r="AD354" s="101"/>
      <c r="AE354" s="101"/>
      <c r="AF354" s="101"/>
      <c r="AG354" s="101"/>
      <c r="AH354" s="101"/>
      <c r="AI354" s="101"/>
      <c r="AJ354" s="101"/>
      <c r="AK354" s="101"/>
      <c r="AL354" s="101"/>
      <c r="AM354" s="101"/>
      <c r="AN354" s="101"/>
      <c r="AO354" s="101"/>
    </row>
    <row r="355" spans="2:41" s="97" customFormat="1" ht="12.6" x14ac:dyDescent="0.25">
      <c r="C355" s="20"/>
      <c r="D355" s="32"/>
      <c r="E355" s="97" t="s">
        <v>160</v>
      </c>
      <c r="H355" s="101"/>
      <c r="J355" s="98" t="s">
        <v>1205</v>
      </c>
      <c r="L355" s="99"/>
      <c r="M355" s="101"/>
      <c r="N355" s="101"/>
      <c r="O355" s="101"/>
      <c r="P355" s="84"/>
      <c r="Q355" s="101"/>
      <c r="R355" s="108"/>
      <c r="S355" s="108">
        <f t="shared" ref="S355:AD355" si="147">Inputs_Basecase_TL5_Repayment_Principal</f>
        <v>0</v>
      </c>
      <c r="T355" s="108">
        <f t="shared" si="147"/>
        <v>0.08</v>
      </c>
      <c r="U355" s="108">
        <f t="shared" si="147"/>
        <v>0.08</v>
      </c>
      <c r="V355" s="108">
        <f t="shared" si="147"/>
        <v>0.125</v>
      </c>
      <c r="W355" s="108">
        <f t="shared" si="147"/>
        <v>0.125</v>
      </c>
      <c r="X355" s="108">
        <f t="shared" si="147"/>
        <v>0.125</v>
      </c>
      <c r="Y355" s="108">
        <f t="shared" si="147"/>
        <v>0.125</v>
      </c>
      <c r="Z355" s="108">
        <f t="shared" si="147"/>
        <v>0.14000000000000001</v>
      </c>
      <c r="AA355" s="108">
        <f t="shared" si="147"/>
        <v>0.2</v>
      </c>
      <c r="AB355" s="108">
        <f t="shared" si="147"/>
        <v>0</v>
      </c>
      <c r="AC355" s="108">
        <f t="shared" si="147"/>
        <v>0</v>
      </c>
      <c r="AD355" s="108">
        <f t="shared" si="147"/>
        <v>0</v>
      </c>
      <c r="AE355" s="101"/>
      <c r="AF355" s="101"/>
      <c r="AG355" s="101"/>
      <c r="AH355" s="101"/>
      <c r="AI355" s="101"/>
      <c r="AJ355" s="101"/>
      <c r="AK355" s="101"/>
      <c r="AL355" s="101"/>
      <c r="AM355" s="101"/>
      <c r="AN355" s="101"/>
      <c r="AO355" s="101"/>
    </row>
    <row r="356" spans="2:41" s="97" customFormat="1" x14ac:dyDescent="0.2">
      <c r="E356" s="97" t="s">
        <v>146</v>
      </c>
      <c r="H356" s="101"/>
      <c r="J356" s="98" t="s">
        <v>1205</v>
      </c>
      <c r="L356" s="99"/>
      <c r="M356" s="101"/>
      <c r="N356" s="101"/>
      <c r="O356" s="101"/>
      <c r="P356" s="101"/>
      <c r="Q356" s="101"/>
      <c r="R356" s="101"/>
      <c r="S356" s="101">
        <f t="shared" ref="S356:AD356" si="148">-Inputs_Basecase_TL5_Repayment_Principal*Finance_TL5_Total</f>
        <v>0</v>
      </c>
      <c r="T356" s="101">
        <f t="shared" si="148"/>
        <v>0</v>
      </c>
      <c r="U356" s="101">
        <f t="shared" si="148"/>
        <v>0</v>
      </c>
      <c r="V356" s="101">
        <f t="shared" si="148"/>
        <v>0</v>
      </c>
      <c r="W356" s="101">
        <f t="shared" si="148"/>
        <v>0</v>
      </c>
      <c r="X356" s="101">
        <f t="shared" si="148"/>
        <v>0</v>
      </c>
      <c r="Y356" s="101">
        <f t="shared" si="148"/>
        <v>0</v>
      </c>
      <c r="Z356" s="101">
        <f t="shared" si="148"/>
        <v>0</v>
      </c>
      <c r="AA356" s="101">
        <f t="shared" si="148"/>
        <v>0</v>
      </c>
      <c r="AB356" s="101">
        <f t="shared" si="148"/>
        <v>0</v>
      </c>
      <c r="AC356" s="101">
        <f t="shared" si="148"/>
        <v>0</v>
      </c>
      <c r="AD356" s="101">
        <f t="shared" si="148"/>
        <v>0</v>
      </c>
      <c r="AE356" s="101"/>
      <c r="AF356" s="101"/>
      <c r="AG356" s="101"/>
      <c r="AH356" s="101"/>
      <c r="AI356" s="101"/>
      <c r="AJ356" s="101"/>
      <c r="AK356" s="101"/>
      <c r="AL356" s="101"/>
      <c r="AM356" s="101"/>
      <c r="AN356" s="101"/>
      <c r="AO356" s="101"/>
    </row>
    <row r="357" spans="2:41" s="97" customFormat="1" ht="12.6" x14ac:dyDescent="0.25">
      <c r="E357" s="27" t="s">
        <v>159</v>
      </c>
      <c r="F357" s="28"/>
      <c r="G357" s="28"/>
      <c r="H357" s="100"/>
      <c r="I357" s="28"/>
      <c r="J357" s="29" t="s">
        <v>1205</v>
      </c>
      <c r="K357" s="28"/>
      <c r="L357" s="30" t="s">
        <v>181</v>
      </c>
      <c r="M357" s="28"/>
      <c r="N357" s="87"/>
      <c r="O357" s="87"/>
      <c r="P357" s="87"/>
      <c r="Q357" s="87"/>
      <c r="R357" s="100"/>
      <c r="S357" s="100">
        <f t="shared" ref="S357:AD357" si="149">IF(-S356&lt;S352,S356,-S352)</f>
        <v>0</v>
      </c>
      <c r="T357" s="100">
        <f t="shared" si="149"/>
        <v>0</v>
      </c>
      <c r="U357" s="100">
        <f t="shared" si="149"/>
        <v>0</v>
      </c>
      <c r="V357" s="100">
        <f t="shared" si="149"/>
        <v>0</v>
      </c>
      <c r="W357" s="100">
        <f t="shared" si="149"/>
        <v>0</v>
      </c>
      <c r="X357" s="100">
        <f t="shared" si="149"/>
        <v>0</v>
      </c>
      <c r="Y357" s="100">
        <f t="shared" si="149"/>
        <v>0</v>
      </c>
      <c r="Z357" s="100">
        <f t="shared" si="149"/>
        <v>0</v>
      </c>
      <c r="AA357" s="100">
        <f t="shared" si="149"/>
        <v>0</v>
      </c>
      <c r="AB357" s="100">
        <f t="shared" si="149"/>
        <v>0</v>
      </c>
      <c r="AC357" s="100">
        <f t="shared" si="149"/>
        <v>0</v>
      </c>
      <c r="AD357" s="100">
        <f t="shared" si="149"/>
        <v>0</v>
      </c>
      <c r="AE357" s="109"/>
      <c r="AF357" s="109"/>
      <c r="AG357" s="109"/>
      <c r="AH357" s="109"/>
      <c r="AI357" s="109"/>
      <c r="AJ357" s="109"/>
      <c r="AK357" s="109"/>
      <c r="AL357" s="109"/>
      <c r="AM357" s="109"/>
      <c r="AN357" s="109"/>
      <c r="AO357" s="109"/>
    </row>
    <row r="358" spans="2:41" s="97" customFormat="1" x14ac:dyDescent="0.2">
      <c r="H358" s="101"/>
      <c r="J358" s="98"/>
      <c r="L358" s="99"/>
      <c r="M358" s="101"/>
      <c r="N358" s="101"/>
      <c r="O358" s="101"/>
      <c r="P358" s="101"/>
      <c r="Q358" s="101"/>
      <c r="R358" s="101"/>
      <c r="S358" s="101"/>
      <c r="T358" s="101"/>
      <c r="U358" s="101"/>
      <c r="V358" s="101"/>
      <c r="W358" s="101"/>
      <c r="X358" s="101"/>
      <c r="Y358" s="101"/>
      <c r="Z358" s="101"/>
      <c r="AA358" s="101"/>
      <c r="AB358" s="101"/>
      <c r="AC358" s="101"/>
      <c r="AD358" s="101"/>
      <c r="AE358" s="101"/>
      <c r="AF358" s="101"/>
      <c r="AG358" s="101"/>
      <c r="AH358" s="101"/>
      <c r="AI358" s="101"/>
      <c r="AJ358" s="101"/>
      <c r="AK358" s="101"/>
      <c r="AL358" s="101"/>
      <c r="AM358" s="101"/>
      <c r="AN358" s="101"/>
      <c r="AO358" s="101"/>
    </row>
    <row r="359" spans="2:41" s="97" customFormat="1" ht="12.6" x14ac:dyDescent="0.25">
      <c r="D359" s="27" t="s">
        <v>158</v>
      </c>
      <c r="E359" s="28"/>
      <c r="F359" s="28"/>
      <c r="G359" s="28"/>
      <c r="H359" s="100"/>
      <c r="I359" s="28"/>
      <c r="J359" s="29" t="s">
        <v>1205</v>
      </c>
      <c r="K359" s="28"/>
      <c r="L359" s="30"/>
      <c r="M359" s="100"/>
      <c r="N359" s="100"/>
      <c r="O359" s="100"/>
      <c r="P359" s="100"/>
      <c r="Q359" s="100"/>
      <c r="R359" s="100"/>
      <c r="S359" s="100">
        <f t="shared" ref="S359:AD359" si="150">S352+S357</f>
        <v>0</v>
      </c>
      <c r="T359" s="100">
        <f t="shared" si="150"/>
        <v>0</v>
      </c>
      <c r="U359" s="100">
        <f t="shared" si="150"/>
        <v>0</v>
      </c>
      <c r="V359" s="100">
        <f t="shared" si="150"/>
        <v>0</v>
      </c>
      <c r="W359" s="100">
        <f t="shared" si="150"/>
        <v>0</v>
      </c>
      <c r="X359" s="100">
        <f t="shared" si="150"/>
        <v>0</v>
      </c>
      <c r="Y359" s="100">
        <f t="shared" si="150"/>
        <v>0</v>
      </c>
      <c r="Z359" s="100">
        <f t="shared" si="150"/>
        <v>0</v>
      </c>
      <c r="AA359" s="100">
        <f t="shared" si="150"/>
        <v>0</v>
      </c>
      <c r="AB359" s="100">
        <f t="shared" si="150"/>
        <v>0</v>
      </c>
      <c r="AC359" s="100">
        <f t="shared" si="150"/>
        <v>0</v>
      </c>
      <c r="AD359" s="100">
        <f t="shared" si="150"/>
        <v>0</v>
      </c>
      <c r="AE359" s="101"/>
      <c r="AF359" s="101"/>
      <c r="AG359" s="101"/>
      <c r="AH359" s="101"/>
      <c r="AI359" s="101"/>
      <c r="AJ359" s="101"/>
      <c r="AK359" s="101"/>
      <c r="AL359" s="101"/>
      <c r="AM359" s="101"/>
      <c r="AN359" s="101"/>
      <c r="AO359" s="101"/>
    </row>
    <row r="360" spans="2:41" s="97" customFormat="1" ht="12.6" x14ac:dyDescent="0.25">
      <c r="D360" s="32"/>
      <c r="E360" s="32"/>
      <c r="F360" s="32"/>
      <c r="G360" s="32"/>
      <c r="H360" s="103"/>
      <c r="I360" s="32"/>
      <c r="J360" s="37"/>
      <c r="K360" s="32"/>
      <c r="L360" s="99"/>
      <c r="M360" s="103"/>
      <c r="N360" s="103"/>
      <c r="O360" s="103"/>
      <c r="P360" s="103"/>
      <c r="Q360" s="103"/>
      <c r="R360" s="103"/>
      <c r="S360" s="103"/>
      <c r="T360" s="103"/>
      <c r="U360" s="103"/>
      <c r="V360" s="103"/>
      <c r="W360" s="103"/>
      <c r="X360" s="103"/>
      <c r="Y360" s="103"/>
      <c r="Z360" s="103"/>
      <c r="AA360" s="103"/>
      <c r="AB360" s="103"/>
      <c r="AC360" s="103"/>
      <c r="AD360" s="103"/>
      <c r="AE360" s="103"/>
      <c r="AF360" s="103"/>
      <c r="AG360" s="103"/>
      <c r="AH360" s="103"/>
      <c r="AI360" s="103"/>
      <c r="AJ360" s="103"/>
      <c r="AK360" s="103"/>
      <c r="AL360" s="103"/>
      <c r="AM360" s="103"/>
      <c r="AN360" s="103"/>
      <c r="AO360" s="103"/>
    </row>
    <row r="361" spans="2:41" s="97" customFormat="1" x14ac:dyDescent="0.2">
      <c r="E361" s="97" t="s">
        <v>157</v>
      </c>
      <c r="H361" s="101"/>
      <c r="J361" s="98"/>
      <c r="L361" s="99" t="s">
        <v>180</v>
      </c>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01"/>
      <c r="AO361" s="101"/>
    </row>
    <row r="362" spans="2:41" s="97" customFormat="1" ht="13.2" thickBot="1" x14ac:dyDescent="0.3">
      <c r="D362" s="36" t="s">
        <v>156</v>
      </c>
      <c r="E362" s="58"/>
      <c r="F362" s="58"/>
      <c r="G362" s="58"/>
      <c r="H362" s="105"/>
      <c r="I362" s="58"/>
      <c r="J362" s="59" t="s">
        <v>1205</v>
      </c>
      <c r="K362" s="58"/>
      <c r="L362" s="60" t="s">
        <v>179</v>
      </c>
      <c r="M362" s="105"/>
      <c r="N362" s="105"/>
      <c r="O362" s="182"/>
      <c r="P362" s="182"/>
      <c r="Q362" s="200"/>
      <c r="R362" s="105">
        <v>0</v>
      </c>
      <c r="S362" s="105">
        <f t="shared" ref="S362:AD362" si="151">S359-S361</f>
        <v>0</v>
      </c>
      <c r="T362" s="105">
        <f t="shared" si="151"/>
        <v>0</v>
      </c>
      <c r="U362" s="105">
        <f t="shared" si="151"/>
        <v>0</v>
      </c>
      <c r="V362" s="105">
        <f t="shared" si="151"/>
        <v>0</v>
      </c>
      <c r="W362" s="105">
        <f t="shared" si="151"/>
        <v>0</v>
      </c>
      <c r="X362" s="105">
        <f t="shared" si="151"/>
        <v>0</v>
      </c>
      <c r="Y362" s="105">
        <f t="shared" si="151"/>
        <v>0</v>
      </c>
      <c r="Z362" s="105">
        <f t="shared" si="151"/>
        <v>0</v>
      </c>
      <c r="AA362" s="105">
        <f t="shared" si="151"/>
        <v>0</v>
      </c>
      <c r="AB362" s="105">
        <f t="shared" si="151"/>
        <v>0</v>
      </c>
      <c r="AC362" s="105">
        <f t="shared" si="151"/>
        <v>0</v>
      </c>
      <c r="AD362" s="105">
        <f t="shared" si="151"/>
        <v>0</v>
      </c>
      <c r="AE362" s="34"/>
      <c r="AF362" s="34"/>
      <c r="AG362" s="34"/>
      <c r="AH362" s="34"/>
      <c r="AI362" s="34"/>
      <c r="AJ362" s="34"/>
      <c r="AK362" s="34"/>
      <c r="AL362" s="34"/>
      <c r="AM362" s="34"/>
      <c r="AN362" s="34"/>
      <c r="AO362" s="34"/>
    </row>
    <row r="363" spans="2:41" s="97" customFormat="1" x14ac:dyDescent="0.2">
      <c r="H363" s="101"/>
      <c r="J363" s="98"/>
      <c r="L363" s="99"/>
      <c r="M363" s="101"/>
      <c r="N363" s="101"/>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row>
    <row r="364" spans="2:41" s="97" customFormat="1" ht="12.6" x14ac:dyDescent="0.25">
      <c r="D364" s="32" t="s">
        <v>155</v>
      </c>
      <c r="H364" s="101"/>
      <c r="J364" s="98"/>
      <c r="L364" s="99"/>
      <c r="M364" s="101"/>
      <c r="N364" s="101"/>
      <c r="O364" s="101"/>
      <c r="P364" s="101"/>
      <c r="Q364" s="101"/>
      <c r="R364" s="101"/>
      <c r="S364" s="101"/>
      <c r="T364" s="101"/>
      <c r="U364" s="101"/>
      <c r="V364" s="101"/>
      <c r="W364" s="101"/>
      <c r="X364" s="101"/>
      <c r="Y364" s="101"/>
      <c r="Z364" s="101"/>
      <c r="AA364" s="101"/>
      <c r="AB364" s="101"/>
      <c r="AC364" s="101"/>
      <c r="AD364" s="101"/>
      <c r="AE364" s="101"/>
      <c r="AF364" s="101"/>
      <c r="AG364" s="101"/>
      <c r="AH364" s="101"/>
      <c r="AI364" s="101"/>
      <c r="AJ364" s="101"/>
      <c r="AK364" s="101"/>
      <c r="AL364" s="101"/>
      <c r="AM364" s="101"/>
      <c r="AN364" s="101"/>
      <c r="AO364" s="101"/>
    </row>
    <row r="365" spans="2:41" s="97" customFormat="1" x14ac:dyDescent="0.2">
      <c r="B365" s="20"/>
      <c r="C365" s="20"/>
      <c r="D365" s="20"/>
      <c r="E365" s="97" t="s">
        <v>154</v>
      </c>
      <c r="J365" s="98" t="s">
        <v>1205</v>
      </c>
      <c r="L365" s="99" t="s">
        <v>178</v>
      </c>
      <c r="N365" s="21"/>
      <c r="O365" s="21"/>
      <c r="P365" s="21"/>
      <c r="Q365" s="101">
        <f t="shared" ref="Q365:AD365" si="152">IF(Q362&gt;0,IF(((R357)*-1)&gt;Q352,Q352,0-(R357)),0)</f>
        <v>0</v>
      </c>
      <c r="R365" s="101">
        <f t="shared" si="152"/>
        <v>0</v>
      </c>
      <c r="S365" s="101">
        <f t="shared" si="152"/>
        <v>0</v>
      </c>
      <c r="T365" s="101">
        <f t="shared" si="152"/>
        <v>0</v>
      </c>
      <c r="U365" s="101">
        <f t="shared" si="152"/>
        <v>0</v>
      </c>
      <c r="V365" s="101">
        <f t="shared" si="152"/>
        <v>0</v>
      </c>
      <c r="W365" s="101">
        <f t="shared" si="152"/>
        <v>0</v>
      </c>
      <c r="X365" s="101">
        <f t="shared" si="152"/>
        <v>0</v>
      </c>
      <c r="Y365" s="101">
        <f t="shared" si="152"/>
        <v>0</v>
      </c>
      <c r="Z365" s="101">
        <f t="shared" si="152"/>
        <v>0</v>
      </c>
      <c r="AA365" s="101">
        <f t="shared" si="152"/>
        <v>0</v>
      </c>
      <c r="AB365" s="101">
        <f t="shared" si="152"/>
        <v>0</v>
      </c>
      <c r="AC365" s="101">
        <f t="shared" si="152"/>
        <v>0</v>
      </c>
      <c r="AD365" s="21">
        <f t="shared" si="152"/>
        <v>0</v>
      </c>
      <c r="AE365" s="21"/>
      <c r="AF365" s="21"/>
      <c r="AG365" s="21"/>
      <c r="AH365" s="21"/>
      <c r="AI365" s="21"/>
      <c r="AJ365" s="21"/>
      <c r="AK365" s="21"/>
      <c r="AL365" s="21"/>
      <c r="AM365" s="21"/>
      <c r="AN365" s="21"/>
      <c r="AO365" s="21"/>
    </row>
    <row r="366" spans="2:41" s="97" customFormat="1" x14ac:dyDescent="0.2">
      <c r="E366" s="97" t="s">
        <v>153</v>
      </c>
      <c r="H366" s="101"/>
      <c r="J366" s="98" t="s">
        <v>1205</v>
      </c>
      <c r="L366" s="99" t="s">
        <v>177</v>
      </c>
      <c r="M366" s="101"/>
      <c r="N366" s="101"/>
      <c r="O366" s="101"/>
      <c r="P366" s="101"/>
      <c r="Q366" s="101">
        <f t="shared" ref="Q366:AD366" si="153">Q362-Q365</f>
        <v>0</v>
      </c>
      <c r="R366" s="101">
        <f t="shared" si="153"/>
        <v>0</v>
      </c>
      <c r="S366" s="101">
        <f t="shared" si="153"/>
        <v>0</v>
      </c>
      <c r="T366" s="101">
        <f t="shared" si="153"/>
        <v>0</v>
      </c>
      <c r="U366" s="101">
        <f t="shared" si="153"/>
        <v>0</v>
      </c>
      <c r="V366" s="101">
        <f t="shared" si="153"/>
        <v>0</v>
      </c>
      <c r="W366" s="101">
        <f t="shared" si="153"/>
        <v>0</v>
      </c>
      <c r="X366" s="101">
        <f t="shared" si="153"/>
        <v>0</v>
      </c>
      <c r="Y366" s="101">
        <f t="shared" si="153"/>
        <v>0</v>
      </c>
      <c r="Z366" s="101">
        <f t="shared" si="153"/>
        <v>0</v>
      </c>
      <c r="AA366" s="101">
        <f t="shared" si="153"/>
        <v>0</v>
      </c>
      <c r="AB366" s="101">
        <f t="shared" si="153"/>
        <v>0</v>
      </c>
      <c r="AC366" s="101">
        <f t="shared" si="153"/>
        <v>0</v>
      </c>
      <c r="AD366" s="101">
        <f t="shared" si="153"/>
        <v>0</v>
      </c>
      <c r="AE366" s="101"/>
      <c r="AF366" s="101"/>
      <c r="AG366" s="101"/>
      <c r="AH366" s="101"/>
      <c r="AI366" s="101"/>
      <c r="AJ366" s="101"/>
      <c r="AK366" s="101"/>
      <c r="AL366" s="101"/>
      <c r="AM366" s="101"/>
      <c r="AN366" s="101"/>
      <c r="AO366" s="101"/>
    </row>
    <row r="367" spans="2:41" s="97" customFormat="1" x14ac:dyDescent="0.2">
      <c r="H367" s="101"/>
      <c r="J367" s="98"/>
      <c r="L367" s="99"/>
      <c r="M367" s="101"/>
      <c r="N367" s="101"/>
      <c r="O367" s="101"/>
      <c r="P367" s="101"/>
      <c r="Q367" s="101"/>
      <c r="R367" s="101"/>
      <c r="S367" s="101"/>
      <c r="T367" s="101"/>
      <c r="U367" s="101"/>
      <c r="V367" s="101"/>
      <c r="W367" s="101"/>
      <c r="X367" s="101"/>
      <c r="Y367" s="101"/>
      <c r="Z367" s="101"/>
      <c r="AA367" s="101"/>
      <c r="AB367" s="101"/>
      <c r="AC367" s="101"/>
      <c r="AD367" s="101"/>
      <c r="AE367" s="101"/>
      <c r="AF367" s="101"/>
      <c r="AG367" s="101"/>
      <c r="AH367" s="101"/>
      <c r="AI367" s="101"/>
      <c r="AJ367" s="101"/>
      <c r="AK367" s="101"/>
      <c r="AL367" s="101"/>
      <c r="AM367" s="101"/>
      <c r="AN367" s="101"/>
      <c r="AO367" s="101"/>
    </row>
    <row r="368" spans="2:41" s="97" customFormat="1" ht="12.6" x14ac:dyDescent="0.25">
      <c r="D368" s="32" t="s">
        <v>152</v>
      </c>
      <c r="H368" s="101"/>
      <c r="J368" s="98" t="s">
        <v>20</v>
      </c>
      <c r="L368" s="99"/>
      <c r="M368" s="101"/>
      <c r="N368" s="101"/>
      <c r="O368" s="101"/>
      <c r="P368" s="101"/>
      <c r="Q368" s="101"/>
      <c r="R368" s="101">
        <f t="shared" ref="R368:AD368" si="154">Inputs_Basecase_TL5_Months_Oustanding</f>
        <v>0</v>
      </c>
      <c r="S368" s="101">
        <f t="shared" si="154"/>
        <v>12</v>
      </c>
      <c r="T368" s="101">
        <f t="shared" si="154"/>
        <v>12</v>
      </c>
      <c r="U368" s="101">
        <f t="shared" si="154"/>
        <v>12</v>
      </c>
      <c r="V368" s="101">
        <f t="shared" si="154"/>
        <v>12</v>
      </c>
      <c r="W368" s="101">
        <f t="shared" si="154"/>
        <v>12</v>
      </c>
      <c r="X368" s="101">
        <f t="shared" si="154"/>
        <v>12</v>
      </c>
      <c r="Y368" s="101">
        <f t="shared" si="154"/>
        <v>12</v>
      </c>
      <c r="Z368" s="101">
        <f t="shared" si="154"/>
        <v>12</v>
      </c>
      <c r="AA368" s="101">
        <f t="shared" si="154"/>
        <v>12</v>
      </c>
      <c r="AB368" s="101">
        <f t="shared" si="154"/>
        <v>12</v>
      </c>
      <c r="AC368" s="101">
        <f t="shared" si="154"/>
        <v>12</v>
      </c>
      <c r="AD368" s="101">
        <f t="shared" si="154"/>
        <v>12</v>
      </c>
      <c r="AE368" s="108"/>
      <c r="AF368" s="108"/>
      <c r="AG368" s="108"/>
      <c r="AH368" s="108"/>
      <c r="AI368" s="108"/>
      <c r="AJ368" s="108"/>
      <c r="AK368" s="108"/>
      <c r="AL368" s="108"/>
      <c r="AM368" s="108"/>
      <c r="AN368" s="108"/>
      <c r="AO368" s="108"/>
    </row>
    <row r="369" spans="1:41" s="97" customFormat="1" x14ac:dyDescent="0.2">
      <c r="H369" s="101"/>
      <c r="J369" s="98"/>
      <c r="L369" s="99"/>
      <c r="M369" s="101"/>
      <c r="N369" s="101"/>
      <c r="O369" s="101"/>
      <c r="P369" s="101"/>
      <c r="Q369" s="101"/>
      <c r="R369" s="101"/>
      <c r="S369" s="101"/>
      <c r="T369" s="101"/>
      <c r="U369" s="101"/>
      <c r="V369" s="101"/>
      <c r="W369" s="101"/>
      <c r="X369" s="101"/>
      <c r="Y369" s="101"/>
      <c r="Z369" s="101"/>
      <c r="AA369" s="101"/>
      <c r="AB369" s="101"/>
      <c r="AC369" s="101"/>
      <c r="AD369" s="101"/>
      <c r="AE369" s="101"/>
      <c r="AF369" s="101"/>
      <c r="AG369" s="101"/>
      <c r="AH369" s="101"/>
      <c r="AI369" s="101"/>
      <c r="AJ369" s="101"/>
      <c r="AK369" s="101"/>
      <c r="AL369" s="101"/>
      <c r="AM369" s="101"/>
      <c r="AN369" s="101"/>
      <c r="AO369" s="101"/>
    </row>
    <row r="370" spans="1:41" s="97" customFormat="1" ht="12.6" x14ac:dyDescent="0.25">
      <c r="D370" s="32" t="s">
        <v>151</v>
      </c>
      <c r="H370" s="101"/>
      <c r="J370" s="98"/>
      <c r="L370" s="99"/>
      <c r="M370" s="101"/>
      <c r="N370" s="101"/>
      <c r="O370" s="101"/>
      <c r="P370" s="101"/>
      <c r="Q370" s="101"/>
      <c r="R370" s="101"/>
      <c r="S370" s="101"/>
      <c r="T370" s="101"/>
      <c r="U370" s="101"/>
      <c r="V370" s="101"/>
      <c r="W370" s="101"/>
      <c r="X370" s="101"/>
      <c r="Y370" s="101"/>
      <c r="Z370" s="101"/>
      <c r="AA370" s="101"/>
      <c r="AB370" s="101"/>
      <c r="AC370" s="101"/>
      <c r="AD370" s="101"/>
      <c r="AE370" s="101"/>
      <c r="AF370" s="101"/>
      <c r="AG370" s="101"/>
      <c r="AH370" s="101"/>
      <c r="AI370" s="101"/>
      <c r="AJ370" s="101"/>
      <c r="AK370" s="101"/>
      <c r="AL370" s="101"/>
      <c r="AM370" s="101"/>
      <c r="AN370" s="101"/>
      <c r="AO370" s="101"/>
    </row>
    <row r="371" spans="1:41" s="97" customFormat="1" x14ac:dyDescent="0.2">
      <c r="E371" s="97" t="s">
        <v>150</v>
      </c>
      <c r="H371" s="101"/>
      <c r="J371" s="98" t="s">
        <v>1205</v>
      </c>
      <c r="L371" s="99" t="s">
        <v>176</v>
      </c>
      <c r="M371" s="101"/>
      <c r="N371" s="101"/>
      <c r="O371" s="101"/>
      <c r="P371" s="101"/>
      <c r="Q371" s="181"/>
      <c r="R371" s="21">
        <f t="shared" ref="R371:AD371" si="155">IF(AND(Inputs_Basecase_TL5_Availability_Start_Date&gt;Q$5,Inputs_Basecase_TL5_Availability_Start_Date&lt;R$5),-Inputs_Basecase_TL5_Arrangement_Fee*Inputs_Basecase_TL5_Maximum_Facility,0)</f>
        <v>0</v>
      </c>
      <c r="S371" s="101">
        <f t="shared" si="155"/>
        <v>0</v>
      </c>
      <c r="T371" s="21">
        <f t="shared" si="155"/>
        <v>0</v>
      </c>
      <c r="U371" s="21">
        <f t="shared" si="155"/>
        <v>0</v>
      </c>
      <c r="V371" s="21">
        <f t="shared" si="155"/>
        <v>0</v>
      </c>
      <c r="W371" s="21">
        <f t="shared" si="155"/>
        <v>0</v>
      </c>
      <c r="X371" s="21">
        <f t="shared" si="155"/>
        <v>0</v>
      </c>
      <c r="Y371" s="21">
        <f t="shared" si="155"/>
        <v>0</v>
      </c>
      <c r="Z371" s="21">
        <f t="shared" si="155"/>
        <v>0</v>
      </c>
      <c r="AA371" s="21">
        <f t="shared" si="155"/>
        <v>0</v>
      </c>
      <c r="AB371" s="21">
        <f t="shared" si="155"/>
        <v>0</v>
      </c>
      <c r="AC371" s="21">
        <f t="shared" si="155"/>
        <v>0</v>
      </c>
      <c r="AD371" s="21">
        <f t="shared" si="155"/>
        <v>0</v>
      </c>
      <c r="AE371" s="181"/>
      <c r="AF371" s="181"/>
      <c r="AG371" s="181"/>
      <c r="AH371" s="181"/>
      <c r="AI371" s="181"/>
      <c r="AJ371" s="181"/>
      <c r="AK371" s="181"/>
      <c r="AL371" s="181"/>
      <c r="AM371" s="181"/>
      <c r="AN371" s="181"/>
      <c r="AO371" s="181"/>
    </row>
    <row r="372" spans="1:41" s="97" customFormat="1" x14ac:dyDescent="0.2">
      <c r="E372" s="97" t="s">
        <v>149</v>
      </c>
      <c r="H372" s="101"/>
      <c r="J372" s="98" t="s">
        <v>1205</v>
      </c>
      <c r="L372" s="99" t="s">
        <v>175</v>
      </c>
      <c r="M372" s="101"/>
      <c r="N372" s="101"/>
      <c r="O372" s="101"/>
      <c r="P372" s="101"/>
      <c r="Q372" s="101"/>
      <c r="R372" s="101">
        <f t="shared" ref="R372:AD372" si="156">-((Q347+R347)/2)*(R342*R368)</f>
        <v>0</v>
      </c>
      <c r="S372" s="101">
        <f t="shared" si="156"/>
        <v>0</v>
      </c>
      <c r="T372" s="101">
        <f t="shared" si="156"/>
        <v>0</v>
      </c>
      <c r="U372" s="101">
        <f t="shared" si="156"/>
        <v>0</v>
      </c>
      <c r="V372" s="101">
        <f t="shared" si="156"/>
        <v>0</v>
      </c>
      <c r="W372" s="101">
        <f t="shared" si="156"/>
        <v>0</v>
      </c>
      <c r="X372" s="101">
        <f t="shared" si="156"/>
        <v>0</v>
      </c>
      <c r="Y372" s="101">
        <f t="shared" si="156"/>
        <v>0</v>
      </c>
      <c r="Z372" s="101">
        <f t="shared" si="156"/>
        <v>0</v>
      </c>
      <c r="AA372" s="101">
        <f t="shared" si="156"/>
        <v>0</v>
      </c>
      <c r="AB372" s="101">
        <f t="shared" si="156"/>
        <v>0</v>
      </c>
      <c r="AC372" s="101">
        <f t="shared" si="156"/>
        <v>0</v>
      </c>
      <c r="AD372" s="101">
        <f t="shared" si="156"/>
        <v>0</v>
      </c>
      <c r="AE372" s="101"/>
      <c r="AF372" s="101"/>
      <c r="AG372" s="101"/>
      <c r="AH372" s="101"/>
      <c r="AI372" s="101"/>
      <c r="AJ372" s="101"/>
      <c r="AK372" s="101"/>
      <c r="AL372" s="101"/>
      <c r="AM372" s="101"/>
      <c r="AN372" s="101"/>
      <c r="AO372" s="101"/>
    </row>
    <row r="373" spans="1:41" s="97" customFormat="1" x14ac:dyDescent="0.2">
      <c r="E373" s="28" t="s">
        <v>148</v>
      </c>
      <c r="F373" s="28"/>
      <c r="G373" s="28"/>
      <c r="H373" s="100"/>
      <c r="I373" s="28"/>
      <c r="J373" s="29" t="s">
        <v>1205</v>
      </c>
      <c r="K373" s="28"/>
      <c r="L373" s="30"/>
      <c r="M373" s="100"/>
      <c r="N373" s="100"/>
      <c r="O373" s="100"/>
      <c r="P373" s="100"/>
      <c r="Q373" s="100"/>
      <c r="R373" s="100">
        <f t="shared" ref="R373:AD373" si="157">R371+R372</f>
        <v>0</v>
      </c>
      <c r="S373" s="100">
        <f t="shared" si="157"/>
        <v>0</v>
      </c>
      <c r="T373" s="100">
        <f t="shared" si="157"/>
        <v>0</v>
      </c>
      <c r="U373" s="100">
        <f t="shared" si="157"/>
        <v>0</v>
      </c>
      <c r="V373" s="100">
        <f t="shared" si="157"/>
        <v>0</v>
      </c>
      <c r="W373" s="100">
        <f t="shared" si="157"/>
        <v>0</v>
      </c>
      <c r="X373" s="100">
        <f t="shared" si="157"/>
        <v>0</v>
      </c>
      <c r="Y373" s="100">
        <f t="shared" si="157"/>
        <v>0</v>
      </c>
      <c r="Z373" s="100">
        <f t="shared" si="157"/>
        <v>0</v>
      </c>
      <c r="AA373" s="100">
        <f t="shared" si="157"/>
        <v>0</v>
      </c>
      <c r="AB373" s="100">
        <f t="shared" si="157"/>
        <v>0</v>
      </c>
      <c r="AC373" s="100">
        <f t="shared" si="157"/>
        <v>0</v>
      </c>
      <c r="AD373" s="100">
        <f t="shared" si="157"/>
        <v>0</v>
      </c>
      <c r="AE373" s="101"/>
      <c r="AF373" s="101"/>
      <c r="AG373" s="101"/>
      <c r="AH373" s="101"/>
      <c r="AI373" s="101"/>
      <c r="AJ373" s="101"/>
      <c r="AK373" s="101"/>
      <c r="AL373" s="101"/>
      <c r="AM373" s="101"/>
      <c r="AN373" s="101"/>
      <c r="AO373" s="101"/>
    </row>
    <row r="374" spans="1:41" s="97" customFormat="1" x14ac:dyDescent="0.2">
      <c r="E374" s="20"/>
      <c r="H374" s="101"/>
      <c r="J374" s="98"/>
      <c r="L374" s="99"/>
      <c r="M374" s="101"/>
      <c r="N374" s="101"/>
      <c r="O374" s="101"/>
      <c r="P374" s="101"/>
      <c r="Q374" s="113"/>
      <c r="R374" s="113"/>
      <c r="S374" s="113"/>
      <c r="T374" s="113"/>
      <c r="U374" s="113"/>
      <c r="V374" s="113"/>
      <c r="W374" s="113"/>
      <c r="X374" s="113"/>
      <c r="Y374" s="113"/>
      <c r="Z374" s="113"/>
      <c r="AA374" s="113"/>
      <c r="AB374" s="113"/>
      <c r="AC374" s="113"/>
      <c r="AD374" s="113"/>
      <c r="AE374" s="113"/>
      <c r="AF374" s="113"/>
      <c r="AG374" s="113"/>
      <c r="AH374" s="113"/>
      <c r="AI374" s="113"/>
      <c r="AJ374" s="113"/>
      <c r="AK374" s="113"/>
      <c r="AL374" s="113"/>
      <c r="AM374" s="113"/>
      <c r="AN374" s="113"/>
      <c r="AO374" s="113"/>
    </row>
    <row r="375" spans="1:41" s="97" customFormat="1" ht="12.6" x14ac:dyDescent="0.25">
      <c r="D375" s="27" t="s">
        <v>147</v>
      </c>
      <c r="E375" s="28"/>
      <c r="F375" s="28"/>
      <c r="G375" s="28"/>
      <c r="H375" s="100"/>
      <c r="I375" s="28"/>
      <c r="J375" s="29" t="s">
        <v>1205</v>
      </c>
      <c r="K375" s="28"/>
      <c r="L375" s="30" t="s">
        <v>174</v>
      </c>
      <c r="M375" s="100"/>
      <c r="N375" s="100"/>
      <c r="O375" s="100"/>
      <c r="P375" s="100"/>
      <c r="Q375" s="100"/>
      <c r="R375" s="100">
        <f t="shared" ref="R375:AD375" si="158">-((R350+R352)/2)*(R340*R368)</f>
        <v>0</v>
      </c>
      <c r="S375" s="100" t="e">
        <f t="shared" si="158"/>
        <v>#NAME?</v>
      </c>
      <c r="T375" s="100" t="e">
        <f t="shared" si="158"/>
        <v>#NAME?</v>
      </c>
      <c r="U375" s="100" t="e">
        <f t="shared" si="158"/>
        <v>#NAME?</v>
      </c>
      <c r="V375" s="100" t="e">
        <f t="shared" si="158"/>
        <v>#NAME?</v>
      </c>
      <c r="W375" s="100" t="e">
        <f t="shared" si="158"/>
        <v>#NAME?</v>
      </c>
      <c r="X375" s="100" t="e">
        <f t="shared" si="158"/>
        <v>#NAME?</v>
      </c>
      <c r="Y375" s="100" t="e">
        <f t="shared" si="158"/>
        <v>#NAME?</v>
      </c>
      <c r="Z375" s="100" t="e">
        <f t="shared" si="158"/>
        <v>#NAME?</v>
      </c>
      <c r="AA375" s="100" t="e">
        <f t="shared" si="158"/>
        <v>#NAME?</v>
      </c>
      <c r="AB375" s="100" t="e">
        <f t="shared" si="158"/>
        <v>#NAME?</v>
      </c>
      <c r="AC375" s="100" t="e">
        <f t="shared" si="158"/>
        <v>#NAME?</v>
      </c>
      <c r="AD375" s="100" t="e">
        <f t="shared" si="158"/>
        <v>#NAME?</v>
      </c>
      <c r="AE375" s="101"/>
      <c r="AF375" s="101"/>
      <c r="AG375" s="101"/>
      <c r="AH375" s="101"/>
      <c r="AI375" s="101"/>
      <c r="AJ375" s="101"/>
      <c r="AK375" s="101"/>
      <c r="AL375" s="101"/>
      <c r="AM375" s="101"/>
      <c r="AN375" s="101"/>
      <c r="AO375" s="101"/>
    </row>
    <row r="376" spans="1:41" s="97" customFormat="1" ht="12.6" x14ac:dyDescent="0.25">
      <c r="D376" s="32"/>
      <c r="H376" s="101"/>
      <c r="J376" s="98"/>
      <c r="L376" s="99"/>
      <c r="M376" s="101"/>
      <c r="N376" s="101"/>
      <c r="O376" s="101"/>
      <c r="P376" s="101"/>
      <c r="Q376" s="101"/>
      <c r="R376" s="101"/>
      <c r="S376" s="101"/>
      <c r="T376" s="101"/>
      <c r="U376" s="101"/>
      <c r="V376" s="101"/>
      <c r="W376" s="101"/>
      <c r="X376" s="101"/>
      <c r="Y376" s="101"/>
      <c r="Z376" s="101"/>
      <c r="AA376" s="101"/>
      <c r="AB376" s="101"/>
      <c r="AC376" s="101"/>
      <c r="AD376" s="101"/>
      <c r="AE376" s="101"/>
      <c r="AF376" s="101"/>
      <c r="AG376" s="101"/>
      <c r="AH376" s="101"/>
      <c r="AI376" s="101"/>
      <c r="AJ376" s="101"/>
      <c r="AK376" s="101"/>
      <c r="AL376" s="101"/>
      <c r="AM376" s="101"/>
      <c r="AN376" s="101"/>
      <c r="AO376" s="101"/>
    </row>
    <row r="377" spans="1:41" s="97" customFormat="1" ht="12.6" x14ac:dyDescent="0.25">
      <c r="D377" s="32"/>
      <c r="H377" s="101"/>
      <c r="J377" s="98"/>
      <c r="L377" s="99"/>
      <c r="M377" s="101"/>
      <c r="N377" s="101"/>
      <c r="O377" s="101"/>
      <c r="P377" s="101"/>
      <c r="Q377" s="101"/>
      <c r="R377" s="101"/>
      <c r="S377" s="101"/>
      <c r="T377" s="101"/>
      <c r="U377" s="101"/>
      <c r="V377" s="101"/>
      <c r="W377" s="101"/>
      <c r="X377" s="101"/>
      <c r="Y377" s="101"/>
      <c r="Z377" s="101"/>
      <c r="AA377" s="101"/>
      <c r="AB377" s="101"/>
      <c r="AC377" s="101"/>
      <c r="AD377" s="101"/>
      <c r="AE377" s="101"/>
      <c r="AF377" s="101"/>
      <c r="AG377" s="101"/>
      <c r="AH377" s="101"/>
      <c r="AI377" s="101"/>
      <c r="AJ377" s="101"/>
      <c r="AK377" s="101"/>
      <c r="AL377" s="101"/>
      <c r="AM377" s="101"/>
      <c r="AN377" s="101"/>
      <c r="AO377" s="101"/>
    </row>
    <row r="378" spans="1:41" s="97" customFormat="1" ht="12.6" x14ac:dyDescent="0.25">
      <c r="D378" s="32"/>
      <c r="H378" s="101"/>
      <c r="J378" s="98"/>
      <c r="L378" s="99"/>
      <c r="M378" s="101"/>
      <c r="N378" s="101"/>
      <c r="O378" s="101"/>
      <c r="P378" s="101"/>
      <c r="Q378" s="101"/>
      <c r="R378" s="101"/>
      <c r="S378" s="101"/>
      <c r="T378" s="101"/>
      <c r="U378" s="101"/>
      <c r="V378" s="101"/>
      <c r="W378" s="101"/>
      <c r="X378" s="101"/>
      <c r="Y378" s="101"/>
      <c r="Z378" s="101"/>
      <c r="AA378" s="101"/>
      <c r="AB378" s="101"/>
      <c r="AC378" s="101"/>
      <c r="AD378" s="101"/>
      <c r="AE378" s="101"/>
      <c r="AF378" s="101"/>
      <c r="AG378" s="101"/>
      <c r="AH378" s="101"/>
      <c r="AI378" s="101"/>
      <c r="AJ378" s="101"/>
      <c r="AK378" s="101"/>
      <c r="AL378" s="101"/>
      <c r="AM378" s="101"/>
      <c r="AN378" s="101"/>
      <c r="AO378" s="101"/>
    </row>
    <row r="379" spans="1:41" s="97" customFormat="1" ht="12.6" hidden="1" outlineLevel="1" thickTop="1" x14ac:dyDescent="0.2">
      <c r="A379" s="1"/>
      <c r="B379" s="20"/>
      <c r="C379" s="337" t="s">
        <v>526</v>
      </c>
      <c r="D379" s="337"/>
      <c r="E379" s="338"/>
      <c r="F379" s="338"/>
      <c r="G379" s="338"/>
      <c r="H379" s="338"/>
      <c r="I379" s="338"/>
      <c r="J379" s="340"/>
      <c r="K379" s="338"/>
      <c r="L379" s="342"/>
      <c r="M379" s="338"/>
      <c r="N379" s="343"/>
      <c r="O379" s="343"/>
      <c r="P379" s="343"/>
      <c r="Q379" s="343"/>
      <c r="R379" s="343"/>
      <c r="S379" s="343"/>
      <c r="T379" s="343"/>
      <c r="U379" s="343"/>
      <c r="V379" s="343"/>
      <c r="W379" s="343"/>
      <c r="X379" s="343"/>
      <c r="Y379" s="343"/>
      <c r="Z379" s="343"/>
      <c r="AA379" s="343"/>
      <c r="AB379" s="343"/>
      <c r="AC379" s="343"/>
      <c r="AD379" s="343"/>
      <c r="AE379" s="101"/>
      <c r="AF379" s="101"/>
      <c r="AG379" s="101"/>
      <c r="AH379" s="101"/>
      <c r="AI379" s="101"/>
      <c r="AJ379" s="101"/>
      <c r="AK379" s="101"/>
      <c r="AL379" s="101"/>
      <c r="AM379" s="101"/>
      <c r="AN379" s="101"/>
      <c r="AO379" s="101"/>
    </row>
    <row r="380" spans="1:41" s="97" customFormat="1" ht="12.6" hidden="1" outlineLevel="1" x14ac:dyDescent="0.25">
      <c r="C380" s="20"/>
      <c r="D380" s="32"/>
      <c r="H380" s="101"/>
      <c r="J380" s="98"/>
      <c r="L380" s="99"/>
      <c r="M380" s="101"/>
      <c r="N380" s="101"/>
      <c r="O380" s="101"/>
      <c r="P380" s="84"/>
      <c r="Q380" s="101"/>
      <c r="R380" s="101"/>
      <c r="S380" s="101"/>
      <c r="T380" s="101"/>
      <c r="U380" s="101"/>
      <c r="V380" s="101"/>
      <c r="W380" s="101"/>
      <c r="X380" s="101"/>
      <c r="Y380" s="101"/>
      <c r="Z380" s="101"/>
      <c r="AA380" s="101"/>
      <c r="AB380" s="101"/>
      <c r="AC380" s="101"/>
      <c r="AD380" s="101"/>
      <c r="AE380" s="101"/>
      <c r="AF380" s="101"/>
      <c r="AG380" s="101"/>
      <c r="AH380" s="101"/>
      <c r="AI380" s="101"/>
      <c r="AJ380" s="101"/>
      <c r="AK380" s="101"/>
      <c r="AL380" s="101"/>
      <c r="AM380" s="101"/>
      <c r="AN380" s="101"/>
      <c r="AO380" s="101"/>
    </row>
    <row r="381" spans="1:41" s="97" customFormat="1" ht="12.6" hidden="1" outlineLevel="1" x14ac:dyDescent="0.25">
      <c r="C381" s="20"/>
      <c r="D381" s="32" t="s">
        <v>173</v>
      </c>
      <c r="E381" s="32"/>
      <c r="G381" s="184"/>
      <c r="H381" s="101"/>
      <c r="J381" s="98" t="s">
        <v>1205</v>
      </c>
      <c r="L381" s="99"/>
      <c r="M381" s="101"/>
      <c r="N381" s="101"/>
      <c r="O381" s="101"/>
      <c r="P381" s="84"/>
      <c r="Q381" s="101"/>
      <c r="R381" s="101"/>
      <c r="S381" s="101">
        <f t="shared" ref="S381:AD381" si="159">Inputs_TL7_Maximum_Facility</f>
        <v>0</v>
      </c>
      <c r="T381" s="101">
        <f t="shared" si="159"/>
        <v>0</v>
      </c>
      <c r="U381" s="101">
        <f t="shared" si="159"/>
        <v>0</v>
      </c>
      <c r="V381" s="101">
        <f t="shared" si="159"/>
        <v>0</v>
      </c>
      <c r="W381" s="101">
        <f t="shared" si="159"/>
        <v>0</v>
      </c>
      <c r="X381" s="101">
        <f t="shared" si="159"/>
        <v>0</v>
      </c>
      <c r="Y381" s="101">
        <f t="shared" si="159"/>
        <v>0</v>
      </c>
      <c r="Z381" s="101">
        <f t="shared" si="159"/>
        <v>0</v>
      </c>
      <c r="AA381" s="101">
        <f t="shared" si="159"/>
        <v>0</v>
      </c>
      <c r="AB381" s="101">
        <f t="shared" si="159"/>
        <v>0</v>
      </c>
      <c r="AC381" s="101">
        <f t="shared" si="159"/>
        <v>0</v>
      </c>
      <c r="AD381" s="101">
        <f t="shared" si="159"/>
        <v>0</v>
      </c>
      <c r="AE381" s="101"/>
      <c r="AF381" s="101"/>
      <c r="AG381" s="101"/>
      <c r="AH381" s="101"/>
      <c r="AI381" s="101"/>
      <c r="AJ381" s="101"/>
      <c r="AK381" s="101"/>
      <c r="AL381" s="101"/>
      <c r="AM381" s="101"/>
      <c r="AN381" s="101"/>
      <c r="AO381" s="101"/>
    </row>
    <row r="382" spans="1:41" s="97" customFormat="1" ht="12.6" hidden="1" outlineLevel="1" x14ac:dyDescent="0.25">
      <c r="C382" s="20"/>
      <c r="D382" s="32"/>
      <c r="H382" s="101"/>
      <c r="J382" s="98"/>
      <c r="L382" s="99"/>
      <c r="M382" s="101"/>
      <c r="N382" s="101"/>
      <c r="O382" s="101"/>
      <c r="P382" s="84"/>
      <c r="Q382" s="101"/>
      <c r="AE382" s="101"/>
      <c r="AF382" s="101"/>
      <c r="AG382" s="101"/>
      <c r="AH382" s="101"/>
      <c r="AI382" s="101"/>
      <c r="AJ382" s="101"/>
      <c r="AK382" s="101"/>
      <c r="AL382" s="101"/>
      <c r="AM382" s="101"/>
      <c r="AN382" s="101"/>
      <c r="AO382" s="101"/>
    </row>
    <row r="383" spans="1:41" s="97" customFormat="1" ht="12.6" hidden="1" outlineLevel="1" x14ac:dyDescent="0.25">
      <c r="D383" s="32" t="s">
        <v>172</v>
      </c>
      <c r="H383" s="101"/>
      <c r="J383" s="98"/>
      <c r="L383" s="99"/>
      <c r="M383" s="101"/>
      <c r="N383" s="101"/>
      <c r="O383" s="101"/>
      <c r="P383" s="101"/>
      <c r="Q383" s="101"/>
      <c r="R383" s="101"/>
      <c r="S383" s="101"/>
      <c r="T383" s="101"/>
      <c r="U383" s="101"/>
      <c r="V383" s="101"/>
      <c r="W383" s="101"/>
      <c r="X383" s="101"/>
      <c r="Y383" s="101"/>
      <c r="Z383" s="101"/>
      <c r="AA383" s="101"/>
      <c r="AB383" s="101"/>
      <c r="AC383" s="101"/>
      <c r="AD383" s="101"/>
      <c r="AE383" s="101"/>
      <c r="AF383" s="101"/>
      <c r="AG383" s="101"/>
      <c r="AH383" s="101"/>
      <c r="AI383" s="101"/>
      <c r="AJ383" s="101"/>
      <c r="AK383" s="101"/>
      <c r="AL383" s="101"/>
      <c r="AM383" s="101"/>
      <c r="AN383" s="101"/>
      <c r="AO383" s="101"/>
    </row>
    <row r="384" spans="1:41" s="97" customFormat="1" hidden="1" outlineLevel="1" x14ac:dyDescent="0.2">
      <c r="E384" s="97" t="s">
        <v>66</v>
      </c>
      <c r="H384" s="101"/>
      <c r="J384" s="98" t="s">
        <v>49</v>
      </c>
      <c r="L384" s="99"/>
      <c r="N384" s="109"/>
      <c r="O384" s="109"/>
      <c r="P384" s="109"/>
      <c r="Q384" s="109"/>
      <c r="R384" s="24"/>
      <c r="S384" s="24" t="e">
        <f t="shared" ref="S384:AD384" si="160">Inputs_Basecase_Saibor</f>
        <v>#NAME?</v>
      </c>
      <c r="T384" s="24" t="e">
        <f t="shared" si="160"/>
        <v>#NAME?</v>
      </c>
      <c r="U384" s="24" t="e">
        <f t="shared" si="160"/>
        <v>#NAME?</v>
      </c>
      <c r="V384" s="24" t="e">
        <f t="shared" si="160"/>
        <v>#NAME?</v>
      </c>
      <c r="W384" s="24" t="e">
        <f t="shared" si="160"/>
        <v>#NAME?</v>
      </c>
      <c r="X384" s="24" t="e">
        <f t="shared" si="160"/>
        <v>#NAME?</v>
      </c>
      <c r="Y384" s="24" t="e">
        <f t="shared" si="160"/>
        <v>#NAME?</v>
      </c>
      <c r="Z384" s="24" t="e">
        <f t="shared" si="160"/>
        <v>#NAME?</v>
      </c>
      <c r="AA384" s="24" t="e">
        <f t="shared" si="160"/>
        <v>#NAME?</v>
      </c>
      <c r="AB384" s="24" t="e">
        <f t="shared" si="160"/>
        <v>#NAME?</v>
      </c>
      <c r="AC384" s="24" t="e">
        <f t="shared" si="160"/>
        <v>#NAME?</v>
      </c>
      <c r="AD384" s="24" t="e">
        <f t="shared" si="160"/>
        <v>#NAME?</v>
      </c>
      <c r="AE384" s="24"/>
      <c r="AF384" s="109"/>
      <c r="AG384" s="109"/>
      <c r="AH384" s="109"/>
      <c r="AI384" s="109"/>
      <c r="AJ384" s="109"/>
      <c r="AK384" s="109"/>
      <c r="AL384" s="109"/>
      <c r="AM384" s="109"/>
      <c r="AN384" s="109"/>
      <c r="AO384" s="109"/>
    </row>
    <row r="385" spans="3:41" s="97" customFormat="1" hidden="1" outlineLevel="1" x14ac:dyDescent="0.2">
      <c r="E385" s="97" t="s">
        <v>171</v>
      </c>
      <c r="H385" s="101"/>
      <c r="J385" s="98" t="s">
        <v>49</v>
      </c>
      <c r="L385" s="99"/>
      <c r="M385" s="101"/>
      <c r="N385" s="101"/>
      <c r="O385" s="101"/>
      <c r="P385" s="101"/>
      <c r="Q385" s="101"/>
      <c r="R385" s="96"/>
      <c r="S385" s="96">
        <f t="shared" ref="S385:AD385" si="161">Inputs_TL7_Margin</f>
        <v>8.9999999999999993E-3</v>
      </c>
      <c r="T385" s="96">
        <f t="shared" si="161"/>
        <v>8.9999999999999993E-3</v>
      </c>
      <c r="U385" s="96">
        <f t="shared" si="161"/>
        <v>8.9999999999999993E-3</v>
      </c>
      <c r="V385" s="96">
        <f t="shared" si="161"/>
        <v>8.9999999999999993E-3</v>
      </c>
      <c r="W385" s="96">
        <f t="shared" si="161"/>
        <v>8.9999999999999993E-3</v>
      </c>
      <c r="X385" s="96">
        <f t="shared" si="161"/>
        <v>0.01</v>
      </c>
      <c r="Y385" s="96">
        <f t="shared" si="161"/>
        <v>0.01</v>
      </c>
      <c r="Z385" s="96">
        <f t="shared" si="161"/>
        <v>0.01</v>
      </c>
      <c r="AA385" s="96">
        <f t="shared" si="161"/>
        <v>0.01</v>
      </c>
      <c r="AB385" s="96">
        <f t="shared" si="161"/>
        <v>0.01</v>
      </c>
      <c r="AC385" s="96">
        <f t="shared" si="161"/>
        <v>1.0999999999999999E-2</v>
      </c>
      <c r="AD385" s="96">
        <f t="shared" si="161"/>
        <v>1.0999999999999999E-2</v>
      </c>
      <c r="AE385" s="96"/>
      <c r="AF385" s="101"/>
      <c r="AG385" s="101"/>
      <c r="AH385" s="101"/>
      <c r="AI385" s="101"/>
      <c r="AJ385" s="101"/>
      <c r="AK385" s="101"/>
      <c r="AL385" s="101"/>
      <c r="AM385" s="101"/>
      <c r="AN385" s="101"/>
      <c r="AO385" s="101"/>
    </row>
    <row r="386" spans="3:41" s="97" customFormat="1" ht="12.6" hidden="1" outlineLevel="1" x14ac:dyDescent="0.25">
      <c r="C386" s="32"/>
      <c r="D386" s="32"/>
      <c r="E386" s="97" t="s">
        <v>170</v>
      </c>
      <c r="H386" s="101"/>
      <c r="J386" s="98" t="s">
        <v>49</v>
      </c>
      <c r="L386" s="99"/>
      <c r="N386" s="101"/>
      <c r="O386" s="101"/>
      <c r="P386" s="101"/>
      <c r="Q386" s="34"/>
      <c r="R386" s="24"/>
      <c r="S386" s="24" t="e">
        <f t="shared" ref="S386:AD386" si="162">+S385+S384</f>
        <v>#NAME?</v>
      </c>
      <c r="T386" s="24" t="e">
        <f t="shared" si="162"/>
        <v>#NAME?</v>
      </c>
      <c r="U386" s="24" t="e">
        <f t="shared" si="162"/>
        <v>#NAME?</v>
      </c>
      <c r="V386" s="24" t="e">
        <f t="shared" si="162"/>
        <v>#NAME?</v>
      </c>
      <c r="W386" s="24" t="e">
        <f t="shared" si="162"/>
        <v>#NAME?</v>
      </c>
      <c r="X386" s="24" t="e">
        <f t="shared" si="162"/>
        <v>#NAME?</v>
      </c>
      <c r="Y386" s="24" t="e">
        <f t="shared" si="162"/>
        <v>#NAME?</v>
      </c>
      <c r="Z386" s="24" t="e">
        <f t="shared" si="162"/>
        <v>#NAME?</v>
      </c>
      <c r="AA386" s="24" t="e">
        <f t="shared" si="162"/>
        <v>#NAME?</v>
      </c>
      <c r="AB386" s="24" t="e">
        <f t="shared" si="162"/>
        <v>#NAME?</v>
      </c>
      <c r="AC386" s="24" t="e">
        <f t="shared" si="162"/>
        <v>#NAME?</v>
      </c>
      <c r="AD386" s="24" t="e">
        <f t="shared" si="162"/>
        <v>#NAME?</v>
      </c>
      <c r="AE386" s="24"/>
      <c r="AF386" s="34"/>
      <c r="AG386" s="34"/>
      <c r="AH386" s="34"/>
      <c r="AI386" s="34"/>
      <c r="AJ386" s="34"/>
      <c r="AK386" s="34"/>
      <c r="AL386" s="34"/>
      <c r="AM386" s="34"/>
      <c r="AN386" s="34"/>
      <c r="AO386" s="34"/>
    </row>
    <row r="387" spans="3:41" s="97" customFormat="1" ht="12.6" hidden="1" outlineLevel="1" x14ac:dyDescent="0.25">
      <c r="C387" s="20"/>
      <c r="D387" s="32"/>
      <c r="E387" s="27" t="s">
        <v>169</v>
      </c>
      <c r="F387" s="28"/>
      <c r="G387" s="28"/>
      <c r="H387" s="100"/>
      <c r="I387" s="28"/>
      <c r="J387" s="29" t="s">
        <v>49</v>
      </c>
      <c r="K387" s="28"/>
      <c r="L387" s="30"/>
      <c r="M387" s="100"/>
      <c r="N387" s="100"/>
      <c r="O387" s="100"/>
      <c r="P387" s="88"/>
      <c r="Q387" s="100"/>
      <c r="R387" s="183"/>
      <c r="S387" s="183" t="e">
        <f t="shared" ref="S387:AD387" si="163">((1+(S385+S384))^(1/12))-1</f>
        <v>#NAME?</v>
      </c>
      <c r="T387" s="183" t="e">
        <f t="shared" si="163"/>
        <v>#NAME?</v>
      </c>
      <c r="U387" s="183" t="e">
        <f t="shared" si="163"/>
        <v>#NAME?</v>
      </c>
      <c r="V387" s="183" t="e">
        <f t="shared" si="163"/>
        <v>#NAME?</v>
      </c>
      <c r="W387" s="183" t="e">
        <f t="shared" si="163"/>
        <v>#NAME?</v>
      </c>
      <c r="X387" s="183" t="e">
        <f t="shared" si="163"/>
        <v>#NAME?</v>
      </c>
      <c r="Y387" s="183" t="e">
        <f t="shared" si="163"/>
        <v>#NAME?</v>
      </c>
      <c r="Z387" s="183" t="e">
        <f t="shared" si="163"/>
        <v>#NAME?</v>
      </c>
      <c r="AA387" s="183" t="e">
        <f t="shared" si="163"/>
        <v>#NAME?</v>
      </c>
      <c r="AB387" s="183" t="e">
        <f t="shared" si="163"/>
        <v>#NAME?</v>
      </c>
      <c r="AC387" s="183" t="e">
        <f t="shared" si="163"/>
        <v>#NAME?</v>
      </c>
      <c r="AD387" s="183" t="e">
        <f t="shared" si="163"/>
        <v>#NAME?</v>
      </c>
      <c r="AE387" s="96"/>
      <c r="AF387" s="101"/>
      <c r="AG387" s="101"/>
      <c r="AH387" s="101"/>
      <c r="AI387" s="101"/>
      <c r="AJ387" s="101"/>
      <c r="AK387" s="101"/>
      <c r="AL387" s="101"/>
      <c r="AM387" s="101"/>
      <c r="AN387" s="101"/>
      <c r="AO387" s="101"/>
    </row>
    <row r="388" spans="3:41" s="97" customFormat="1" hidden="1" outlineLevel="1" x14ac:dyDescent="0.2">
      <c r="H388" s="101"/>
      <c r="J388" s="98"/>
      <c r="L388" s="99"/>
      <c r="M388" s="101"/>
      <c r="N388" s="101"/>
      <c r="O388" s="101"/>
      <c r="P388" s="101"/>
      <c r="Q388" s="101"/>
      <c r="R388" s="101"/>
      <c r="S388" s="101"/>
      <c r="T388" s="101"/>
      <c r="U388" s="101"/>
      <c r="V388" s="101"/>
      <c r="W388" s="101"/>
      <c r="X388" s="101"/>
      <c r="Y388" s="101"/>
      <c r="Z388" s="101"/>
      <c r="AA388" s="101"/>
      <c r="AB388" s="101"/>
      <c r="AC388" s="101"/>
      <c r="AD388" s="101"/>
      <c r="AE388" s="101"/>
      <c r="AF388" s="101"/>
      <c r="AG388" s="101"/>
      <c r="AH388" s="101"/>
      <c r="AI388" s="101"/>
      <c r="AJ388" s="101"/>
      <c r="AK388" s="101"/>
      <c r="AL388" s="101"/>
      <c r="AM388" s="101"/>
      <c r="AN388" s="101"/>
      <c r="AO388" s="101"/>
    </row>
    <row r="389" spans="3:41" s="97" customFormat="1" ht="12.6" hidden="1" outlineLevel="1" x14ac:dyDescent="0.25">
      <c r="E389" s="32" t="s">
        <v>168</v>
      </c>
      <c r="H389" s="101"/>
      <c r="J389" s="98" t="s">
        <v>49</v>
      </c>
      <c r="L389" s="99"/>
      <c r="N389" s="109"/>
      <c r="O389" s="109"/>
      <c r="P389" s="109"/>
      <c r="Q389" s="109"/>
      <c r="R389" s="108"/>
      <c r="S389" s="24">
        <f t="shared" ref="S389:AD389" si="164">Inputs_TL7_Commitment_Fee/12</f>
        <v>0</v>
      </c>
      <c r="T389" s="24">
        <f t="shared" si="164"/>
        <v>0</v>
      </c>
      <c r="U389" s="24">
        <f t="shared" si="164"/>
        <v>0</v>
      </c>
      <c r="V389" s="24">
        <f t="shared" si="164"/>
        <v>0</v>
      </c>
      <c r="W389" s="24">
        <f t="shared" si="164"/>
        <v>0</v>
      </c>
      <c r="X389" s="24">
        <f t="shared" si="164"/>
        <v>0</v>
      </c>
      <c r="Y389" s="24">
        <f t="shared" si="164"/>
        <v>0</v>
      </c>
      <c r="Z389" s="24">
        <f t="shared" si="164"/>
        <v>0</v>
      </c>
      <c r="AA389" s="24">
        <f t="shared" si="164"/>
        <v>0</v>
      </c>
      <c r="AB389" s="24">
        <f t="shared" si="164"/>
        <v>0</v>
      </c>
      <c r="AC389" s="24">
        <f t="shared" si="164"/>
        <v>0</v>
      </c>
      <c r="AD389" s="24">
        <f t="shared" si="164"/>
        <v>0</v>
      </c>
      <c r="AE389" s="109"/>
      <c r="AF389" s="109"/>
      <c r="AG389" s="109"/>
      <c r="AH389" s="109"/>
      <c r="AI389" s="109"/>
      <c r="AJ389" s="109"/>
      <c r="AK389" s="109"/>
      <c r="AL389" s="109"/>
      <c r="AM389" s="109"/>
      <c r="AN389" s="109"/>
      <c r="AO389" s="109"/>
    </row>
    <row r="390" spans="3:41" s="97" customFormat="1" hidden="1" outlineLevel="1" x14ac:dyDescent="0.2">
      <c r="H390" s="101"/>
      <c r="J390" s="98"/>
      <c r="L390" s="99"/>
      <c r="M390" s="101"/>
      <c r="N390" s="101"/>
      <c r="O390" s="101"/>
      <c r="P390" s="101"/>
      <c r="Q390" s="101"/>
      <c r="R390" s="101"/>
      <c r="S390" s="101"/>
      <c r="T390" s="101"/>
      <c r="U390" s="101"/>
      <c r="V390" s="101"/>
      <c r="W390" s="101"/>
      <c r="X390" s="101"/>
      <c r="Y390" s="101"/>
      <c r="Z390" s="101"/>
      <c r="AA390" s="101"/>
      <c r="AB390" s="101"/>
      <c r="AC390" s="101"/>
      <c r="AD390" s="101"/>
      <c r="AE390" s="101"/>
      <c r="AF390" s="101"/>
      <c r="AG390" s="101"/>
      <c r="AH390" s="101"/>
      <c r="AI390" s="101"/>
      <c r="AJ390" s="101"/>
      <c r="AK390" s="101"/>
      <c r="AL390" s="101"/>
      <c r="AM390" s="101"/>
      <c r="AN390" s="101"/>
      <c r="AO390" s="101"/>
    </row>
    <row r="391" spans="3:41" s="97" customFormat="1" ht="12.6" hidden="1" outlineLevel="1" x14ac:dyDescent="0.25">
      <c r="C391" s="32"/>
      <c r="D391" s="32" t="s">
        <v>167</v>
      </c>
      <c r="H391" s="101"/>
      <c r="J391" s="98" t="s">
        <v>1205</v>
      </c>
      <c r="L391" s="99" t="s">
        <v>306</v>
      </c>
      <c r="M391" s="101">
        <f>MAX(R392:AD392)</f>
        <v>0</v>
      </c>
      <c r="O391" s="101"/>
      <c r="P391" s="101"/>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row>
    <row r="392" spans="3:41" s="97" customFormat="1" ht="12.6" hidden="1" outlineLevel="1" x14ac:dyDescent="0.25">
      <c r="C392" s="20"/>
      <c r="D392" s="32" t="s">
        <v>166</v>
      </c>
      <c r="H392" s="101"/>
      <c r="J392" s="98" t="s">
        <v>1205</v>
      </c>
      <c r="L392" s="99"/>
      <c r="M392" s="101"/>
      <c r="N392" s="101"/>
      <c r="O392" s="101"/>
      <c r="P392" s="84"/>
      <c r="Q392" s="101"/>
      <c r="R392" s="101"/>
      <c r="S392" s="101">
        <f>SUM($Q398:S398)</f>
        <v>0</v>
      </c>
      <c r="T392" s="101">
        <f>SUM($Q398:T398)</f>
        <v>0</v>
      </c>
      <c r="U392" s="101">
        <f>SUM($Q398:U398)</f>
        <v>0</v>
      </c>
      <c r="V392" s="101">
        <f>SUM($Q398:V398)</f>
        <v>0</v>
      </c>
      <c r="W392" s="101">
        <f>SUM($Q398:W398)</f>
        <v>0</v>
      </c>
      <c r="X392" s="101">
        <f>SUM($Q398:X398)</f>
        <v>0</v>
      </c>
      <c r="Y392" s="101">
        <f>SUM($Q398:Y398)</f>
        <v>0</v>
      </c>
      <c r="Z392" s="101">
        <f>SUM($Q398:Z398)</f>
        <v>0</v>
      </c>
      <c r="AA392" s="101">
        <f>SUM($Q398:AA398)</f>
        <v>0</v>
      </c>
      <c r="AB392" s="101">
        <f>SUM($Q398:AB398)</f>
        <v>0</v>
      </c>
      <c r="AC392" s="101">
        <f>SUM($Q398:AC398)</f>
        <v>0</v>
      </c>
      <c r="AD392" s="101">
        <f>SUM($Q398:AD398)</f>
        <v>0</v>
      </c>
      <c r="AE392" s="101"/>
      <c r="AF392" s="101"/>
      <c r="AG392" s="101"/>
      <c r="AH392" s="101"/>
      <c r="AI392" s="101"/>
      <c r="AJ392" s="101"/>
      <c r="AK392" s="101"/>
      <c r="AL392" s="101"/>
      <c r="AM392" s="101"/>
      <c r="AN392" s="101"/>
      <c r="AO392" s="101"/>
    </row>
    <row r="393" spans="3:41" s="97" customFormat="1" hidden="1" outlineLevel="1" x14ac:dyDescent="0.2">
      <c r="H393" s="101"/>
      <c r="J393" s="98"/>
      <c r="L393" s="99"/>
      <c r="M393" s="101"/>
      <c r="N393" s="101"/>
      <c r="O393" s="101"/>
      <c r="P393" s="101"/>
      <c r="Q393" s="101"/>
      <c r="R393" s="101"/>
      <c r="S393" s="101"/>
      <c r="T393" s="101"/>
      <c r="U393" s="101"/>
      <c r="V393" s="101"/>
      <c r="W393" s="101"/>
      <c r="X393" s="101"/>
      <c r="Y393" s="101"/>
      <c r="Z393" s="101"/>
      <c r="AA393" s="101"/>
      <c r="AB393" s="101"/>
      <c r="AC393" s="101"/>
      <c r="AD393" s="101"/>
      <c r="AE393" s="101"/>
      <c r="AF393" s="101"/>
      <c r="AG393" s="101"/>
      <c r="AH393" s="101"/>
      <c r="AI393" s="101"/>
      <c r="AJ393" s="101"/>
      <c r="AK393" s="101"/>
      <c r="AL393" s="101"/>
      <c r="AM393" s="101"/>
      <c r="AN393" s="101"/>
      <c r="AO393" s="101"/>
    </row>
    <row r="394" spans="3:41" s="97" customFormat="1" ht="12.6" hidden="1" outlineLevel="1" x14ac:dyDescent="0.25">
      <c r="D394" s="32" t="s">
        <v>165</v>
      </c>
      <c r="H394" s="101"/>
      <c r="J394" s="98" t="s">
        <v>1205</v>
      </c>
      <c r="L394" s="99"/>
      <c r="N394" s="109"/>
      <c r="O394" s="109"/>
      <c r="P394" s="109"/>
      <c r="Q394" s="109"/>
      <c r="R394" s="101"/>
      <c r="S394" s="101">
        <f t="shared" ref="S394:AD394" si="165">S381-S392</f>
        <v>0</v>
      </c>
      <c r="T394" s="101">
        <f t="shared" si="165"/>
        <v>0</v>
      </c>
      <c r="U394" s="101">
        <f t="shared" si="165"/>
        <v>0</v>
      </c>
      <c r="V394" s="101">
        <f t="shared" si="165"/>
        <v>0</v>
      </c>
      <c r="W394" s="101">
        <f t="shared" si="165"/>
        <v>0</v>
      </c>
      <c r="X394" s="101">
        <f t="shared" si="165"/>
        <v>0</v>
      </c>
      <c r="Y394" s="101">
        <f t="shared" si="165"/>
        <v>0</v>
      </c>
      <c r="Z394" s="101">
        <f t="shared" si="165"/>
        <v>0</v>
      </c>
      <c r="AA394" s="101">
        <f t="shared" si="165"/>
        <v>0</v>
      </c>
      <c r="AB394" s="101">
        <f t="shared" si="165"/>
        <v>0</v>
      </c>
      <c r="AC394" s="101">
        <f t="shared" si="165"/>
        <v>0</v>
      </c>
      <c r="AD394" s="101">
        <f t="shared" si="165"/>
        <v>0</v>
      </c>
      <c r="AE394" s="109"/>
      <c r="AF394" s="109"/>
      <c r="AG394" s="109"/>
      <c r="AH394" s="109"/>
      <c r="AI394" s="109"/>
      <c r="AJ394" s="109"/>
      <c r="AK394" s="109"/>
      <c r="AL394" s="109"/>
      <c r="AM394" s="109"/>
      <c r="AN394" s="109"/>
      <c r="AO394" s="109"/>
    </row>
    <row r="395" spans="3:41" s="97" customFormat="1" hidden="1" outlineLevel="1" x14ac:dyDescent="0.2">
      <c r="H395" s="101"/>
      <c r="J395" s="98"/>
      <c r="L395" s="99"/>
      <c r="M395" s="101"/>
      <c r="N395" s="101"/>
      <c r="O395" s="101"/>
      <c r="P395" s="101"/>
      <c r="Q395" s="101"/>
      <c r="R395" s="101"/>
      <c r="S395" s="101"/>
      <c r="T395" s="101"/>
      <c r="U395" s="101"/>
      <c r="V395" s="101"/>
      <c r="W395" s="101"/>
      <c r="X395" s="101"/>
      <c r="Y395" s="101"/>
      <c r="Z395" s="101"/>
      <c r="AA395" s="101"/>
      <c r="AB395" s="101"/>
      <c r="AC395" s="101"/>
      <c r="AD395" s="101"/>
      <c r="AE395" s="101"/>
      <c r="AF395" s="101"/>
      <c r="AG395" s="101"/>
      <c r="AH395" s="101"/>
      <c r="AI395" s="101"/>
      <c r="AJ395" s="101"/>
      <c r="AK395" s="101"/>
      <c r="AL395" s="101"/>
      <c r="AM395" s="101"/>
      <c r="AN395" s="101"/>
      <c r="AO395" s="101"/>
    </row>
    <row r="396" spans="3:41" s="97" customFormat="1" ht="12.6" hidden="1" outlineLevel="1" x14ac:dyDescent="0.25">
      <c r="C396" s="32"/>
      <c r="D396" s="32" t="s">
        <v>164</v>
      </c>
      <c r="H396" s="101"/>
      <c r="J396" s="98"/>
      <c r="L396" s="99"/>
      <c r="N396" s="101"/>
      <c r="O396" s="101"/>
      <c r="P396" s="101"/>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row>
    <row r="397" spans="3:41" s="97" customFormat="1" ht="12.6" hidden="1" outlineLevel="1" x14ac:dyDescent="0.25">
      <c r="C397" s="20"/>
      <c r="D397" s="32"/>
      <c r="E397" s="97" t="s">
        <v>91</v>
      </c>
      <c r="H397" s="101"/>
      <c r="J397" s="98" t="s">
        <v>1205</v>
      </c>
      <c r="L397" s="99"/>
      <c r="M397" s="101"/>
      <c r="N397" s="101"/>
      <c r="O397" s="101"/>
      <c r="P397" s="84"/>
      <c r="Q397" s="101"/>
      <c r="R397" s="101"/>
      <c r="S397" s="101">
        <f t="shared" ref="S397:AD397" si="166">R409</f>
        <v>0</v>
      </c>
      <c r="T397" s="101" t="e">
        <f t="shared" si="166"/>
        <v>#NAME?</v>
      </c>
      <c r="U397" s="101" t="e">
        <f t="shared" si="166"/>
        <v>#NAME?</v>
      </c>
      <c r="V397" s="101" t="e">
        <f t="shared" si="166"/>
        <v>#NAME?</v>
      </c>
      <c r="W397" s="101" t="e">
        <f t="shared" si="166"/>
        <v>#NAME?</v>
      </c>
      <c r="X397" s="101" t="e">
        <f t="shared" si="166"/>
        <v>#NAME?</v>
      </c>
      <c r="Y397" s="101" t="e">
        <f t="shared" si="166"/>
        <v>#NAME?</v>
      </c>
      <c r="Z397" s="101" t="e">
        <f t="shared" si="166"/>
        <v>#NAME?</v>
      </c>
      <c r="AA397" s="101" t="e">
        <f t="shared" si="166"/>
        <v>#NAME?</v>
      </c>
      <c r="AB397" s="101" t="e">
        <f t="shared" si="166"/>
        <v>#NAME?</v>
      </c>
      <c r="AC397" s="101" t="e">
        <f t="shared" si="166"/>
        <v>#NAME?</v>
      </c>
      <c r="AD397" s="101" t="e">
        <f t="shared" si="166"/>
        <v>#NAME?</v>
      </c>
      <c r="AE397" s="101"/>
      <c r="AF397" s="101"/>
      <c r="AG397" s="101"/>
      <c r="AH397" s="101"/>
      <c r="AI397" s="101"/>
      <c r="AJ397" s="101"/>
      <c r="AK397" s="101"/>
      <c r="AL397" s="101"/>
      <c r="AM397" s="101"/>
      <c r="AN397" s="101"/>
      <c r="AO397" s="101"/>
    </row>
    <row r="398" spans="3:41" s="97" customFormat="1" hidden="1" outlineLevel="1" x14ac:dyDescent="0.2">
      <c r="E398" s="97" t="s">
        <v>163</v>
      </c>
      <c r="H398" s="101"/>
      <c r="J398" s="98" t="s">
        <v>1205</v>
      </c>
      <c r="L398" s="99" t="s">
        <v>307</v>
      </c>
      <c r="M398" s="101"/>
      <c r="N398" s="101"/>
      <c r="O398" s="101"/>
      <c r="P398" s="101"/>
      <c r="Q398" s="101">
        <f>Q409</f>
        <v>0</v>
      </c>
      <c r="R398" s="101"/>
      <c r="S398" s="101">
        <f t="shared" ref="S398:AD398" si="167">Inputs_TL7_Drawdown</f>
        <v>0</v>
      </c>
      <c r="T398" s="101">
        <f t="shared" si="167"/>
        <v>0</v>
      </c>
      <c r="U398" s="101">
        <f t="shared" si="167"/>
        <v>0</v>
      </c>
      <c r="V398" s="101">
        <f t="shared" si="167"/>
        <v>0</v>
      </c>
      <c r="W398" s="101">
        <f t="shared" si="167"/>
        <v>0</v>
      </c>
      <c r="X398" s="101">
        <f t="shared" si="167"/>
        <v>0</v>
      </c>
      <c r="Y398" s="101">
        <f t="shared" si="167"/>
        <v>0</v>
      </c>
      <c r="Z398" s="101">
        <f t="shared" si="167"/>
        <v>0</v>
      </c>
      <c r="AA398" s="101">
        <f t="shared" si="167"/>
        <v>0</v>
      </c>
      <c r="AB398" s="101">
        <f t="shared" si="167"/>
        <v>0</v>
      </c>
      <c r="AC398" s="101">
        <f t="shared" si="167"/>
        <v>0</v>
      </c>
      <c r="AD398" s="101">
        <f t="shared" si="167"/>
        <v>0</v>
      </c>
      <c r="AE398" s="101"/>
      <c r="AF398" s="101"/>
      <c r="AG398" s="101"/>
      <c r="AH398" s="101"/>
      <c r="AI398" s="101"/>
      <c r="AJ398" s="101"/>
      <c r="AK398" s="101"/>
      <c r="AL398" s="101"/>
      <c r="AM398" s="101"/>
      <c r="AN398" s="101"/>
      <c r="AO398" s="101"/>
    </row>
    <row r="399" spans="3:41" s="97" customFormat="1" ht="12.6" hidden="1" outlineLevel="1" x14ac:dyDescent="0.25">
      <c r="E399" s="27" t="s">
        <v>162</v>
      </c>
      <c r="F399" s="28"/>
      <c r="G399" s="28"/>
      <c r="H399" s="100"/>
      <c r="I399" s="28"/>
      <c r="J399" s="29" t="s">
        <v>1205</v>
      </c>
      <c r="K399" s="28"/>
      <c r="L399" s="30"/>
      <c r="M399" s="28"/>
      <c r="N399" s="87"/>
      <c r="O399" s="87"/>
      <c r="P399" s="87"/>
      <c r="Q399" s="87"/>
      <c r="R399" s="100"/>
      <c r="S399" s="100">
        <f t="shared" ref="S399:AD399" si="168">SUM(S397:S398)</f>
        <v>0</v>
      </c>
      <c r="T399" s="100" t="e">
        <f t="shared" si="168"/>
        <v>#NAME?</v>
      </c>
      <c r="U399" s="100" t="e">
        <f t="shared" si="168"/>
        <v>#NAME?</v>
      </c>
      <c r="V399" s="100" t="e">
        <f t="shared" si="168"/>
        <v>#NAME?</v>
      </c>
      <c r="W399" s="100" t="e">
        <f t="shared" si="168"/>
        <v>#NAME?</v>
      </c>
      <c r="X399" s="100" t="e">
        <f t="shared" si="168"/>
        <v>#NAME?</v>
      </c>
      <c r="Y399" s="100" t="e">
        <f t="shared" si="168"/>
        <v>#NAME?</v>
      </c>
      <c r="Z399" s="100" t="e">
        <f t="shared" si="168"/>
        <v>#NAME?</v>
      </c>
      <c r="AA399" s="100" t="e">
        <f t="shared" si="168"/>
        <v>#NAME?</v>
      </c>
      <c r="AB399" s="100" t="e">
        <f t="shared" si="168"/>
        <v>#NAME?</v>
      </c>
      <c r="AC399" s="100" t="e">
        <f t="shared" si="168"/>
        <v>#NAME?</v>
      </c>
      <c r="AD399" s="100" t="e">
        <f t="shared" si="168"/>
        <v>#NAME?</v>
      </c>
      <c r="AE399" s="109"/>
      <c r="AF399" s="109"/>
      <c r="AG399" s="109"/>
      <c r="AH399" s="109"/>
      <c r="AI399" s="109"/>
      <c r="AJ399" s="109"/>
      <c r="AK399" s="109"/>
      <c r="AL399" s="109"/>
      <c r="AM399" s="109"/>
      <c r="AN399" s="109"/>
      <c r="AO399" s="109"/>
    </row>
    <row r="400" spans="3:41" s="97" customFormat="1" hidden="1" outlineLevel="1" x14ac:dyDescent="0.2">
      <c r="H400" s="101"/>
      <c r="J400" s="98"/>
      <c r="L400" s="99"/>
      <c r="M400" s="101"/>
      <c r="N400" s="101"/>
      <c r="O400" s="101"/>
      <c r="P400" s="101"/>
      <c r="Q400" s="101"/>
      <c r="R400" s="101"/>
      <c r="S400" s="101"/>
      <c r="T400" s="101"/>
      <c r="U400" s="101"/>
      <c r="V400" s="101"/>
      <c r="W400" s="101"/>
      <c r="X400" s="101"/>
      <c r="Y400" s="101"/>
      <c r="Z400" s="101"/>
      <c r="AA400" s="101"/>
      <c r="AB400" s="101"/>
      <c r="AC400" s="101"/>
      <c r="AD400" s="101"/>
      <c r="AE400" s="101"/>
      <c r="AF400" s="101"/>
      <c r="AG400" s="101"/>
      <c r="AH400" s="101"/>
      <c r="AI400" s="101"/>
      <c r="AJ400" s="101"/>
      <c r="AK400" s="101"/>
      <c r="AL400" s="101"/>
      <c r="AM400" s="101"/>
      <c r="AN400" s="101"/>
      <c r="AO400" s="101"/>
    </row>
    <row r="401" spans="2:41" s="97" customFormat="1" ht="12.6" hidden="1" outlineLevel="1" x14ac:dyDescent="0.25">
      <c r="D401" s="32" t="s">
        <v>161</v>
      </c>
      <c r="H401" s="101"/>
      <c r="L401" s="99"/>
      <c r="N401" s="101"/>
      <c r="O401" s="101"/>
      <c r="P401" s="101"/>
      <c r="Q401" s="101"/>
      <c r="R401" s="101"/>
      <c r="S401" s="101"/>
      <c r="T401" s="101"/>
      <c r="U401" s="101"/>
      <c r="V401" s="101"/>
      <c r="W401" s="101"/>
      <c r="X401" s="101"/>
      <c r="Y401" s="101"/>
      <c r="Z401" s="101"/>
      <c r="AA401" s="101"/>
      <c r="AB401" s="101"/>
      <c r="AC401" s="101"/>
      <c r="AD401" s="101"/>
      <c r="AE401" s="101"/>
      <c r="AF401" s="101"/>
      <c r="AG401" s="101"/>
      <c r="AH401" s="101"/>
      <c r="AI401" s="101"/>
      <c r="AJ401" s="101"/>
      <c r="AK401" s="101"/>
      <c r="AL401" s="101"/>
      <c r="AM401" s="101"/>
      <c r="AN401" s="101"/>
      <c r="AO401" s="101"/>
    </row>
    <row r="402" spans="2:41" s="97" customFormat="1" ht="12.6" hidden="1" outlineLevel="1" x14ac:dyDescent="0.25">
      <c r="C402" s="20"/>
      <c r="D402" s="32"/>
      <c r="E402" s="97" t="s">
        <v>160</v>
      </c>
      <c r="H402" s="101"/>
      <c r="J402" s="98" t="s">
        <v>1205</v>
      </c>
      <c r="L402" s="99"/>
      <c r="M402" s="101"/>
      <c r="N402" s="101"/>
      <c r="O402" s="101"/>
      <c r="P402" s="84"/>
      <c r="Q402" s="101"/>
      <c r="R402" s="108"/>
      <c r="S402" s="108">
        <f t="shared" ref="S402:AD402" si="169">Inputs_TL7_Repayment</f>
        <v>0</v>
      </c>
      <c r="T402" s="108">
        <f t="shared" si="169"/>
        <v>0</v>
      </c>
      <c r="U402" s="108">
        <f t="shared" si="169"/>
        <v>0</v>
      </c>
      <c r="V402" s="108">
        <f t="shared" si="169"/>
        <v>0</v>
      </c>
      <c r="W402" s="108">
        <f t="shared" si="169"/>
        <v>0</v>
      </c>
      <c r="X402" s="108">
        <f t="shared" si="169"/>
        <v>0</v>
      </c>
      <c r="Y402" s="108">
        <f t="shared" si="169"/>
        <v>0</v>
      </c>
      <c r="Z402" s="108">
        <f t="shared" si="169"/>
        <v>0</v>
      </c>
      <c r="AA402" s="108">
        <f t="shared" si="169"/>
        <v>0</v>
      </c>
      <c r="AB402" s="108">
        <f t="shared" si="169"/>
        <v>0</v>
      </c>
      <c r="AC402" s="108">
        <f t="shared" si="169"/>
        <v>0</v>
      </c>
      <c r="AD402" s="108">
        <f t="shared" si="169"/>
        <v>0</v>
      </c>
      <c r="AE402" s="101"/>
      <c r="AF402" s="101"/>
      <c r="AG402" s="101"/>
      <c r="AH402" s="101"/>
      <c r="AI402" s="101"/>
      <c r="AJ402" s="101"/>
      <c r="AK402" s="101"/>
      <c r="AL402" s="101"/>
      <c r="AM402" s="101"/>
      <c r="AN402" s="101"/>
      <c r="AO402" s="101"/>
    </row>
    <row r="403" spans="2:41" s="97" customFormat="1" hidden="1" outlineLevel="1" x14ac:dyDescent="0.2">
      <c r="E403" s="97" t="s">
        <v>146</v>
      </c>
      <c r="H403" s="101"/>
      <c r="J403" s="98" t="s">
        <v>1205</v>
      </c>
      <c r="L403" s="99"/>
      <c r="M403" s="101"/>
      <c r="N403" s="101"/>
      <c r="O403" s="101"/>
      <c r="P403" s="101"/>
      <c r="Q403" s="101"/>
      <c r="R403" s="101"/>
      <c r="S403" s="101" t="e">
        <f t="shared" ref="S403:AD403" si="170">-Inputs_TL7_Repayment*Finance_TL7_Total</f>
        <v>#NAME?</v>
      </c>
      <c r="T403" s="101" t="e">
        <f t="shared" si="170"/>
        <v>#NAME?</v>
      </c>
      <c r="U403" s="101" t="e">
        <f t="shared" si="170"/>
        <v>#NAME?</v>
      </c>
      <c r="V403" s="101" t="e">
        <f t="shared" si="170"/>
        <v>#NAME?</v>
      </c>
      <c r="W403" s="101" t="e">
        <f t="shared" si="170"/>
        <v>#NAME?</v>
      </c>
      <c r="X403" s="101" t="e">
        <f t="shared" si="170"/>
        <v>#NAME?</v>
      </c>
      <c r="Y403" s="101" t="e">
        <f t="shared" si="170"/>
        <v>#NAME?</v>
      </c>
      <c r="Z403" s="101" t="e">
        <f t="shared" si="170"/>
        <v>#NAME?</v>
      </c>
      <c r="AA403" s="101" t="e">
        <f t="shared" si="170"/>
        <v>#NAME?</v>
      </c>
      <c r="AB403" s="101" t="e">
        <f t="shared" si="170"/>
        <v>#NAME?</v>
      </c>
      <c r="AC403" s="101" t="e">
        <f t="shared" si="170"/>
        <v>#NAME?</v>
      </c>
      <c r="AD403" s="101" t="e">
        <f t="shared" si="170"/>
        <v>#NAME?</v>
      </c>
      <c r="AE403" s="101"/>
      <c r="AF403" s="101"/>
      <c r="AG403" s="101"/>
      <c r="AH403" s="101"/>
      <c r="AI403" s="101"/>
      <c r="AJ403" s="101"/>
      <c r="AK403" s="101"/>
      <c r="AL403" s="101"/>
      <c r="AM403" s="101"/>
      <c r="AN403" s="101"/>
      <c r="AO403" s="101"/>
    </row>
    <row r="404" spans="2:41" s="97" customFormat="1" ht="12.6" hidden="1" outlineLevel="1" x14ac:dyDescent="0.25">
      <c r="E404" s="27" t="s">
        <v>159</v>
      </c>
      <c r="F404" s="28"/>
      <c r="G404" s="28"/>
      <c r="H404" s="100"/>
      <c r="I404" s="28"/>
      <c r="J404" s="29" t="s">
        <v>1205</v>
      </c>
      <c r="K404" s="28"/>
      <c r="L404" s="30" t="s">
        <v>308</v>
      </c>
      <c r="M404" s="28"/>
      <c r="N404" s="87"/>
      <c r="O404" s="87"/>
      <c r="P404" s="87"/>
      <c r="Q404" s="87"/>
      <c r="R404" s="100"/>
      <c r="S404" s="100" t="e">
        <f t="shared" ref="S404:AD404" si="171">IF(-S403&lt;S399,S403,-S399)</f>
        <v>#NAME?</v>
      </c>
      <c r="T404" s="100" t="e">
        <f t="shared" si="171"/>
        <v>#NAME?</v>
      </c>
      <c r="U404" s="100" t="e">
        <f t="shared" si="171"/>
        <v>#NAME?</v>
      </c>
      <c r="V404" s="100" t="e">
        <f t="shared" si="171"/>
        <v>#NAME?</v>
      </c>
      <c r="W404" s="100" t="e">
        <f t="shared" si="171"/>
        <v>#NAME?</v>
      </c>
      <c r="X404" s="100" t="e">
        <f t="shared" si="171"/>
        <v>#NAME?</v>
      </c>
      <c r="Y404" s="100" t="e">
        <f t="shared" si="171"/>
        <v>#NAME?</v>
      </c>
      <c r="Z404" s="100" t="e">
        <f t="shared" si="171"/>
        <v>#NAME?</v>
      </c>
      <c r="AA404" s="100" t="e">
        <f t="shared" si="171"/>
        <v>#NAME?</v>
      </c>
      <c r="AB404" s="100" t="e">
        <f t="shared" si="171"/>
        <v>#NAME?</v>
      </c>
      <c r="AC404" s="100" t="e">
        <f t="shared" si="171"/>
        <v>#NAME?</v>
      </c>
      <c r="AD404" s="100" t="e">
        <f t="shared" si="171"/>
        <v>#NAME?</v>
      </c>
      <c r="AE404" s="109"/>
      <c r="AF404" s="109"/>
      <c r="AG404" s="109"/>
      <c r="AH404" s="109"/>
      <c r="AI404" s="109"/>
      <c r="AJ404" s="109"/>
      <c r="AK404" s="109"/>
      <c r="AL404" s="109"/>
      <c r="AM404" s="109"/>
      <c r="AN404" s="109"/>
      <c r="AO404" s="109"/>
    </row>
    <row r="405" spans="2:41" s="97" customFormat="1" hidden="1" outlineLevel="1" x14ac:dyDescent="0.2">
      <c r="H405" s="101"/>
      <c r="J405" s="98"/>
      <c r="L405" s="99"/>
      <c r="M405" s="101"/>
      <c r="N405" s="101"/>
      <c r="O405" s="101"/>
      <c r="P405" s="101"/>
      <c r="Q405" s="101"/>
      <c r="R405" s="101"/>
      <c r="S405" s="101"/>
      <c r="T405" s="101"/>
      <c r="U405" s="101"/>
      <c r="V405" s="101"/>
      <c r="W405" s="101"/>
      <c r="X405" s="101"/>
      <c r="Y405" s="101"/>
      <c r="Z405" s="101"/>
      <c r="AA405" s="101"/>
      <c r="AB405" s="101"/>
      <c r="AC405" s="101"/>
      <c r="AD405" s="101"/>
      <c r="AE405" s="101"/>
      <c r="AF405" s="101"/>
      <c r="AG405" s="101"/>
      <c r="AH405" s="101"/>
      <c r="AI405" s="101"/>
      <c r="AJ405" s="101"/>
      <c r="AK405" s="101"/>
      <c r="AL405" s="101"/>
      <c r="AM405" s="101"/>
      <c r="AN405" s="101"/>
      <c r="AO405" s="101"/>
    </row>
    <row r="406" spans="2:41" s="97" customFormat="1" ht="12.6" hidden="1" outlineLevel="1" x14ac:dyDescent="0.25">
      <c r="D406" s="27" t="s">
        <v>158</v>
      </c>
      <c r="E406" s="28"/>
      <c r="F406" s="28"/>
      <c r="G406" s="28"/>
      <c r="H406" s="100"/>
      <c r="I406" s="28"/>
      <c r="J406" s="29" t="s">
        <v>1205</v>
      </c>
      <c r="K406" s="28"/>
      <c r="L406" s="30"/>
      <c r="M406" s="100"/>
      <c r="N406" s="100"/>
      <c r="O406" s="100"/>
      <c r="P406" s="100"/>
      <c r="Q406" s="100"/>
      <c r="R406" s="100"/>
      <c r="S406" s="100" t="e">
        <f t="shared" ref="S406:AD406" si="172">S399+S404</f>
        <v>#NAME?</v>
      </c>
      <c r="T406" s="100" t="e">
        <f t="shared" si="172"/>
        <v>#NAME?</v>
      </c>
      <c r="U406" s="100" t="e">
        <f t="shared" si="172"/>
        <v>#NAME?</v>
      </c>
      <c r="V406" s="100" t="e">
        <f t="shared" si="172"/>
        <v>#NAME?</v>
      </c>
      <c r="W406" s="100" t="e">
        <f t="shared" si="172"/>
        <v>#NAME?</v>
      </c>
      <c r="X406" s="100" t="e">
        <f t="shared" si="172"/>
        <v>#NAME?</v>
      </c>
      <c r="Y406" s="100" t="e">
        <f t="shared" si="172"/>
        <v>#NAME?</v>
      </c>
      <c r="Z406" s="100" t="e">
        <f t="shared" si="172"/>
        <v>#NAME?</v>
      </c>
      <c r="AA406" s="100" t="e">
        <f t="shared" si="172"/>
        <v>#NAME?</v>
      </c>
      <c r="AB406" s="100" t="e">
        <f t="shared" si="172"/>
        <v>#NAME?</v>
      </c>
      <c r="AC406" s="100" t="e">
        <f t="shared" si="172"/>
        <v>#NAME?</v>
      </c>
      <c r="AD406" s="100" t="e">
        <f t="shared" si="172"/>
        <v>#NAME?</v>
      </c>
      <c r="AE406" s="101"/>
      <c r="AF406" s="101"/>
      <c r="AG406" s="101"/>
      <c r="AH406" s="101"/>
      <c r="AI406" s="101"/>
      <c r="AJ406" s="101"/>
      <c r="AK406" s="101"/>
      <c r="AL406" s="101"/>
      <c r="AM406" s="101"/>
      <c r="AN406" s="101"/>
      <c r="AO406" s="101"/>
    </row>
    <row r="407" spans="2:41" s="97" customFormat="1" ht="12.6" hidden="1" outlineLevel="1" x14ac:dyDescent="0.25">
      <c r="D407" s="32"/>
      <c r="E407" s="32"/>
      <c r="F407" s="32"/>
      <c r="G407" s="32"/>
      <c r="H407" s="103"/>
      <c r="I407" s="32"/>
      <c r="J407" s="37"/>
      <c r="K407" s="32"/>
      <c r="L407" s="99"/>
      <c r="M407" s="103"/>
      <c r="N407" s="103"/>
      <c r="O407" s="103"/>
      <c r="P407" s="103"/>
      <c r="Q407" s="103"/>
      <c r="R407" s="103"/>
      <c r="S407" s="103"/>
      <c r="T407" s="103"/>
      <c r="U407" s="103"/>
      <c r="V407" s="103"/>
      <c r="W407" s="103"/>
      <c r="X407" s="103"/>
      <c r="Y407" s="103"/>
      <c r="Z407" s="103"/>
      <c r="AA407" s="103"/>
      <c r="AB407" s="103"/>
      <c r="AC407" s="103"/>
      <c r="AD407" s="103"/>
      <c r="AE407" s="103"/>
      <c r="AF407" s="103"/>
      <c r="AG407" s="103"/>
      <c r="AH407" s="103"/>
      <c r="AI407" s="103"/>
      <c r="AJ407" s="103"/>
      <c r="AK407" s="103"/>
      <c r="AL407" s="103"/>
      <c r="AM407" s="103"/>
      <c r="AN407" s="103"/>
      <c r="AO407" s="103"/>
    </row>
    <row r="408" spans="2:41" s="97" customFormat="1" hidden="1" outlineLevel="1" x14ac:dyDescent="0.2">
      <c r="E408" s="97" t="s">
        <v>157</v>
      </c>
      <c r="H408" s="101"/>
      <c r="J408" s="98"/>
      <c r="L408" s="99" t="s">
        <v>309</v>
      </c>
      <c r="M408" s="101"/>
      <c r="N408" s="101"/>
      <c r="O408" s="101"/>
      <c r="P408" s="101"/>
      <c r="Q408" s="101"/>
      <c r="R408" s="101"/>
      <c r="S408" s="101"/>
      <c r="T408" s="101"/>
      <c r="U408" s="101"/>
      <c r="V408" s="101"/>
      <c r="W408" s="101"/>
      <c r="X408" s="101"/>
      <c r="Y408" s="101"/>
      <c r="Z408" s="101"/>
      <c r="AA408" s="101"/>
      <c r="AB408" s="101"/>
      <c r="AC408" s="101"/>
      <c r="AD408" s="101"/>
      <c r="AE408" s="101"/>
      <c r="AF408" s="101"/>
      <c r="AG408" s="101"/>
      <c r="AH408" s="101"/>
      <c r="AI408" s="101"/>
      <c r="AJ408" s="101"/>
      <c r="AK408" s="101"/>
      <c r="AL408" s="101"/>
      <c r="AM408" s="101"/>
      <c r="AN408" s="101"/>
      <c r="AO408" s="101"/>
    </row>
    <row r="409" spans="2:41" s="97" customFormat="1" ht="13.2" hidden="1" outlineLevel="1" thickBot="1" x14ac:dyDescent="0.3">
      <c r="D409" s="36" t="s">
        <v>156</v>
      </c>
      <c r="E409" s="58"/>
      <c r="F409" s="58"/>
      <c r="G409" s="58"/>
      <c r="H409" s="105"/>
      <c r="I409" s="58"/>
      <c r="J409" s="59" t="s">
        <v>1205</v>
      </c>
      <c r="K409" s="58"/>
      <c r="L409" s="60" t="s">
        <v>310</v>
      </c>
      <c r="M409" s="105"/>
      <c r="N409" s="105"/>
      <c r="O409" s="182"/>
      <c r="P409" s="182"/>
      <c r="Q409" s="207">
        <v>0</v>
      </c>
      <c r="R409" s="105"/>
      <c r="S409" s="105" t="e">
        <f t="shared" ref="S409:AD409" si="173">S406-S408</f>
        <v>#NAME?</v>
      </c>
      <c r="T409" s="105" t="e">
        <f t="shared" si="173"/>
        <v>#NAME?</v>
      </c>
      <c r="U409" s="105" t="e">
        <f t="shared" si="173"/>
        <v>#NAME?</v>
      </c>
      <c r="V409" s="105" t="e">
        <f t="shared" si="173"/>
        <v>#NAME?</v>
      </c>
      <c r="W409" s="105" t="e">
        <f t="shared" si="173"/>
        <v>#NAME?</v>
      </c>
      <c r="X409" s="105" t="e">
        <f t="shared" si="173"/>
        <v>#NAME?</v>
      </c>
      <c r="Y409" s="105" t="e">
        <f t="shared" si="173"/>
        <v>#NAME?</v>
      </c>
      <c r="Z409" s="105" t="e">
        <f t="shared" si="173"/>
        <v>#NAME?</v>
      </c>
      <c r="AA409" s="105" t="e">
        <f t="shared" si="173"/>
        <v>#NAME?</v>
      </c>
      <c r="AB409" s="105" t="e">
        <f t="shared" si="173"/>
        <v>#NAME?</v>
      </c>
      <c r="AC409" s="105" t="e">
        <f t="shared" si="173"/>
        <v>#NAME?</v>
      </c>
      <c r="AD409" s="105" t="e">
        <f t="shared" si="173"/>
        <v>#NAME?</v>
      </c>
      <c r="AE409" s="34"/>
      <c r="AF409" s="34"/>
      <c r="AG409" s="34"/>
      <c r="AH409" s="34"/>
      <c r="AI409" s="34"/>
      <c r="AJ409" s="34"/>
      <c r="AK409" s="34"/>
      <c r="AL409" s="34"/>
      <c r="AM409" s="34"/>
      <c r="AN409" s="34"/>
      <c r="AO409" s="34"/>
    </row>
    <row r="410" spans="2:41" s="97" customFormat="1" hidden="1" outlineLevel="1" x14ac:dyDescent="0.2">
      <c r="H410" s="101"/>
      <c r="J410" s="98"/>
      <c r="L410" s="99"/>
      <c r="M410" s="101"/>
      <c r="N410" s="101"/>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row>
    <row r="411" spans="2:41" s="97" customFormat="1" ht="12.6" hidden="1" outlineLevel="1" x14ac:dyDescent="0.25">
      <c r="D411" s="32" t="s">
        <v>155</v>
      </c>
      <c r="H411" s="101"/>
      <c r="J411" s="98"/>
      <c r="L411" s="99"/>
      <c r="M411" s="101"/>
      <c r="N411" s="101"/>
      <c r="O411" s="101"/>
      <c r="P411" s="101"/>
      <c r="Q411" s="101"/>
      <c r="R411" s="101"/>
      <c r="S411" s="101"/>
      <c r="T411" s="101"/>
      <c r="U411" s="101"/>
      <c r="V411" s="101"/>
      <c r="W411" s="101"/>
      <c r="X411" s="101"/>
      <c r="Y411" s="101"/>
      <c r="Z411" s="101"/>
      <c r="AA411" s="101"/>
      <c r="AB411" s="101"/>
      <c r="AC411" s="101"/>
      <c r="AD411" s="101"/>
      <c r="AE411" s="101"/>
      <c r="AF411" s="101"/>
      <c r="AG411" s="101"/>
      <c r="AH411" s="101"/>
      <c r="AI411" s="101"/>
      <c r="AJ411" s="101"/>
      <c r="AK411" s="101"/>
      <c r="AL411" s="101"/>
      <c r="AM411" s="101"/>
      <c r="AN411" s="101"/>
      <c r="AO411" s="101"/>
    </row>
    <row r="412" spans="2:41" s="97" customFormat="1" hidden="1" outlineLevel="1" x14ac:dyDescent="0.2">
      <c r="B412" s="20"/>
      <c r="C412" s="20"/>
      <c r="D412" s="20"/>
      <c r="E412" s="97" t="s">
        <v>154</v>
      </c>
      <c r="J412" s="98" t="s">
        <v>1205</v>
      </c>
      <c r="L412" s="99" t="s">
        <v>311</v>
      </c>
      <c r="N412" s="21"/>
      <c r="O412" s="21"/>
      <c r="P412" s="21"/>
      <c r="Q412" s="101">
        <f>IF(Q409&gt;0,IF(((R404)*-1)&gt;Q399,Q399,0-(R404)),0)</f>
        <v>0</v>
      </c>
      <c r="R412" s="101"/>
      <c r="S412" s="101" t="e">
        <f t="shared" ref="S412:AD412" si="174">IF(S409&gt;0,IF(((T404)*-1)&gt;S399,S399,0-(T404)),0)</f>
        <v>#NAME?</v>
      </c>
      <c r="T412" s="101" t="e">
        <f t="shared" si="174"/>
        <v>#NAME?</v>
      </c>
      <c r="U412" s="101" t="e">
        <f t="shared" si="174"/>
        <v>#NAME?</v>
      </c>
      <c r="V412" s="101" t="e">
        <f t="shared" si="174"/>
        <v>#NAME?</v>
      </c>
      <c r="W412" s="101" t="e">
        <f t="shared" si="174"/>
        <v>#NAME?</v>
      </c>
      <c r="X412" s="101" t="e">
        <f t="shared" si="174"/>
        <v>#NAME?</v>
      </c>
      <c r="Y412" s="101" t="e">
        <f t="shared" si="174"/>
        <v>#NAME?</v>
      </c>
      <c r="Z412" s="101" t="e">
        <f t="shared" si="174"/>
        <v>#NAME?</v>
      </c>
      <c r="AA412" s="101" t="e">
        <f t="shared" si="174"/>
        <v>#NAME?</v>
      </c>
      <c r="AB412" s="101" t="e">
        <f t="shared" si="174"/>
        <v>#NAME?</v>
      </c>
      <c r="AC412" s="101" t="e">
        <f t="shared" si="174"/>
        <v>#NAME?</v>
      </c>
      <c r="AD412" s="21" t="e">
        <f t="shared" si="174"/>
        <v>#NAME?</v>
      </c>
      <c r="AE412" s="21"/>
      <c r="AF412" s="21"/>
      <c r="AG412" s="21"/>
      <c r="AH412" s="21"/>
      <c r="AI412" s="21"/>
      <c r="AJ412" s="21"/>
      <c r="AK412" s="21"/>
      <c r="AL412" s="21"/>
      <c r="AM412" s="21"/>
      <c r="AN412" s="21"/>
      <c r="AO412" s="21"/>
    </row>
    <row r="413" spans="2:41" s="97" customFormat="1" hidden="1" outlineLevel="1" x14ac:dyDescent="0.2">
      <c r="E413" s="97" t="s">
        <v>153</v>
      </c>
      <c r="H413" s="101"/>
      <c r="J413" s="98" t="s">
        <v>1205</v>
      </c>
      <c r="L413" s="99" t="s">
        <v>312</v>
      </c>
      <c r="M413" s="101"/>
      <c r="N413" s="101"/>
      <c r="O413" s="101"/>
      <c r="P413" s="101"/>
      <c r="Q413" s="101">
        <f>Q409-Q412</f>
        <v>0</v>
      </c>
      <c r="R413" s="101"/>
      <c r="S413" s="101" t="e">
        <f t="shared" ref="S413:AD413" si="175">S409-S412</f>
        <v>#NAME?</v>
      </c>
      <c r="T413" s="101" t="e">
        <f t="shared" si="175"/>
        <v>#NAME?</v>
      </c>
      <c r="U413" s="101" t="e">
        <f t="shared" si="175"/>
        <v>#NAME?</v>
      </c>
      <c r="V413" s="101" t="e">
        <f t="shared" si="175"/>
        <v>#NAME?</v>
      </c>
      <c r="W413" s="101" t="e">
        <f t="shared" si="175"/>
        <v>#NAME?</v>
      </c>
      <c r="X413" s="101" t="e">
        <f t="shared" si="175"/>
        <v>#NAME?</v>
      </c>
      <c r="Y413" s="101" t="e">
        <f t="shared" si="175"/>
        <v>#NAME?</v>
      </c>
      <c r="Z413" s="101" t="e">
        <f t="shared" si="175"/>
        <v>#NAME?</v>
      </c>
      <c r="AA413" s="101" t="e">
        <f t="shared" si="175"/>
        <v>#NAME?</v>
      </c>
      <c r="AB413" s="101" t="e">
        <f t="shared" si="175"/>
        <v>#NAME?</v>
      </c>
      <c r="AC413" s="101" t="e">
        <f t="shared" si="175"/>
        <v>#NAME?</v>
      </c>
      <c r="AD413" s="101" t="e">
        <f t="shared" si="175"/>
        <v>#NAME?</v>
      </c>
      <c r="AE413" s="101"/>
      <c r="AF413" s="101"/>
      <c r="AG413" s="101"/>
      <c r="AH413" s="101"/>
      <c r="AI413" s="101"/>
      <c r="AJ413" s="101"/>
      <c r="AK413" s="101"/>
      <c r="AL413" s="101"/>
      <c r="AM413" s="101"/>
      <c r="AN413" s="101"/>
      <c r="AO413" s="101"/>
    </row>
    <row r="414" spans="2:41" s="97" customFormat="1" hidden="1" outlineLevel="1" x14ac:dyDescent="0.2">
      <c r="H414" s="101"/>
      <c r="J414" s="98"/>
      <c r="L414" s="99"/>
      <c r="M414" s="101"/>
      <c r="N414" s="101"/>
      <c r="O414" s="101"/>
      <c r="P414" s="101"/>
      <c r="Q414" s="101"/>
      <c r="R414" s="101"/>
      <c r="S414" s="101"/>
      <c r="T414" s="101"/>
      <c r="U414" s="101"/>
      <c r="V414" s="101"/>
      <c r="W414" s="101"/>
      <c r="X414" s="101"/>
      <c r="Y414" s="101"/>
      <c r="Z414" s="101"/>
      <c r="AA414" s="101"/>
      <c r="AB414" s="101"/>
      <c r="AC414" s="101"/>
      <c r="AD414" s="101"/>
      <c r="AE414" s="101"/>
      <c r="AF414" s="101"/>
      <c r="AG414" s="101"/>
      <c r="AH414" s="101"/>
      <c r="AI414" s="101"/>
      <c r="AJ414" s="101"/>
      <c r="AK414" s="101"/>
      <c r="AL414" s="101"/>
      <c r="AM414" s="101"/>
      <c r="AN414" s="101"/>
      <c r="AO414" s="101"/>
    </row>
    <row r="415" spans="2:41" s="97" customFormat="1" ht="12.6" hidden="1" outlineLevel="1" x14ac:dyDescent="0.25">
      <c r="D415" s="32" t="s">
        <v>152</v>
      </c>
      <c r="H415" s="101"/>
      <c r="J415" s="98" t="s">
        <v>20</v>
      </c>
      <c r="L415" s="99"/>
      <c r="M415" s="101"/>
      <c r="N415" s="101"/>
      <c r="O415" s="101"/>
      <c r="P415" s="101"/>
      <c r="Q415" s="101"/>
      <c r="R415" s="101"/>
      <c r="S415" s="101">
        <f t="shared" ref="S415:AD415" si="176">Inputs_TL7_Months_Oustanding</f>
        <v>12</v>
      </c>
      <c r="T415" s="101">
        <f t="shared" si="176"/>
        <v>12</v>
      </c>
      <c r="U415" s="101">
        <f t="shared" si="176"/>
        <v>12</v>
      </c>
      <c r="V415" s="101">
        <f t="shared" si="176"/>
        <v>12</v>
      </c>
      <c r="W415" s="101">
        <f t="shared" si="176"/>
        <v>12</v>
      </c>
      <c r="X415" s="101">
        <f t="shared" si="176"/>
        <v>12</v>
      </c>
      <c r="Y415" s="101">
        <f t="shared" si="176"/>
        <v>12</v>
      </c>
      <c r="Z415" s="101">
        <f t="shared" si="176"/>
        <v>12</v>
      </c>
      <c r="AA415" s="101">
        <f t="shared" si="176"/>
        <v>12</v>
      </c>
      <c r="AB415" s="101">
        <f t="shared" si="176"/>
        <v>12</v>
      </c>
      <c r="AC415" s="101">
        <f t="shared" si="176"/>
        <v>12</v>
      </c>
      <c r="AD415" s="101">
        <f t="shared" si="176"/>
        <v>12</v>
      </c>
      <c r="AE415" s="108"/>
      <c r="AF415" s="108"/>
      <c r="AG415" s="108"/>
      <c r="AH415" s="108"/>
      <c r="AI415" s="108"/>
      <c r="AJ415" s="108"/>
      <c r="AK415" s="108"/>
      <c r="AL415" s="108"/>
      <c r="AM415" s="108"/>
      <c r="AN415" s="108"/>
      <c r="AO415" s="108"/>
    </row>
    <row r="416" spans="2:41" s="97" customFormat="1" hidden="1" outlineLevel="1" x14ac:dyDescent="0.2">
      <c r="H416" s="101"/>
      <c r="J416" s="98"/>
      <c r="L416" s="99"/>
      <c r="M416" s="101"/>
      <c r="N416" s="101"/>
      <c r="O416" s="101"/>
      <c r="P416" s="101"/>
      <c r="Q416" s="101"/>
      <c r="R416" s="101"/>
      <c r="S416" s="101"/>
      <c r="T416" s="101"/>
      <c r="U416" s="101"/>
      <c r="V416" s="101"/>
      <c r="W416" s="101"/>
      <c r="X416" s="101"/>
      <c r="Y416" s="101"/>
      <c r="Z416" s="101"/>
      <c r="AA416" s="101"/>
      <c r="AB416" s="101"/>
      <c r="AC416" s="101"/>
      <c r="AD416" s="101"/>
      <c r="AE416" s="101"/>
      <c r="AF416" s="101"/>
      <c r="AG416" s="101"/>
      <c r="AH416" s="101"/>
      <c r="AI416" s="101"/>
      <c r="AJ416" s="101"/>
      <c r="AK416" s="101"/>
      <c r="AL416" s="101"/>
      <c r="AM416" s="101"/>
      <c r="AN416" s="101"/>
      <c r="AO416" s="101"/>
    </row>
    <row r="417" spans="1:41" s="97" customFormat="1" ht="12.6" hidden="1" outlineLevel="1" x14ac:dyDescent="0.25">
      <c r="D417" s="32" t="s">
        <v>151</v>
      </c>
      <c r="H417" s="101"/>
      <c r="J417" s="98"/>
      <c r="L417" s="99"/>
      <c r="M417" s="101"/>
      <c r="N417" s="101"/>
      <c r="O417" s="101"/>
      <c r="P417" s="101"/>
      <c r="Q417" s="101"/>
      <c r="R417" s="101"/>
      <c r="S417" s="101"/>
      <c r="T417" s="101"/>
      <c r="U417" s="101"/>
      <c r="V417" s="101"/>
      <c r="W417" s="101"/>
      <c r="X417" s="101"/>
      <c r="Y417" s="101"/>
      <c r="Z417" s="101"/>
      <c r="AA417" s="101"/>
      <c r="AB417" s="101"/>
      <c r="AC417" s="101"/>
      <c r="AD417" s="101"/>
      <c r="AE417" s="101"/>
      <c r="AF417" s="101"/>
      <c r="AG417" s="101"/>
      <c r="AH417" s="101"/>
      <c r="AI417" s="101"/>
      <c r="AJ417" s="101"/>
      <c r="AK417" s="101"/>
      <c r="AL417" s="101"/>
      <c r="AM417" s="101"/>
      <c r="AN417" s="101"/>
      <c r="AO417" s="101"/>
    </row>
    <row r="418" spans="1:41" s="97" customFormat="1" hidden="1" outlineLevel="1" x14ac:dyDescent="0.2">
      <c r="E418" s="97" t="s">
        <v>150</v>
      </c>
      <c r="H418" s="101"/>
      <c r="J418" s="98" t="s">
        <v>1205</v>
      </c>
      <c r="L418" s="99" t="s">
        <v>313</v>
      </c>
      <c r="M418" s="101"/>
      <c r="N418" s="101"/>
      <c r="O418" s="101"/>
      <c r="P418" s="101"/>
      <c r="Q418" s="181"/>
      <c r="R418" s="21"/>
      <c r="S418" s="21">
        <f t="shared" ref="S418" si="177">IF(AND(Inputs_Basecase_TL4_Availability_Start_Date&gt;R$5,Inputs_Basecase_TL4_Availability_Start_Date&lt;S$5),-Inputs_Basecase_TL4_Arrangement_Fee*Inputs_Basecase_TL4_Maximum_Facility,0)</f>
        <v>0</v>
      </c>
      <c r="T418" s="21">
        <f t="shared" ref="T418" si="178">IF(AND(Inputs_Basecase_TL4_Availability_Start_Date&gt;S$5,Inputs_Basecase_TL4_Availability_Start_Date&lt;T$5),-Inputs_Basecase_TL4_Arrangement_Fee*Inputs_Basecase_TL4_Maximum_Facility,0)</f>
        <v>0</v>
      </c>
      <c r="U418" s="21">
        <f t="shared" ref="U418" si="179">IF(AND(Inputs_Basecase_TL4_Availability_Start_Date&gt;T$5,Inputs_Basecase_TL4_Availability_Start_Date&lt;U$5),-Inputs_Basecase_TL4_Arrangement_Fee*Inputs_Basecase_TL4_Maximum_Facility,0)</f>
        <v>0</v>
      </c>
      <c r="V418" s="21">
        <f t="shared" ref="V418" si="180">IF(AND(Inputs_Basecase_TL4_Availability_Start_Date&gt;U$5,Inputs_Basecase_TL4_Availability_Start_Date&lt;V$5),-Inputs_Basecase_TL4_Arrangement_Fee*Inputs_Basecase_TL4_Maximum_Facility,0)</f>
        <v>0</v>
      </c>
      <c r="W418" s="21">
        <f t="shared" ref="W418" si="181">IF(AND(Inputs_Basecase_TL4_Availability_Start_Date&gt;V$5,Inputs_Basecase_TL4_Availability_Start_Date&lt;W$5),-Inputs_Basecase_TL4_Arrangement_Fee*Inputs_Basecase_TL4_Maximum_Facility,0)</f>
        <v>0</v>
      </c>
      <c r="X418" s="21">
        <f t="shared" ref="X418" si="182">IF(AND(Inputs_Basecase_TL4_Availability_Start_Date&gt;W$5,Inputs_Basecase_TL4_Availability_Start_Date&lt;X$5),-Inputs_Basecase_TL4_Arrangement_Fee*Inputs_Basecase_TL4_Maximum_Facility,0)</f>
        <v>0</v>
      </c>
      <c r="Y418" s="21">
        <f t="shared" ref="Y418" si="183">IF(AND(Inputs_Basecase_TL4_Availability_Start_Date&gt;X$5,Inputs_Basecase_TL4_Availability_Start_Date&lt;Y$5),-Inputs_Basecase_TL4_Arrangement_Fee*Inputs_Basecase_TL4_Maximum_Facility,0)</f>
        <v>0</v>
      </c>
      <c r="Z418" s="21">
        <f t="shared" ref="Z418" si="184">IF(AND(Inputs_Basecase_TL4_Availability_Start_Date&gt;Y$5,Inputs_Basecase_TL4_Availability_Start_Date&lt;Z$5),-Inputs_Basecase_TL4_Arrangement_Fee*Inputs_Basecase_TL4_Maximum_Facility,0)</f>
        <v>0</v>
      </c>
      <c r="AA418" s="21">
        <f t="shared" ref="AA418" si="185">IF(AND(Inputs_Basecase_TL4_Availability_Start_Date&gt;Z$5,Inputs_Basecase_TL4_Availability_Start_Date&lt;AA$5),-Inputs_Basecase_TL4_Arrangement_Fee*Inputs_Basecase_TL4_Maximum_Facility,0)</f>
        <v>0</v>
      </c>
      <c r="AB418" s="21">
        <f t="shared" ref="AB418" si="186">IF(AND(Inputs_Basecase_TL4_Availability_Start_Date&gt;AA$5,Inputs_Basecase_TL4_Availability_Start_Date&lt;AB$5),-Inputs_Basecase_TL4_Arrangement_Fee*Inputs_Basecase_TL4_Maximum_Facility,0)</f>
        <v>0</v>
      </c>
      <c r="AC418" s="21">
        <f t="shared" ref="AC418" si="187">IF(AND(Inputs_Basecase_TL4_Availability_Start_Date&gt;AB$5,Inputs_Basecase_TL4_Availability_Start_Date&lt;AC$5),-Inputs_Basecase_TL4_Arrangement_Fee*Inputs_Basecase_TL4_Maximum_Facility,0)</f>
        <v>0</v>
      </c>
      <c r="AD418" s="21">
        <f t="shared" ref="AD418" si="188">IF(AND(Inputs_Basecase_TL4_Availability_Start_Date&gt;AC$5,Inputs_Basecase_TL4_Availability_Start_Date&lt;AD$5),-Inputs_Basecase_TL4_Arrangement_Fee*Inputs_Basecase_TL4_Maximum_Facility,0)</f>
        <v>0</v>
      </c>
      <c r="AE418" s="181"/>
      <c r="AF418" s="181"/>
      <c r="AG418" s="181"/>
      <c r="AH418" s="181"/>
      <c r="AI418" s="181"/>
      <c r="AJ418" s="181"/>
      <c r="AK418" s="181"/>
      <c r="AL418" s="181"/>
      <c r="AM418" s="181"/>
      <c r="AN418" s="181"/>
      <c r="AO418" s="181"/>
    </row>
    <row r="419" spans="1:41" s="97" customFormat="1" hidden="1" outlineLevel="1" x14ac:dyDescent="0.2">
      <c r="E419" s="97" t="s">
        <v>149</v>
      </c>
      <c r="H419" s="101"/>
      <c r="J419" s="98" t="s">
        <v>1205</v>
      </c>
      <c r="L419" s="99" t="s">
        <v>314</v>
      </c>
      <c r="M419" s="101"/>
      <c r="N419" s="101"/>
      <c r="O419" s="101"/>
      <c r="P419" s="101"/>
      <c r="Q419" s="101"/>
      <c r="R419" s="101"/>
      <c r="S419" s="101">
        <f t="shared" ref="S419" si="189">-((R394+S394)/2)*(S389*S415)</f>
        <v>0</v>
      </c>
      <c r="T419" s="101">
        <f t="shared" ref="T419" si="190">-((S394+T394)/2)*(T389*T415)</f>
        <v>0</v>
      </c>
      <c r="U419" s="101">
        <f t="shared" ref="U419" si="191">-((T394+U394)/2)*(U389*U415)</f>
        <v>0</v>
      </c>
      <c r="V419" s="101">
        <f t="shared" ref="V419" si="192">-((U394+V394)/2)*(V389*V415)</f>
        <v>0</v>
      </c>
      <c r="W419" s="101">
        <f t="shared" ref="W419" si="193">-((V394+W394)/2)*(W389*W415)</f>
        <v>0</v>
      </c>
      <c r="X419" s="101">
        <f t="shared" ref="X419" si="194">-((W394+X394)/2)*(X389*X415)</f>
        <v>0</v>
      </c>
      <c r="Y419" s="101">
        <f t="shared" ref="Y419" si="195">-((X394+Y394)/2)*(Y389*Y415)</f>
        <v>0</v>
      </c>
      <c r="Z419" s="101">
        <f t="shared" ref="Z419" si="196">-((Y394+Z394)/2)*(Z389*Z415)</f>
        <v>0</v>
      </c>
      <c r="AA419" s="101">
        <f t="shared" ref="AA419" si="197">-((Z394+AA394)/2)*(AA389*AA415)</f>
        <v>0</v>
      </c>
      <c r="AB419" s="101">
        <f t="shared" ref="AB419" si="198">-((AA394+AB394)/2)*(AB389*AB415)</f>
        <v>0</v>
      </c>
      <c r="AC419" s="101">
        <f t="shared" ref="AC419" si="199">-((AB394+AC394)/2)*(AC389*AC415)</f>
        <v>0</v>
      </c>
      <c r="AD419" s="101">
        <f t="shared" ref="AD419" si="200">-((AC394+AD394)/2)*(AD389*AD415)</f>
        <v>0</v>
      </c>
      <c r="AE419" s="101"/>
      <c r="AF419" s="101"/>
      <c r="AG419" s="101"/>
      <c r="AH419" s="101"/>
      <c r="AI419" s="101"/>
      <c r="AJ419" s="101"/>
      <c r="AK419" s="101"/>
      <c r="AL419" s="101"/>
      <c r="AM419" s="101"/>
      <c r="AN419" s="101"/>
      <c r="AO419" s="101"/>
    </row>
    <row r="420" spans="1:41" s="97" customFormat="1" hidden="1" outlineLevel="1" x14ac:dyDescent="0.2">
      <c r="E420" s="28" t="s">
        <v>148</v>
      </c>
      <c r="F420" s="28"/>
      <c r="G420" s="28"/>
      <c r="H420" s="100"/>
      <c r="I420" s="28"/>
      <c r="J420" s="29" t="s">
        <v>1205</v>
      </c>
      <c r="K420" s="28"/>
      <c r="L420" s="30"/>
      <c r="M420" s="100"/>
      <c r="N420" s="100"/>
      <c r="O420" s="100"/>
      <c r="P420" s="100"/>
      <c r="Q420" s="100"/>
      <c r="R420" s="100"/>
      <c r="S420" s="100">
        <f t="shared" ref="S420:AD420" si="201">S418+S419</f>
        <v>0</v>
      </c>
      <c r="T420" s="100">
        <f t="shared" si="201"/>
        <v>0</v>
      </c>
      <c r="U420" s="100">
        <f t="shared" si="201"/>
        <v>0</v>
      </c>
      <c r="V420" s="100">
        <f t="shared" si="201"/>
        <v>0</v>
      </c>
      <c r="W420" s="100">
        <f t="shared" si="201"/>
        <v>0</v>
      </c>
      <c r="X420" s="100">
        <f t="shared" si="201"/>
        <v>0</v>
      </c>
      <c r="Y420" s="100">
        <f t="shared" si="201"/>
        <v>0</v>
      </c>
      <c r="Z420" s="100">
        <f t="shared" si="201"/>
        <v>0</v>
      </c>
      <c r="AA420" s="100">
        <f t="shared" si="201"/>
        <v>0</v>
      </c>
      <c r="AB420" s="100">
        <f t="shared" si="201"/>
        <v>0</v>
      </c>
      <c r="AC420" s="100">
        <f t="shared" si="201"/>
        <v>0</v>
      </c>
      <c r="AD420" s="100">
        <f t="shared" si="201"/>
        <v>0</v>
      </c>
      <c r="AE420" s="101"/>
      <c r="AF420" s="101"/>
      <c r="AG420" s="101"/>
      <c r="AH420" s="101"/>
      <c r="AI420" s="101"/>
      <c r="AJ420" s="101"/>
      <c r="AK420" s="101"/>
      <c r="AL420" s="101"/>
      <c r="AM420" s="101"/>
      <c r="AN420" s="101"/>
      <c r="AO420" s="101"/>
    </row>
    <row r="421" spans="1:41" s="97" customFormat="1" hidden="1" outlineLevel="1" x14ac:dyDescent="0.2">
      <c r="E421" s="20"/>
      <c r="H421" s="101"/>
      <c r="J421" s="98"/>
      <c r="L421" s="99"/>
      <c r="M421" s="101"/>
      <c r="N421" s="101"/>
      <c r="O421" s="101"/>
      <c r="P421" s="101"/>
      <c r="Q421" s="113"/>
      <c r="R421" s="113"/>
      <c r="S421" s="113"/>
      <c r="T421" s="113"/>
      <c r="U421" s="113"/>
      <c r="V421" s="113"/>
      <c r="W421" s="113"/>
      <c r="X421" s="113"/>
      <c r="Y421" s="113"/>
      <c r="Z421" s="113"/>
      <c r="AA421" s="113"/>
      <c r="AB421" s="113"/>
      <c r="AC421" s="113"/>
      <c r="AD421" s="113"/>
      <c r="AE421" s="113"/>
      <c r="AF421" s="113"/>
      <c r="AG421" s="113"/>
      <c r="AH421" s="113"/>
      <c r="AI421" s="113"/>
      <c r="AJ421" s="113"/>
      <c r="AK421" s="113"/>
      <c r="AL421" s="113"/>
      <c r="AM421" s="113"/>
      <c r="AN421" s="113"/>
      <c r="AO421" s="113"/>
    </row>
    <row r="422" spans="1:41" s="97" customFormat="1" ht="12.6" hidden="1" outlineLevel="1" x14ac:dyDescent="0.25">
      <c r="D422" s="27" t="s">
        <v>147</v>
      </c>
      <c r="E422" s="28"/>
      <c r="F422" s="28"/>
      <c r="G422" s="28"/>
      <c r="H422" s="100"/>
      <c r="I422" s="28"/>
      <c r="J422" s="29" t="s">
        <v>1205</v>
      </c>
      <c r="K422" s="28"/>
      <c r="L422" s="30" t="s">
        <v>315</v>
      </c>
      <c r="M422" s="100"/>
      <c r="N422" s="100"/>
      <c r="O422" s="100"/>
      <c r="P422" s="100"/>
      <c r="Q422" s="100"/>
      <c r="R422" s="100"/>
      <c r="S422" s="100" t="e">
        <f t="shared" ref="S422:AD422" si="202">-((S397+S399)/2)*(S387*S415)</f>
        <v>#NAME?</v>
      </c>
      <c r="T422" s="100" t="e">
        <f t="shared" si="202"/>
        <v>#NAME?</v>
      </c>
      <c r="U422" s="100" t="e">
        <f t="shared" si="202"/>
        <v>#NAME?</v>
      </c>
      <c r="V422" s="100" t="e">
        <f t="shared" si="202"/>
        <v>#NAME?</v>
      </c>
      <c r="W422" s="100" t="e">
        <f t="shared" si="202"/>
        <v>#NAME?</v>
      </c>
      <c r="X422" s="100" t="e">
        <f t="shared" si="202"/>
        <v>#NAME?</v>
      </c>
      <c r="Y422" s="100" t="e">
        <f t="shared" si="202"/>
        <v>#NAME?</v>
      </c>
      <c r="Z422" s="100" t="e">
        <f t="shared" si="202"/>
        <v>#NAME?</v>
      </c>
      <c r="AA422" s="100" t="e">
        <f t="shared" si="202"/>
        <v>#NAME?</v>
      </c>
      <c r="AB422" s="100" t="e">
        <f t="shared" si="202"/>
        <v>#NAME?</v>
      </c>
      <c r="AC422" s="100" t="e">
        <f t="shared" si="202"/>
        <v>#NAME?</v>
      </c>
      <c r="AD422" s="100" t="e">
        <f t="shared" si="202"/>
        <v>#NAME?</v>
      </c>
      <c r="AE422" s="101"/>
      <c r="AF422" s="101"/>
      <c r="AG422" s="101"/>
      <c r="AH422" s="101"/>
      <c r="AI422" s="101"/>
      <c r="AJ422" s="101"/>
      <c r="AK422" s="101"/>
      <c r="AL422" s="101"/>
      <c r="AM422" s="101"/>
      <c r="AN422" s="101"/>
      <c r="AO422" s="101"/>
    </row>
    <row r="423" spans="1:41" s="97" customFormat="1" ht="12.6" hidden="1" outlineLevel="1" x14ac:dyDescent="0.25">
      <c r="D423" s="32"/>
      <c r="H423" s="101"/>
      <c r="J423" s="98"/>
      <c r="L423" s="99"/>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row>
    <row r="424" spans="1:41" s="97" customFormat="1" ht="12.6" hidden="1" outlineLevel="1" thickBot="1" x14ac:dyDescent="0.25">
      <c r="A424" s="1"/>
      <c r="B424" s="1"/>
      <c r="H424" s="101"/>
      <c r="J424" s="98"/>
      <c r="L424" s="99"/>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row>
    <row r="425" spans="1:41" s="97" customFormat="1" ht="12.6" hidden="1" outlineLevel="1" thickTop="1" x14ac:dyDescent="0.2">
      <c r="A425" s="1"/>
      <c r="B425" s="20"/>
      <c r="C425" s="337" t="s">
        <v>527</v>
      </c>
      <c r="D425" s="337"/>
      <c r="E425" s="338"/>
      <c r="F425" s="338"/>
      <c r="G425" s="338"/>
      <c r="H425" s="338"/>
      <c r="I425" s="338"/>
      <c r="J425" s="340"/>
      <c r="K425" s="338"/>
      <c r="L425" s="342"/>
      <c r="M425" s="338"/>
      <c r="N425" s="343"/>
      <c r="O425" s="343"/>
      <c r="P425" s="343"/>
      <c r="Q425" s="343"/>
      <c r="R425" s="343"/>
      <c r="S425" s="343"/>
      <c r="T425" s="343"/>
      <c r="U425" s="343"/>
      <c r="V425" s="343"/>
      <c r="W425" s="343"/>
      <c r="X425" s="343"/>
      <c r="Y425" s="343"/>
      <c r="Z425" s="343"/>
      <c r="AA425" s="343"/>
      <c r="AB425" s="343"/>
      <c r="AC425" s="343"/>
      <c r="AD425" s="343"/>
      <c r="AE425" s="101"/>
      <c r="AF425" s="101"/>
      <c r="AG425" s="101"/>
      <c r="AH425" s="101"/>
      <c r="AI425" s="101"/>
      <c r="AJ425" s="101"/>
      <c r="AK425" s="101"/>
      <c r="AL425" s="101"/>
      <c r="AM425" s="101"/>
      <c r="AN425" s="101"/>
      <c r="AO425" s="101"/>
    </row>
    <row r="426" spans="1:41" s="97" customFormat="1" ht="12.6" hidden="1" outlineLevel="1" x14ac:dyDescent="0.25">
      <c r="C426" s="20" t="s">
        <v>8</v>
      </c>
      <c r="D426" s="32"/>
      <c r="H426" s="101"/>
      <c r="J426" s="98"/>
      <c r="L426" s="99"/>
      <c r="M426" s="101"/>
      <c r="N426" s="101"/>
      <c r="O426" s="101"/>
      <c r="P426" s="84"/>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row>
    <row r="427" spans="1:41" s="97" customFormat="1" ht="12.6" hidden="1" outlineLevel="1" x14ac:dyDescent="0.25">
      <c r="C427" s="20"/>
      <c r="D427" s="32" t="s">
        <v>173</v>
      </c>
      <c r="E427" s="32"/>
      <c r="G427" s="184"/>
      <c r="H427" s="101"/>
      <c r="J427" s="98" t="s">
        <v>1205</v>
      </c>
      <c r="L427" s="99"/>
      <c r="M427" s="101"/>
      <c r="N427" s="101"/>
      <c r="O427" s="101"/>
      <c r="P427" s="84"/>
      <c r="Q427" s="101"/>
      <c r="R427" s="101"/>
      <c r="S427" s="101">
        <f t="shared" ref="S427:AD427" si="203">Inputs_TL8_Maximum_Facility</f>
        <v>0</v>
      </c>
      <c r="T427" s="101">
        <f t="shared" si="203"/>
        <v>0</v>
      </c>
      <c r="U427" s="101">
        <f t="shared" si="203"/>
        <v>0</v>
      </c>
      <c r="V427" s="101">
        <f t="shared" si="203"/>
        <v>0</v>
      </c>
      <c r="W427" s="101">
        <f t="shared" si="203"/>
        <v>0</v>
      </c>
      <c r="X427" s="101">
        <f t="shared" si="203"/>
        <v>0</v>
      </c>
      <c r="Y427" s="101">
        <f t="shared" si="203"/>
        <v>0</v>
      </c>
      <c r="Z427" s="101">
        <f t="shared" si="203"/>
        <v>0</v>
      </c>
      <c r="AA427" s="101">
        <f t="shared" si="203"/>
        <v>0</v>
      </c>
      <c r="AB427" s="101">
        <f t="shared" si="203"/>
        <v>0</v>
      </c>
      <c r="AC427" s="101">
        <f t="shared" si="203"/>
        <v>0</v>
      </c>
      <c r="AD427" s="101">
        <f t="shared" si="203"/>
        <v>0</v>
      </c>
      <c r="AE427" s="101"/>
      <c r="AF427" s="101"/>
      <c r="AG427" s="101"/>
      <c r="AH427" s="101"/>
      <c r="AI427" s="101"/>
      <c r="AJ427" s="101"/>
      <c r="AK427" s="101"/>
      <c r="AL427" s="101"/>
      <c r="AM427" s="101"/>
      <c r="AN427" s="101"/>
      <c r="AO427" s="101"/>
    </row>
    <row r="428" spans="1:41" s="97" customFormat="1" ht="12.6" hidden="1" outlineLevel="1" x14ac:dyDescent="0.25">
      <c r="C428" s="20"/>
      <c r="D428" s="32"/>
      <c r="H428" s="101"/>
      <c r="J428" s="98"/>
      <c r="L428" s="99"/>
      <c r="M428" s="101"/>
      <c r="N428" s="101"/>
      <c r="O428" s="101"/>
      <c r="P428" s="84"/>
      <c r="Q428" s="101"/>
      <c r="AE428" s="101"/>
      <c r="AF428" s="101"/>
      <c r="AG428" s="101"/>
      <c r="AH428" s="101"/>
      <c r="AI428" s="101"/>
      <c r="AJ428" s="101"/>
      <c r="AK428" s="101"/>
      <c r="AL428" s="101"/>
      <c r="AM428" s="101"/>
      <c r="AN428" s="101"/>
      <c r="AO428" s="101"/>
    </row>
    <row r="429" spans="1:41" s="97" customFormat="1" ht="12.6" hidden="1" outlineLevel="1" x14ac:dyDescent="0.25">
      <c r="D429" s="32" t="s">
        <v>172</v>
      </c>
      <c r="H429" s="101"/>
      <c r="J429" s="98"/>
      <c r="L429" s="99"/>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row>
    <row r="430" spans="1:41" s="97" customFormat="1" hidden="1" outlineLevel="1" x14ac:dyDescent="0.2">
      <c r="E430" s="97" t="s">
        <v>66</v>
      </c>
      <c r="H430" s="101"/>
      <c r="J430" s="98" t="s">
        <v>49</v>
      </c>
      <c r="L430" s="99"/>
      <c r="N430" s="109"/>
      <c r="O430" s="109"/>
      <c r="P430" s="109"/>
      <c r="Q430" s="109"/>
      <c r="R430" s="24"/>
      <c r="S430" s="24" t="e">
        <f t="shared" ref="S430:AD430" si="204">Inputs_Basecase_Saibor</f>
        <v>#NAME?</v>
      </c>
      <c r="T430" s="24" t="e">
        <f t="shared" si="204"/>
        <v>#NAME?</v>
      </c>
      <c r="U430" s="24" t="e">
        <f t="shared" si="204"/>
        <v>#NAME?</v>
      </c>
      <c r="V430" s="24" t="e">
        <f t="shared" si="204"/>
        <v>#NAME?</v>
      </c>
      <c r="W430" s="24" t="e">
        <f t="shared" si="204"/>
        <v>#NAME?</v>
      </c>
      <c r="X430" s="24" t="e">
        <f t="shared" si="204"/>
        <v>#NAME?</v>
      </c>
      <c r="Y430" s="24" t="e">
        <f t="shared" si="204"/>
        <v>#NAME?</v>
      </c>
      <c r="Z430" s="24" t="e">
        <f t="shared" si="204"/>
        <v>#NAME?</v>
      </c>
      <c r="AA430" s="24" t="e">
        <f t="shared" si="204"/>
        <v>#NAME?</v>
      </c>
      <c r="AB430" s="24" t="e">
        <f t="shared" si="204"/>
        <v>#NAME?</v>
      </c>
      <c r="AC430" s="24" t="e">
        <f t="shared" si="204"/>
        <v>#NAME?</v>
      </c>
      <c r="AD430" s="24" t="e">
        <f t="shared" si="204"/>
        <v>#NAME?</v>
      </c>
      <c r="AE430" s="24"/>
      <c r="AF430" s="109"/>
      <c r="AG430" s="109"/>
      <c r="AH430" s="109"/>
      <c r="AI430" s="109"/>
      <c r="AJ430" s="109"/>
      <c r="AK430" s="109"/>
      <c r="AL430" s="109"/>
      <c r="AM430" s="109"/>
      <c r="AN430" s="109"/>
      <c r="AO430" s="109"/>
    </row>
    <row r="431" spans="1:41" s="97" customFormat="1" hidden="1" outlineLevel="1" x14ac:dyDescent="0.2">
      <c r="E431" s="97" t="s">
        <v>171</v>
      </c>
      <c r="H431" s="101"/>
      <c r="J431" s="98" t="s">
        <v>49</v>
      </c>
      <c r="L431" s="99"/>
      <c r="M431" s="101"/>
      <c r="N431" s="101"/>
      <c r="O431" s="101"/>
      <c r="P431" s="101"/>
      <c r="Q431" s="101"/>
      <c r="R431" s="96"/>
      <c r="S431" s="96">
        <f t="shared" ref="S431:AD431" si="205">Inputs_TL8_Margin</f>
        <v>8.9999999999999993E-3</v>
      </c>
      <c r="T431" s="96">
        <f t="shared" si="205"/>
        <v>8.9999999999999993E-3</v>
      </c>
      <c r="U431" s="96">
        <f t="shared" si="205"/>
        <v>8.9999999999999993E-3</v>
      </c>
      <c r="V431" s="96">
        <f t="shared" si="205"/>
        <v>8.9999999999999993E-3</v>
      </c>
      <c r="W431" s="96">
        <f t="shared" si="205"/>
        <v>8.9999999999999993E-3</v>
      </c>
      <c r="X431" s="96">
        <f t="shared" si="205"/>
        <v>0.01</v>
      </c>
      <c r="Y431" s="96">
        <f t="shared" si="205"/>
        <v>0.01</v>
      </c>
      <c r="Z431" s="96">
        <f t="shared" si="205"/>
        <v>0.01</v>
      </c>
      <c r="AA431" s="96">
        <f t="shared" si="205"/>
        <v>0.01</v>
      </c>
      <c r="AB431" s="96">
        <f t="shared" si="205"/>
        <v>0.01</v>
      </c>
      <c r="AC431" s="96">
        <f t="shared" si="205"/>
        <v>1.0999999999999999E-2</v>
      </c>
      <c r="AD431" s="96">
        <f t="shared" si="205"/>
        <v>1.0999999999999999E-2</v>
      </c>
      <c r="AE431" s="96"/>
      <c r="AF431" s="101"/>
      <c r="AG431" s="101"/>
      <c r="AH431" s="101"/>
      <c r="AI431" s="101"/>
      <c r="AJ431" s="101"/>
      <c r="AK431" s="101"/>
      <c r="AL431" s="101"/>
      <c r="AM431" s="101"/>
      <c r="AN431" s="101"/>
      <c r="AO431" s="101"/>
    </row>
    <row r="432" spans="1:41" s="97" customFormat="1" ht="12.6" hidden="1" outlineLevel="1" x14ac:dyDescent="0.25">
      <c r="C432" s="32"/>
      <c r="D432" s="32"/>
      <c r="E432" s="97" t="s">
        <v>170</v>
      </c>
      <c r="H432" s="101"/>
      <c r="J432" s="98" t="s">
        <v>49</v>
      </c>
      <c r="L432" s="99"/>
      <c r="N432" s="101"/>
      <c r="O432" s="101"/>
      <c r="P432" s="101"/>
      <c r="Q432" s="34"/>
      <c r="R432" s="24"/>
      <c r="S432" s="24" t="e">
        <f t="shared" ref="S432:AD432" si="206">+S431+S430</f>
        <v>#NAME?</v>
      </c>
      <c r="T432" s="24" t="e">
        <f t="shared" si="206"/>
        <v>#NAME?</v>
      </c>
      <c r="U432" s="24" t="e">
        <f t="shared" si="206"/>
        <v>#NAME?</v>
      </c>
      <c r="V432" s="24" t="e">
        <f t="shared" si="206"/>
        <v>#NAME?</v>
      </c>
      <c r="W432" s="24" t="e">
        <f t="shared" si="206"/>
        <v>#NAME?</v>
      </c>
      <c r="X432" s="24" t="e">
        <f t="shared" si="206"/>
        <v>#NAME?</v>
      </c>
      <c r="Y432" s="24" t="e">
        <f t="shared" si="206"/>
        <v>#NAME?</v>
      </c>
      <c r="Z432" s="24" t="e">
        <f t="shared" si="206"/>
        <v>#NAME?</v>
      </c>
      <c r="AA432" s="24" t="e">
        <f t="shared" si="206"/>
        <v>#NAME?</v>
      </c>
      <c r="AB432" s="24" t="e">
        <f t="shared" si="206"/>
        <v>#NAME?</v>
      </c>
      <c r="AC432" s="24" t="e">
        <f t="shared" si="206"/>
        <v>#NAME?</v>
      </c>
      <c r="AD432" s="24" t="e">
        <f t="shared" si="206"/>
        <v>#NAME?</v>
      </c>
      <c r="AE432" s="24"/>
      <c r="AF432" s="34"/>
      <c r="AG432" s="34"/>
      <c r="AH432" s="34"/>
      <c r="AI432" s="34"/>
      <c r="AJ432" s="34"/>
      <c r="AK432" s="34"/>
      <c r="AL432" s="34"/>
      <c r="AM432" s="34"/>
      <c r="AN432" s="34"/>
      <c r="AO432" s="34"/>
    </row>
    <row r="433" spans="3:41" s="97" customFormat="1" ht="12.6" hidden="1" outlineLevel="1" x14ac:dyDescent="0.25">
      <c r="C433" s="20"/>
      <c r="D433" s="32"/>
      <c r="E433" s="27" t="s">
        <v>169</v>
      </c>
      <c r="F433" s="28"/>
      <c r="G433" s="28"/>
      <c r="H433" s="100"/>
      <c r="I433" s="28"/>
      <c r="J433" s="29" t="s">
        <v>49</v>
      </c>
      <c r="K433" s="28"/>
      <c r="L433" s="30"/>
      <c r="M433" s="100"/>
      <c r="N433" s="100"/>
      <c r="O433" s="100"/>
      <c r="P433" s="88"/>
      <c r="Q433" s="100"/>
      <c r="R433" s="183"/>
      <c r="S433" s="183" t="e">
        <f t="shared" ref="S433:AD433" si="207">((1+(S431+S430))^(1/12))-1</f>
        <v>#NAME?</v>
      </c>
      <c r="T433" s="183" t="e">
        <f t="shared" si="207"/>
        <v>#NAME?</v>
      </c>
      <c r="U433" s="183" t="e">
        <f t="shared" si="207"/>
        <v>#NAME?</v>
      </c>
      <c r="V433" s="183" t="e">
        <f t="shared" si="207"/>
        <v>#NAME?</v>
      </c>
      <c r="W433" s="183" t="e">
        <f t="shared" si="207"/>
        <v>#NAME?</v>
      </c>
      <c r="X433" s="183" t="e">
        <f t="shared" si="207"/>
        <v>#NAME?</v>
      </c>
      <c r="Y433" s="183" t="e">
        <f t="shared" si="207"/>
        <v>#NAME?</v>
      </c>
      <c r="Z433" s="183" t="e">
        <f t="shared" si="207"/>
        <v>#NAME?</v>
      </c>
      <c r="AA433" s="183" t="e">
        <f t="shared" si="207"/>
        <v>#NAME?</v>
      </c>
      <c r="AB433" s="183" t="e">
        <f t="shared" si="207"/>
        <v>#NAME?</v>
      </c>
      <c r="AC433" s="183" t="e">
        <f t="shared" si="207"/>
        <v>#NAME?</v>
      </c>
      <c r="AD433" s="183" t="e">
        <f t="shared" si="207"/>
        <v>#NAME?</v>
      </c>
      <c r="AE433" s="96"/>
      <c r="AF433" s="101"/>
      <c r="AG433" s="101"/>
      <c r="AH433" s="101"/>
      <c r="AI433" s="101"/>
      <c r="AJ433" s="101"/>
      <c r="AK433" s="101"/>
      <c r="AL433" s="101"/>
      <c r="AM433" s="101"/>
      <c r="AN433" s="101"/>
      <c r="AO433" s="101"/>
    </row>
    <row r="434" spans="3:41" s="97" customFormat="1" hidden="1" outlineLevel="1" x14ac:dyDescent="0.2">
      <c r="H434" s="101"/>
      <c r="J434" s="98"/>
      <c r="L434" s="99"/>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row>
    <row r="435" spans="3:41" s="97" customFormat="1" ht="12.6" hidden="1" outlineLevel="1" x14ac:dyDescent="0.25">
      <c r="E435" s="32" t="s">
        <v>168</v>
      </c>
      <c r="H435" s="101"/>
      <c r="J435" s="98" t="s">
        <v>49</v>
      </c>
      <c r="L435" s="99"/>
      <c r="N435" s="109"/>
      <c r="O435" s="109"/>
      <c r="P435" s="109"/>
      <c r="Q435" s="109"/>
      <c r="R435" s="108"/>
      <c r="S435" s="108">
        <f t="shared" ref="S435:AD435" si="208">Inputs_TL8_Commitment_Fee/12</f>
        <v>0</v>
      </c>
      <c r="T435" s="108">
        <f t="shared" si="208"/>
        <v>0</v>
      </c>
      <c r="U435" s="108">
        <f t="shared" si="208"/>
        <v>0</v>
      </c>
      <c r="V435" s="108">
        <f t="shared" si="208"/>
        <v>0</v>
      </c>
      <c r="W435" s="108">
        <f t="shared" si="208"/>
        <v>0</v>
      </c>
      <c r="X435" s="108">
        <f t="shared" si="208"/>
        <v>0</v>
      </c>
      <c r="Y435" s="108">
        <f t="shared" si="208"/>
        <v>0</v>
      </c>
      <c r="Z435" s="108">
        <f t="shared" si="208"/>
        <v>0</v>
      </c>
      <c r="AA435" s="108">
        <f t="shared" si="208"/>
        <v>0</v>
      </c>
      <c r="AB435" s="108">
        <f t="shared" si="208"/>
        <v>0</v>
      </c>
      <c r="AC435" s="108">
        <f t="shared" si="208"/>
        <v>0</v>
      </c>
      <c r="AD435" s="108">
        <f t="shared" si="208"/>
        <v>0</v>
      </c>
      <c r="AE435" s="109"/>
      <c r="AF435" s="109"/>
      <c r="AG435" s="109"/>
      <c r="AH435" s="109"/>
      <c r="AI435" s="109"/>
      <c r="AJ435" s="109"/>
      <c r="AK435" s="109"/>
      <c r="AL435" s="109"/>
      <c r="AM435" s="109"/>
      <c r="AN435" s="109"/>
      <c r="AO435" s="109"/>
    </row>
    <row r="436" spans="3:41" s="97" customFormat="1" hidden="1" outlineLevel="1" x14ac:dyDescent="0.2">
      <c r="H436" s="101"/>
      <c r="J436" s="98"/>
      <c r="L436" s="99"/>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row>
    <row r="437" spans="3:41" s="97" customFormat="1" ht="12.6" hidden="1" outlineLevel="1" x14ac:dyDescent="0.25">
      <c r="C437" s="32"/>
      <c r="D437" s="32" t="s">
        <v>167</v>
      </c>
      <c r="H437" s="101"/>
      <c r="J437" s="98" t="s">
        <v>1205</v>
      </c>
      <c r="L437" s="99" t="s">
        <v>316</v>
      </c>
      <c r="M437" s="101">
        <f>MAX(R438:AD438)</f>
        <v>0</v>
      </c>
      <c r="O437" s="101"/>
      <c r="P437" s="101"/>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row>
    <row r="438" spans="3:41" s="97" customFormat="1" ht="12.6" hidden="1" outlineLevel="1" x14ac:dyDescent="0.25">
      <c r="C438" s="20"/>
      <c r="D438" s="32" t="s">
        <v>166</v>
      </c>
      <c r="H438" s="101"/>
      <c r="J438" s="98" t="s">
        <v>1205</v>
      </c>
      <c r="L438" s="99"/>
      <c r="M438" s="101"/>
      <c r="N438" s="101"/>
      <c r="O438" s="101"/>
      <c r="P438" s="84"/>
      <c r="Q438" s="101"/>
      <c r="R438" s="101"/>
      <c r="S438" s="101">
        <f>SUM($Q444:S444)</f>
        <v>0</v>
      </c>
      <c r="T438" s="101">
        <f>SUM($Q444:T444)</f>
        <v>0</v>
      </c>
      <c r="U438" s="101">
        <f>SUM($Q444:U444)</f>
        <v>0</v>
      </c>
      <c r="V438" s="101">
        <f>SUM($Q444:V444)</f>
        <v>0</v>
      </c>
      <c r="W438" s="101">
        <f>SUM($Q444:W444)</f>
        <v>0</v>
      </c>
      <c r="X438" s="101">
        <f>SUM($Q444:X444)</f>
        <v>0</v>
      </c>
      <c r="Y438" s="101">
        <f>SUM($Q444:Y444)</f>
        <v>0</v>
      </c>
      <c r="Z438" s="101">
        <f>SUM($Q444:Z444)</f>
        <v>0</v>
      </c>
      <c r="AA438" s="101">
        <f>SUM($Q444:AA444)</f>
        <v>0</v>
      </c>
      <c r="AB438" s="101">
        <f>SUM($Q444:AB444)</f>
        <v>0</v>
      </c>
      <c r="AC438" s="101">
        <f>SUM($Q444:AC444)</f>
        <v>0</v>
      </c>
      <c r="AD438" s="101">
        <f>SUM($Q444:AD444)</f>
        <v>0</v>
      </c>
      <c r="AE438" s="101"/>
      <c r="AF438" s="101"/>
      <c r="AG438" s="101"/>
      <c r="AH438" s="101"/>
      <c r="AI438" s="101"/>
      <c r="AJ438" s="101"/>
      <c r="AK438" s="101"/>
      <c r="AL438" s="101"/>
      <c r="AM438" s="101"/>
      <c r="AN438" s="101"/>
      <c r="AO438" s="101"/>
    </row>
    <row r="439" spans="3:41" s="97" customFormat="1" hidden="1" outlineLevel="1" x14ac:dyDescent="0.2">
      <c r="H439" s="101"/>
      <c r="J439" s="98"/>
      <c r="L439" s="99"/>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row>
    <row r="440" spans="3:41" s="97" customFormat="1" ht="12.6" hidden="1" outlineLevel="1" x14ac:dyDescent="0.25">
      <c r="D440" s="32" t="s">
        <v>165</v>
      </c>
      <c r="H440" s="101"/>
      <c r="J440" s="98" t="s">
        <v>1205</v>
      </c>
      <c r="L440" s="99"/>
      <c r="N440" s="109"/>
      <c r="O440" s="109"/>
      <c r="P440" s="109"/>
      <c r="Q440" s="109"/>
      <c r="R440" s="101"/>
      <c r="S440" s="101">
        <f t="shared" ref="S440:AD440" si="209">S427-S438</f>
        <v>0</v>
      </c>
      <c r="T440" s="101">
        <f t="shared" si="209"/>
        <v>0</v>
      </c>
      <c r="U440" s="101">
        <f t="shared" si="209"/>
        <v>0</v>
      </c>
      <c r="V440" s="101">
        <f t="shared" si="209"/>
        <v>0</v>
      </c>
      <c r="W440" s="101">
        <f t="shared" si="209"/>
        <v>0</v>
      </c>
      <c r="X440" s="101">
        <f t="shared" si="209"/>
        <v>0</v>
      </c>
      <c r="Y440" s="101">
        <f t="shared" si="209"/>
        <v>0</v>
      </c>
      <c r="Z440" s="101">
        <f t="shared" si="209"/>
        <v>0</v>
      </c>
      <c r="AA440" s="101">
        <f t="shared" si="209"/>
        <v>0</v>
      </c>
      <c r="AB440" s="101">
        <f t="shared" si="209"/>
        <v>0</v>
      </c>
      <c r="AC440" s="101">
        <f t="shared" si="209"/>
        <v>0</v>
      </c>
      <c r="AD440" s="101">
        <f t="shared" si="209"/>
        <v>0</v>
      </c>
      <c r="AE440" s="109"/>
      <c r="AF440" s="109"/>
      <c r="AG440" s="109"/>
      <c r="AH440" s="109"/>
      <c r="AI440" s="109"/>
      <c r="AJ440" s="109"/>
      <c r="AK440" s="109"/>
      <c r="AL440" s="109"/>
      <c r="AM440" s="109"/>
      <c r="AN440" s="109"/>
      <c r="AO440" s="109"/>
    </row>
    <row r="441" spans="3:41" s="97" customFormat="1" hidden="1" outlineLevel="1" x14ac:dyDescent="0.2">
      <c r="H441" s="101"/>
      <c r="J441" s="98"/>
      <c r="L441" s="99"/>
      <c r="M441" s="101"/>
      <c r="N441" s="101"/>
      <c r="O441" s="101"/>
      <c r="P441" s="101"/>
      <c r="Q441" s="101"/>
      <c r="R441" s="101"/>
      <c r="S441" s="101"/>
      <c r="T441" s="101"/>
      <c r="U441" s="101"/>
      <c r="V441" s="101"/>
      <c r="W441" s="101"/>
      <c r="X441" s="101"/>
      <c r="Y441" s="101"/>
      <c r="Z441" s="101"/>
      <c r="AA441" s="101"/>
      <c r="AB441" s="101"/>
      <c r="AC441" s="101"/>
      <c r="AD441" s="101"/>
      <c r="AE441" s="101"/>
      <c r="AF441" s="101"/>
      <c r="AG441" s="101"/>
      <c r="AH441" s="101"/>
      <c r="AI441" s="101"/>
      <c r="AJ441" s="101"/>
      <c r="AK441" s="101"/>
      <c r="AL441" s="101"/>
      <c r="AM441" s="101"/>
      <c r="AN441" s="101"/>
      <c r="AO441" s="101"/>
    </row>
    <row r="442" spans="3:41" s="97" customFormat="1" ht="12.6" hidden="1" outlineLevel="1" x14ac:dyDescent="0.25">
      <c r="C442" s="32"/>
      <c r="D442" s="32" t="s">
        <v>164</v>
      </c>
      <c r="H442" s="101"/>
      <c r="J442" s="98"/>
      <c r="L442" s="99"/>
      <c r="N442" s="101"/>
      <c r="O442" s="101"/>
      <c r="P442" s="101"/>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row>
    <row r="443" spans="3:41" s="97" customFormat="1" ht="12.6" hidden="1" outlineLevel="1" x14ac:dyDescent="0.25">
      <c r="C443" s="20"/>
      <c r="D443" s="32"/>
      <c r="E443" s="97" t="s">
        <v>91</v>
      </c>
      <c r="H443" s="101"/>
      <c r="J443" s="98" t="s">
        <v>1205</v>
      </c>
      <c r="L443" s="99"/>
      <c r="M443" s="101"/>
      <c r="N443" s="101"/>
      <c r="O443" s="101"/>
      <c r="P443" s="84"/>
      <c r="Q443" s="101"/>
      <c r="R443" s="101"/>
      <c r="S443" s="101">
        <f t="shared" ref="S443:AD443" si="210">R455</f>
        <v>0</v>
      </c>
      <c r="T443" s="101" t="e">
        <f t="shared" si="210"/>
        <v>#NAME?</v>
      </c>
      <c r="U443" s="101" t="e">
        <f t="shared" si="210"/>
        <v>#NAME?</v>
      </c>
      <c r="V443" s="101" t="e">
        <f t="shared" si="210"/>
        <v>#NAME?</v>
      </c>
      <c r="W443" s="101" t="e">
        <f t="shared" si="210"/>
        <v>#NAME?</v>
      </c>
      <c r="X443" s="101" t="e">
        <f t="shared" si="210"/>
        <v>#NAME?</v>
      </c>
      <c r="Y443" s="101" t="e">
        <f t="shared" si="210"/>
        <v>#NAME?</v>
      </c>
      <c r="Z443" s="101" t="e">
        <f t="shared" si="210"/>
        <v>#NAME?</v>
      </c>
      <c r="AA443" s="101" t="e">
        <f t="shared" si="210"/>
        <v>#NAME?</v>
      </c>
      <c r="AB443" s="101" t="e">
        <f t="shared" si="210"/>
        <v>#NAME?</v>
      </c>
      <c r="AC443" s="101" t="e">
        <f t="shared" si="210"/>
        <v>#NAME?</v>
      </c>
      <c r="AD443" s="101" t="e">
        <f t="shared" si="210"/>
        <v>#NAME?</v>
      </c>
      <c r="AE443" s="101"/>
      <c r="AF443" s="101"/>
      <c r="AG443" s="101"/>
      <c r="AH443" s="101"/>
      <c r="AI443" s="101"/>
      <c r="AJ443" s="101"/>
      <c r="AK443" s="101"/>
      <c r="AL443" s="101"/>
      <c r="AM443" s="101"/>
      <c r="AN443" s="101"/>
      <c r="AO443" s="101"/>
    </row>
    <row r="444" spans="3:41" s="97" customFormat="1" hidden="1" outlineLevel="1" x14ac:dyDescent="0.2">
      <c r="E444" s="97" t="s">
        <v>163</v>
      </c>
      <c r="H444" s="101"/>
      <c r="J444" s="98" t="s">
        <v>1205</v>
      </c>
      <c r="L444" s="99" t="s">
        <v>317</v>
      </c>
      <c r="M444" s="101"/>
      <c r="N444" s="101"/>
      <c r="O444" s="101"/>
      <c r="P444" s="101"/>
      <c r="Q444" s="101">
        <f>Q455</f>
        <v>0</v>
      </c>
      <c r="R444" s="101"/>
      <c r="S444" s="101">
        <f t="shared" ref="S444:AD444" si="211">Inputs_TL8_Drawdown</f>
        <v>0</v>
      </c>
      <c r="T444" s="101">
        <f t="shared" si="211"/>
        <v>0</v>
      </c>
      <c r="U444" s="101">
        <f t="shared" si="211"/>
        <v>0</v>
      </c>
      <c r="V444" s="101">
        <f t="shared" si="211"/>
        <v>0</v>
      </c>
      <c r="W444" s="101">
        <f t="shared" si="211"/>
        <v>0</v>
      </c>
      <c r="X444" s="101">
        <f t="shared" si="211"/>
        <v>0</v>
      </c>
      <c r="Y444" s="101">
        <f t="shared" si="211"/>
        <v>0</v>
      </c>
      <c r="Z444" s="101">
        <f t="shared" si="211"/>
        <v>0</v>
      </c>
      <c r="AA444" s="101">
        <f t="shared" si="211"/>
        <v>0</v>
      </c>
      <c r="AB444" s="101">
        <f t="shared" si="211"/>
        <v>0</v>
      </c>
      <c r="AC444" s="101">
        <f t="shared" si="211"/>
        <v>0</v>
      </c>
      <c r="AD444" s="101">
        <f t="shared" si="211"/>
        <v>0</v>
      </c>
      <c r="AE444" s="101"/>
      <c r="AF444" s="101"/>
      <c r="AG444" s="101"/>
      <c r="AH444" s="101"/>
      <c r="AI444" s="101"/>
      <c r="AJ444" s="101"/>
      <c r="AK444" s="101"/>
      <c r="AL444" s="101"/>
      <c r="AM444" s="101"/>
      <c r="AN444" s="101"/>
      <c r="AO444" s="101"/>
    </row>
    <row r="445" spans="3:41" s="97" customFormat="1" ht="12.6" hidden="1" outlineLevel="1" x14ac:dyDescent="0.25">
      <c r="E445" s="27" t="s">
        <v>162</v>
      </c>
      <c r="F445" s="28"/>
      <c r="G445" s="28"/>
      <c r="H445" s="100"/>
      <c r="I445" s="28"/>
      <c r="J445" s="29" t="s">
        <v>1205</v>
      </c>
      <c r="K445" s="28"/>
      <c r="L445" s="30"/>
      <c r="M445" s="28"/>
      <c r="N445" s="87"/>
      <c r="O445" s="87"/>
      <c r="P445" s="87"/>
      <c r="Q445" s="87"/>
      <c r="R445" s="100"/>
      <c r="S445" s="100">
        <f t="shared" ref="S445:AD445" si="212">SUM(S443:S444)</f>
        <v>0</v>
      </c>
      <c r="T445" s="100" t="e">
        <f t="shared" si="212"/>
        <v>#NAME?</v>
      </c>
      <c r="U445" s="100" t="e">
        <f t="shared" si="212"/>
        <v>#NAME?</v>
      </c>
      <c r="V445" s="100" t="e">
        <f t="shared" si="212"/>
        <v>#NAME?</v>
      </c>
      <c r="W445" s="100" t="e">
        <f t="shared" si="212"/>
        <v>#NAME?</v>
      </c>
      <c r="X445" s="100" t="e">
        <f t="shared" si="212"/>
        <v>#NAME?</v>
      </c>
      <c r="Y445" s="100" t="e">
        <f t="shared" si="212"/>
        <v>#NAME?</v>
      </c>
      <c r="Z445" s="100" t="e">
        <f t="shared" si="212"/>
        <v>#NAME?</v>
      </c>
      <c r="AA445" s="100" t="e">
        <f t="shared" si="212"/>
        <v>#NAME?</v>
      </c>
      <c r="AB445" s="100" t="e">
        <f t="shared" si="212"/>
        <v>#NAME?</v>
      </c>
      <c r="AC445" s="100" t="e">
        <f t="shared" si="212"/>
        <v>#NAME?</v>
      </c>
      <c r="AD445" s="100" t="e">
        <f t="shared" si="212"/>
        <v>#NAME?</v>
      </c>
      <c r="AE445" s="109"/>
      <c r="AF445" s="109"/>
      <c r="AG445" s="109"/>
      <c r="AH445" s="109"/>
      <c r="AI445" s="109"/>
      <c r="AJ445" s="109"/>
      <c r="AK445" s="109"/>
      <c r="AL445" s="109"/>
      <c r="AM445" s="109"/>
      <c r="AN445" s="109"/>
      <c r="AO445" s="109"/>
    </row>
    <row r="446" spans="3:41" s="97" customFormat="1" hidden="1" outlineLevel="1" x14ac:dyDescent="0.2">
      <c r="H446" s="101"/>
      <c r="J446" s="98"/>
      <c r="L446" s="99"/>
      <c r="M446" s="101"/>
      <c r="N446" s="101"/>
      <c r="O446" s="101"/>
      <c r="P446" s="101"/>
      <c r="Q446" s="101"/>
      <c r="R446" s="101"/>
      <c r="S446" s="101"/>
      <c r="T446" s="101"/>
      <c r="U446" s="101"/>
      <c r="V446" s="101"/>
      <c r="W446" s="101"/>
      <c r="X446" s="101"/>
      <c r="Y446" s="101"/>
      <c r="Z446" s="101"/>
      <c r="AA446" s="101"/>
      <c r="AB446" s="101"/>
      <c r="AC446" s="101"/>
      <c r="AD446" s="101"/>
      <c r="AE446" s="101"/>
      <c r="AF446" s="101"/>
      <c r="AG446" s="101"/>
      <c r="AH446" s="101"/>
      <c r="AI446" s="101"/>
      <c r="AJ446" s="101"/>
      <c r="AK446" s="101"/>
      <c r="AL446" s="101"/>
      <c r="AM446" s="101"/>
      <c r="AN446" s="101"/>
      <c r="AO446" s="101"/>
    </row>
    <row r="447" spans="3:41" s="97" customFormat="1" ht="12.6" hidden="1" outlineLevel="1" x14ac:dyDescent="0.25">
      <c r="D447" s="32" t="s">
        <v>161</v>
      </c>
      <c r="H447" s="101"/>
      <c r="L447" s="99"/>
      <c r="N447" s="101"/>
      <c r="O447" s="101"/>
      <c r="P447" s="101"/>
      <c r="Q447" s="101"/>
      <c r="R447" s="101"/>
      <c r="S447" s="101"/>
      <c r="T447" s="101"/>
      <c r="U447" s="101"/>
      <c r="V447" s="101"/>
      <c r="W447" s="101"/>
      <c r="X447" s="101"/>
      <c r="Y447" s="101"/>
      <c r="Z447" s="101"/>
      <c r="AA447" s="101"/>
      <c r="AB447" s="101"/>
      <c r="AC447" s="101"/>
      <c r="AD447" s="101"/>
      <c r="AE447" s="101"/>
      <c r="AF447" s="101"/>
      <c r="AG447" s="101"/>
      <c r="AH447" s="101"/>
      <c r="AI447" s="101"/>
      <c r="AJ447" s="101"/>
      <c r="AK447" s="101"/>
      <c r="AL447" s="101"/>
      <c r="AM447" s="101"/>
      <c r="AN447" s="101"/>
      <c r="AO447" s="101"/>
    </row>
    <row r="448" spans="3:41" s="97" customFormat="1" ht="12.6" hidden="1" outlineLevel="1" x14ac:dyDescent="0.25">
      <c r="C448" s="20"/>
      <c r="D448" s="32"/>
      <c r="E448" s="97" t="s">
        <v>160</v>
      </c>
      <c r="H448" s="101"/>
      <c r="J448" s="98" t="s">
        <v>1205</v>
      </c>
      <c r="L448" s="99"/>
      <c r="M448" s="101"/>
      <c r="N448" s="101"/>
      <c r="O448" s="101"/>
      <c r="P448" s="84"/>
      <c r="Q448" s="101"/>
      <c r="R448" s="108"/>
      <c r="S448" s="108">
        <f t="shared" ref="S448:AD448" si="213">Inputs_TL8_Repayment</f>
        <v>0</v>
      </c>
      <c r="T448" s="108">
        <f t="shared" si="213"/>
        <v>0</v>
      </c>
      <c r="U448" s="108">
        <f t="shared" si="213"/>
        <v>0</v>
      </c>
      <c r="V448" s="108">
        <f t="shared" si="213"/>
        <v>0</v>
      </c>
      <c r="W448" s="108">
        <f t="shared" si="213"/>
        <v>0</v>
      </c>
      <c r="X448" s="108">
        <f t="shared" si="213"/>
        <v>0</v>
      </c>
      <c r="Y448" s="108">
        <f t="shared" si="213"/>
        <v>0</v>
      </c>
      <c r="Z448" s="108">
        <f t="shared" si="213"/>
        <v>0</v>
      </c>
      <c r="AA448" s="108">
        <f t="shared" si="213"/>
        <v>0</v>
      </c>
      <c r="AB448" s="108">
        <f t="shared" si="213"/>
        <v>0</v>
      </c>
      <c r="AC448" s="108">
        <f t="shared" si="213"/>
        <v>0</v>
      </c>
      <c r="AD448" s="108">
        <f t="shared" si="213"/>
        <v>0</v>
      </c>
      <c r="AE448" s="101"/>
      <c r="AF448" s="101"/>
      <c r="AG448" s="101"/>
      <c r="AH448" s="101"/>
      <c r="AI448" s="101"/>
      <c r="AJ448" s="101"/>
      <c r="AK448" s="101"/>
      <c r="AL448" s="101"/>
      <c r="AM448" s="101"/>
      <c r="AN448" s="101"/>
      <c r="AO448" s="101"/>
    </row>
    <row r="449" spans="2:41" s="97" customFormat="1" hidden="1" outlineLevel="1" x14ac:dyDescent="0.2">
      <c r="E449" s="97" t="s">
        <v>146</v>
      </c>
      <c r="H449" s="101"/>
      <c r="J449" s="98" t="s">
        <v>1205</v>
      </c>
      <c r="L449" s="99"/>
      <c r="M449" s="101"/>
      <c r="N449" s="101"/>
      <c r="O449" s="101"/>
      <c r="P449" s="101"/>
      <c r="Q449" s="101"/>
      <c r="R449" s="101"/>
      <c r="S449" s="101" t="e">
        <f t="shared" ref="S449:AD449" si="214">-Inputs_TL8_Repayment*Finance_TL8_Total</f>
        <v>#NAME?</v>
      </c>
      <c r="T449" s="101" t="e">
        <f t="shared" si="214"/>
        <v>#NAME?</v>
      </c>
      <c r="U449" s="101" t="e">
        <f t="shared" si="214"/>
        <v>#NAME?</v>
      </c>
      <c r="V449" s="101" t="e">
        <f t="shared" si="214"/>
        <v>#NAME?</v>
      </c>
      <c r="W449" s="101" t="e">
        <f t="shared" si="214"/>
        <v>#NAME?</v>
      </c>
      <c r="X449" s="101" t="e">
        <f t="shared" si="214"/>
        <v>#NAME?</v>
      </c>
      <c r="Y449" s="101" t="e">
        <f t="shared" si="214"/>
        <v>#NAME?</v>
      </c>
      <c r="Z449" s="101" t="e">
        <f t="shared" si="214"/>
        <v>#NAME?</v>
      </c>
      <c r="AA449" s="101" t="e">
        <f t="shared" si="214"/>
        <v>#NAME?</v>
      </c>
      <c r="AB449" s="101" t="e">
        <f t="shared" si="214"/>
        <v>#NAME?</v>
      </c>
      <c r="AC449" s="101" t="e">
        <f t="shared" si="214"/>
        <v>#NAME?</v>
      </c>
      <c r="AD449" s="101" t="e">
        <f t="shared" si="214"/>
        <v>#NAME?</v>
      </c>
      <c r="AE449" s="101"/>
      <c r="AF449" s="101"/>
      <c r="AG449" s="101"/>
      <c r="AH449" s="101"/>
      <c r="AI449" s="101"/>
      <c r="AJ449" s="101"/>
      <c r="AK449" s="101"/>
      <c r="AL449" s="101"/>
      <c r="AM449" s="101"/>
      <c r="AN449" s="101"/>
      <c r="AO449" s="101"/>
    </row>
    <row r="450" spans="2:41" s="97" customFormat="1" ht="12.6" hidden="1" outlineLevel="1" x14ac:dyDescent="0.25">
      <c r="E450" s="27" t="s">
        <v>159</v>
      </c>
      <c r="F450" s="28"/>
      <c r="G450" s="28"/>
      <c r="H450" s="100"/>
      <c r="I450" s="28"/>
      <c r="J450" s="29" t="s">
        <v>1205</v>
      </c>
      <c r="K450" s="28"/>
      <c r="L450" s="30" t="s">
        <v>318</v>
      </c>
      <c r="M450" s="28"/>
      <c r="N450" s="87"/>
      <c r="O450" s="87"/>
      <c r="P450" s="87"/>
      <c r="Q450" s="87"/>
      <c r="R450" s="100"/>
      <c r="S450" s="100" t="e">
        <f t="shared" ref="S450:AD450" si="215">IF(-S449&lt;S445,S449,-S445)</f>
        <v>#NAME?</v>
      </c>
      <c r="T450" s="100" t="e">
        <f t="shared" si="215"/>
        <v>#NAME?</v>
      </c>
      <c r="U450" s="100" t="e">
        <f t="shared" si="215"/>
        <v>#NAME?</v>
      </c>
      <c r="V450" s="100" t="e">
        <f t="shared" si="215"/>
        <v>#NAME?</v>
      </c>
      <c r="W450" s="100" t="e">
        <f t="shared" si="215"/>
        <v>#NAME?</v>
      </c>
      <c r="X450" s="100" t="e">
        <f t="shared" si="215"/>
        <v>#NAME?</v>
      </c>
      <c r="Y450" s="100" t="e">
        <f t="shared" si="215"/>
        <v>#NAME?</v>
      </c>
      <c r="Z450" s="100" t="e">
        <f t="shared" si="215"/>
        <v>#NAME?</v>
      </c>
      <c r="AA450" s="100" t="e">
        <f t="shared" si="215"/>
        <v>#NAME?</v>
      </c>
      <c r="AB450" s="100" t="e">
        <f t="shared" si="215"/>
        <v>#NAME?</v>
      </c>
      <c r="AC450" s="100" t="e">
        <f t="shared" si="215"/>
        <v>#NAME?</v>
      </c>
      <c r="AD450" s="100" t="e">
        <f t="shared" si="215"/>
        <v>#NAME?</v>
      </c>
      <c r="AE450" s="109"/>
      <c r="AF450" s="109"/>
      <c r="AG450" s="109"/>
      <c r="AH450" s="109"/>
      <c r="AI450" s="109"/>
      <c r="AJ450" s="109"/>
      <c r="AK450" s="109"/>
      <c r="AL450" s="109"/>
      <c r="AM450" s="109"/>
      <c r="AN450" s="109"/>
      <c r="AO450" s="109"/>
    </row>
    <row r="451" spans="2:41" s="97" customFormat="1" hidden="1" outlineLevel="1" x14ac:dyDescent="0.2">
      <c r="H451" s="101"/>
      <c r="J451" s="98"/>
      <c r="L451" s="99"/>
      <c r="M451" s="101"/>
      <c r="N451" s="101"/>
      <c r="O451" s="101"/>
      <c r="P451" s="101"/>
      <c r="Q451" s="101"/>
      <c r="R451" s="101"/>
      <c r="S451" s="101"/>
      <c r="T451" s="101"/>
      <c r="U451" s="101"/>
      <c r="V451" s="101"/>
      <c r="W451" s="101"/>
      <c r="X451" s="101"/>
      <c r="Y451" s="101"/>
      <c r="Z451" s="101"/>
      <c r="AA451" s="101"/>
      <c r="AB451" s="101"/>
      <c r="AC451" s="101"/>
      <c r="AD451" s="101"/>
      <c r="AE451" s="101"/>
      <c r="AF451" s="101"/>
      <c r="AG451" s="101"/>
      <c r="AH451" s="101"/>
      <c r="AI451" s="101"/>
      <c r="AJ451" s="101"/>
      <c r="AK451" s="101"/>
      <c r="AL451" s="101"/>
      <c r="AM451" s="101"/>
      <c r="AN451" s="101"/>
      <c r="AO451" s="101"/>
    </row>
    <row r="452" spans="2:41" s="97" customFormat="1" ht="12.6" hidden="1" outlineLevel="1" x14ac:dyDescent="0.25">
      <c r="D452" s="27" t="s">
        <v>158</v>
      </c>
      <c r="E452" s="28"/>
      <c r="F452" s="28"/>
      <c r="G452" s="28"/>
      <c r="H452" s="100"/>
      <c r="I452" s="28"/>
      <c r="J452" s="29" t="s">
        <v>1205</v>
      </c>
      <c r="K452" s="28"/>
      <c r="L452" s="30"/>
      <c r="M452" s="100"/>
      <c r="N452" s="100"/>
      <c r="O452" s="100"/>
      <c r="P452" s="100"/>
      <c r="Q452" s="100"/>
      <c r="R452" s="100"/>
      <c r="S452" s="100" t="e">
        <f t="shared" ref="S452:AD452" si="216">S445+S450</f>
        <v>#NAME?</v>
      </c>
      <c r="T452" s="100" t="e">
        <f t="shared" si="216"/>
        <v>#NAME?</v>
      </c>
      <c r="U452" s="100" t="e">
        <f t="shared" si="216"/>
        <v>#NAME?</v>
      </c>
      <c r="V452" s="100" t="e">
        <f t="shared" si="216"/>
        <v>#NAME?</v>
      </c>
      <c r="W452" s="100" t="e">
        <f t="shared" si="216"/>
        <v>#NAME?</v>
      </c>
      <c r="X452" s="100" t="e">
        <f t="shared" si="216"/>
        <v>#NAME?</v>
      </c>
      <c r="Y452" s="100" t="e">
        <f t="shared" si="216"/>
        <v>#NAME?</v>
      </c>
      <c r="Z452" s="100" t="e">
        <f t="shared" si="216"/>
        <v>#NAME?</v>
      </c>
      <c r="AA452" s="100" t="e">
        <f t="shared" si="216"/>
        <v>#NAME?</v>
      </c>
      <c r="AB452" s="100" t="e">
        <f t="shared" si="216"/>
        <v>#NAME?</v>
      </c>
      <c r="AC452" s="100" t="e">
        <f t="shared" si="216"/>
        <v>#NAME?</v>
      </c>
      <c r="AD452" s="100" t="e">
        <f t="shared" si="216"/>
        <v>#NAME?</v>
      </c>
      <c r="AE452" s="101"/>
      <c r="AF452" s="101"/>
      <c r="AG452" s="101"/>
      <c r="AH452" s="101"/>
      <c r="AI452" s="101"/>
      <c r="AJ452" s="101"/>
      <c r="AK452" s="101"/>
      <c r="AL452" s="101"/>
      <c r="AM452" s="101"/>
      <c r="AN452" s="101"/>
      <c r="AO452" s="101"/>
    </row>
    <row r="453" spans="2:41" s="97" customFormat="1" ht="12.6" hidden="1" outlineLevel="1" x14ac:dyDescent="0.25">
      <c r="D453" s="32"/>
      <c r="E453" s="32"/>
      <c r="F453" s="32"/>
      <c r="G453" s="32"/>
      <c r="H453" s="103"/>
      <c r="I453" s="32"/>
      <c r="J453" s="37"/>
      <c r="K453" s="32"/>
      <c r="L453" s="99"/>
      <c r="M453" s="103"/>
      <c r="N453" s="103"/>
      <c r="O453" s="103"/>
      <c r="P453" s="103"/>
      <c r="Q453" s="103"/>
      <c r="R453" s="103"/>
      <c r="S453" s="103"/>
      <c r="T453" s="103"/>
      <c r="U453" s="103"/>
      <c r="V453" s="103"/>
      <c r="W453" s="103"/>
      <c r="X453" s="103"/>
      <c r="Y453" s="103"/>
      <c r="Z453" s="103"/>
      <c r="AA453" s="103"/>
      <c r="AB453" s="103"/>
      <c r="AC453" s="103"/>
      <c r="AD453" s="103"/>
      <c r="AE453" s="103"/>
      <c r="AF453" s="103"/>
      <c r="AG453" s="103"/>
      <c r="AH453" s="103"/>
      <c r="AI453" s="103"/>
      <c r="AJ453" s="103"/>
      <c r="AK453" s="103"/>
      <c r="AL453" s="103"/>
      <c r="AM453" s="103"/>
      <c r="AN453" s="103"/>
      <c r="AO453" s="103"/>
    </row>
    <row r="454" spans="2:41" s="97" customFormat="1" hidden="1" outlineLevel="1" x14ac:dyDescent="0.2">
      <c r="E454" s="97" t="s">
        <v>157</v>
      </c>
      <c r="H454" s="101"/>
      <c r="J454" s="98"/>
      <c r="L454" s="99" t="s">
        <v>319</v>
      </c>
      <c r="M454" s="101"/>
      <c r="N454" s="101"/>
      <c r="O454" s="101"/>
      <c r="P454" s="101"/>
      <c r="Q454" s="101"/>
      <c r="R454" s="101"/>
      <c r="S454" s="101"/>
      <c r="T454" s="101"/>
      <c r="U454" s="101"/>
      <c r="V454" s="101"/>
      <c r="W454" s="101"/>
      <c r="X454" s="101"/>
      <c r="Y454" s="101"/>
      <c r="Z454" s="101"/>
      <c r="AA454" s="101"/>
      <c r="AB454" s="101"/>
      <c r="AC454" s="101"/>
      <c r="AD454" s="101"/>
      <c r="AE454" s="101"/>
      <c r="AF454" s="101"/>
      <c r="AG454" s="101"/>
      <c r="AH454" s="101"/>
      <c r="AI454" s="101"/>
      <c r="AJ454" s="101"/>
      <c r="AK454" s="101"/>
      <c r="AL454" s="101"/>
      <c r="AM454" s="101"/>
      <c r="AN454" s="101"/>
      <c r="AO454" s="101"/>
    </row>
    <row r="455" spans="2:41" s="97" customFormat="1" ht="13.2" hidden="1" outlineLevel="1" thickBot="1" x14ac:dyDescent="0.3">
      <c r="D455" s="36" t="s">
        <v>156</v>
      </c>
      <c r="E455" s="58"/>
      <c r="F455" s="58"/>
      <c r="G455" s="58"/>
      <c r="H455" s="105"/>
      <c r="I455" s="58"/>
      <c r="J455" s="59" t="s">
        <v>1205</v>
      </c>
      <c r="K455" s="58"/>
      <c r="L455" s="60" t="s">
        <v>320</v>
      </c>
      <c r="M455" s="105"/>
      <c r="N455" s="105"/>
      <c r="O455" s="182"/>
      <c r="P455" s="182"/>
      <c r="Q455" s="207">
        <v>0</v>
      </c>
      <c r="R455" s="105"/>
      <c r="S455" s="105" t="e">
        <f t="shared" ref="S455:AD455" si="217">S452-S454</f>
        <v>#NAME?</v>
      </c>
      <c r="T455" s="105" t="e">
        <f t="shared" si="217"/>
        <v>#NAME?</v>
      </c>
      <c r="U455" s="105" t="e">
        <f t="shared" si="217"/>
        <v>#NAME?</v>
      </c>
      <c r="V455" s="105" t="e">
        <f t="shared" si="217"/>
        <v>#NAME?</v>
      </c>
      <c r="W455" s="105" t="e">
        <f t="shared" si="217"/>
        <v>#NAME?</v>
      </c>
      <c r="X455" s="105" t="e">
        <f t="shared" si="217"/>
        <v>#NAME?</v>
      </c>
      <c r="Y455" s="105" t="e">
        <f t="shared" si="217"/>
        <v>#NAME?</v>
      </c>
      <c r="Z455" s="105" t="e">
        <f t="shared" si="217"/>
        <v>#NAME?</v>
      </c>
      <c r="AA455" s="105" t="e">
        <f t="shared" si="217"/>
        <v>#NAME?</v>
      </c>
      <c r="AB455" s="105" t="e">
        <f t="shared" si="217"/>
        <v>#NAME?</v>
      </c>
      <c r="AC455" s="105" t="e">
        <f t="shared" si="217"/>
        <v>#NAME?</v>
      </c>
      <c r="AD455" s="105" t="e">
        <f t="shared" si="217"/>
        <v>#NAME?</v>
      </c>
      <c r="AE455" s="34"/>
      <c r="AF455" s="34"/>
      <c r="AG455" s="34"/>
      <c r="AH455" s="34"/>
      <c r="AI455" s="34"/>
      <c r="AJ455" s="34"/>
      <c r="AK455" s="34"/>
      <c r="AL455" s="34"/>
      <c r="AM455" s="34"/>
      <c r="AN455" s="34"/>
      <c r="AO455" s="34"/>
    </row>
    <row r="456" spans="2:41" s="97" customFormat="1" hidden="1" outlineLevel="1" x14ac:dyDescent="0.2">
      <c r="H456" s="101"/>
      <c r="J456" s="98"/>
      <c r="L456" s="99"/>
      <c r="M456" s="101"/>
      <c r="N456" s="101"/>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row>
    <row r="457" spans="2:41" s="97" customFormat="1" ht="12.6" hidden="1" outlineLevel="1" x14ac:dyDescent="0.25">
      <c r="D457" s="32" t="s">
        <v>155</v>
      </c>
      <c r="H457" s="101"/>
      <c r="J457" s="98"/>
      <c r="L457" s="99"/>
      <c r="M457" s="101"/>
      <c r="N457" s="101"/>
      <c r="O457" s="101"/>
      <c r="P457" s="101"/>
      <c r="Q457" s="101"/>
      <c r="R457" s="101"/>
      <c r="S457" s="101"/>
      <c r="T457" s="101"/>
      <c r="U457" s="101"/>
      <c r="V457" s="101"/>
      <c r="W457" s="101"/>
      <c r="X457" s="101"/>
      <c r="Y457" s="101"/>
      <c r="Z457" s="101"/>
      <c r="AA457" s="101"/>
      <c r="AB457" s="101"/>
      <c r="AC457" s="101"/>
      <c r="AD457" s="101"/>
      <c r="AE457" s="101"/>
      <c r="AF457" s="101"/>
      <c r="AG457" s="101"/>
      <c r="AH457" s="101"/>
      <c r="AI457" s="101"/>
      <c r="AJ457" s="101"/>
      <c r="AK457" s="101"/>
      <c r="AL457" s="101"/>
      <c r="AM457" s="101"/>
      <c r="AN457" s="101"/>
      <c r="AO457" s="101"/>
    </row>
    <row r="458" spans="2:41" s="97" customFormat="1" hidden="1" outlineLevel="1" x14ac:dyDescent="0.2">
      <c r="B458" s="20"/>
      <c r="C458" s="20"/>
      <c r="D458" s="20"/>
      <c r="E458" s="97" t="s">
        <v>154</v>
      </c>
      <c r="J458" s="98" t="s">
        <v>1205</v>
      </c>
      <c r="L458" s="99" t="s">
        <v>321</v>
      </c>
      <c r="N458" s="21"/>
      <c r="O458" s="21"/>
      <c r="P458" s="21"/>
      <c r="Q458" s="101">
        <f>IF(Q455&gt;0,IF(((R450)*-1)&gt;Q445,Q445,0-(R450)),0)</f>
        <v>0</v>
      </c>
      <c r="R458" s="101"/>
      <c r="S458" s="101" t="e">
        <f t="shared" ref="S458:AD458" si="218">IF(S455&gt;0,IF(((T450)*-1)&gt;S445,S445,0-(T450)),0)</f>
        <v>#NAME?</v>
      </c>
      <c r="T458" s="101" t="e">
        <f t="shared" si="218"/>
        <v>#NAME?</v>
      </c>
      <c r="U458" s="101" t="e">
        <f t="shared" si="218"/>
        <v>#NAME?</v>
      </c>
      <c r="V458" s="101" t="e">
        <f t="shared" si="218"/>
        <v>#NAME?</v>
      </c>
      <c r="W458" s="101" t="e">
        <f t="shared" si="218"/>
        <v>#NAME?</v>
      </c>
      <c r="X458" s="101" t="e">
        <f t="shared" si="218"/>
        <v>#NAME?</v>
      </c>
      <c r="Y458" s="101" t="e">
        <f t="shared" si="218"/>
        <v>#NAME?</v>
      </c>
      <c r="Z458" s="101" t="e">
        <f t="shared" si="218"/>
        <v>#NAME?</v>
      </c>
      <c r="AA458" s="101" t="e">
        <f t="shared" si="218"/>
        <v>#NAME?</v>
      </c>
      <c r="AB458" s="101" t="e">
        <f t="shared" si="218"/>
        <v>#NAME?</v>
      </c>
      <c r="AC458" s="101" t="e">
        <f t="shared" si="218"/>
        <v>#NAME?</v>
      </c>
      <c r="AD458" s="21" t="e">
        <f t="shared" si="218"/>
        <v>#NAME?</v>
      </c>
      <c r="AE458" s="21"/>
      <c r="AF458" s="21"/>
      <c r="AG458" s="21"/>
      <c r="AH458" s="21"/>
      <c r="AI458" s="21"/>
      <c r="AJ458" s="21"/>
      <c r="AK458" s="21"/>
      <c r="AL458" s="21"/>
      <c r="AM458" s="21"/>
      <c r="AN458" s="21"/>
      <c r="AO458" s="21"/>
    </row>
    <row r="459" spans="2:41" s="97" customFormat="1" hidden="1" outlineLevel="1" x14ac:dyDescent="0.2">
      <c r="E459" s="97" t="s">
        <v>153</v>
      </c>
      <c r="H459" s="101"/>
      <c r="J459" s="98" t="s">
        <v>1205</v>
      </c>
      <c r="L459" s="99" t="s">
        <v>322</v>
      </c>
      <c r="M459" s="101"/>
      <c r="N459" s="101"/>
      <c r="O459" s="101"/>
      <c r="P459" s="101"/>
      <c r="Q459" s="101">
        <f>Q455-Q458</f>
        <v>0</v>
      </c>
      <c r="R459" s="101"/>
      <c r="S459" s="101" t="e">
        <f t="shared" ref="S459:AD459" si="219">S455-S458</f>
        <v>#NAME?</v>
      </c>
      <c r="T459" s="101" t="e">
        <f t="shared" si="219"/>
        <v>#NAME?</v>
      </c>
      <c r="U459" s="101" t="e">
        <f t="shared" si="219"/>
        <v>#NAME?</v>
      </c>
      <c r="V459" s="101" t="e">
        <f t="shared" si="219"/>
        <v>#NAME?</v>
      </c>
      <c r="W459" s="101" t="e">
        <f t="shared" si="219"/>
        <v>#NAME?</v>
      </c>
      <c r="X459" s="101" t="e">
        <f t="shared" si="219"/>
        <v>#NAME?</v>
      </c>
      <c r="Y459" s="101" t="e">
        <f t="shared" si="219"/>
        <v>#NAME?</v>
      </c>
      <c r="Z459" s="101" t="e">
        <f t="shared" si="219"/>
        <v>#NAME?</v>
      </c>
      <c r="AA459" s="101" t="e">
        <f t="shared" si="219"/>
        <v>#NAME?</v>
      </c>
      <c r="AB459" s="101" t="e">
        <f t="shared" si="219"/>
        <v>#NAME?</v>
      </c>
      <c r="AC459" s="101" t="e">
        <f t="shared" si="219"/>
        <v>#NAME?</v>
      </c>
      <c r="AD459" s="101" t="e">
        <f t="shared" si="219"/>
        <v>#NAME?</v>
      </c>
      <c r="AE459" s="101"/>
      <c r="AF459" s="101"/>
      <c r="AG459" s="101"/>
      <c r="AH459" s="101"/>
      <c r="AI459" s="101"/>
      <c r="AJ459" s="101"/>
      <c r="AK459" s="101"/>
      <c r="AL459" s="101"/>
      <c r="AM459" s="101"/>
      <c r="AN459" s="101"/>
      <c r="AO459" s="101"/>
    </row>
    <row r="460" spans="2:41" s="97" customFormat="1" hidden="1" outlineLevel="1" x14ac:dyDescent="0.2">
      <c r="H460" s="101"/>
      <c r="J460" s="98"/>
      <c r="L460" s="99"/>
      <c r="M460" s="101"/>
      <c r="N460" s="101"/>
      <c r="O460" s="101"/>
      <c r="P460" s="101"/>
      <c r="Q460" s="101"/>
      <c r="R460" s="101"/>
      <c r="S460" s="101"/>
      <c r="T460" s="101"/>
      <c r="U460" s="101"/>
      <c r="V460" s="101"/>
      <c r="W460" s="101"/>
      <c r="X460" s="101"/>
      <c r="Y460" s="101"/>
      <c r="Z460" s="101"/>
      <c r="AA460" s="101"/>
      <c r="AB460" s="101"/>
      <c r="AC460" s="101"/>
      <c r="AD460" s="101"/>
      <c r="AE460" s="101"/>
      <c r="AF460" s="101"/>
      <c r="AG460" s="101"/>
      <c r="AH460" s="101"/>
      <c r="AI460" s="101"/>
      <c r="AJ460" s="101"/>
      <c r="AK460" s="101"/>
      <c r="AL460" s="101"/>
      <c r="AM460" s="101"/>
      <c r="AN460" s="101"/>
      <c r="AO460" s="101"/>
    </row>
    <row r="461" spans="2:41" s="97" customFormat="1" ht="12.6" hidden="1" outlineLevel="1" x14ac:dyDescent="0.25">
      <c r="D461" s="32" t="s">
        <v>152</v>
      </c>
      <c r="H461" s="101"/>
      <c r="J461" s="98" t="s">
        <v>20</v>
      </c>
      <c r="L461" s="99"/>
      <c r="M461" s="101"/>
      <c r="N461" s="101"/>
      <c r="O461" s="101"/>
      <c r="P461" s="101"/>
      <c r="Q461" s="101"/>
      <c r="R461" s="101"/>
      <c r="S461" s="101">
        <f t="shared" ref="S461:AD461" si="220">Inputs_TL8_Months_Oustanding</f>
        <v>12</v>
      </c>
      <c r="T461" s="101">
        <f t="shared" si="220"/>
        <v>12</v>
      </c>
      <c r="U461" s="101">
        <f t="shared" si="220"/>
        <v>12</v>
      </c>
      <c r="V461" s="101">
        <f t="shared" si="220"/>
        <v>12</v>
      </c>
      <c r="W461" s="101">
        <f t="shared" si="220"/>
        <v>12</v>
      </c>
      <c r="X461" s="101">
        <f t="shared" si="220"/>
        <v>12</v>
      </c>
      <c r="Y461" s="101">
        <f t="shared" si="220"/>
        <v>12</v>
      </c>
      <c r="Z461" s="101">
        <f t="shared" si="220"/>
        <v>12</v>
      </c>
      <c r="AA461" s="101">
        <f t="shared" si="220"/>
        <v>12</v>
      </c>
      <c r="AB461" s="101">
        <f t="shared" si="220"/>
        <v>12</v>
      </c>
      <c r="AC461" s="101">
        <f t="shared" si="220"/>
        <v>12</v>
      </c>
      <c r="AD461" s="101">
        <f t="shared" si="220"/>
        <v>12</v>
      </c>
      <c r="AE461" s="108"/>
      <c r="AF461" s="108"/>
      <c r="AG461" s="108"/>
      <c r="AH461" s="108"/>
      <c r="AI461" s="108"/>
      <c r="AJ461" s="108"/>
      <c r="AK461" s="108"/>
      <c r="AL461" s="108"/>
      <c r="AM461" s="108"/>
      <c r="AN461" s="108"/>
      <c r="AO461" s="108"/>
    </row>
    <row r="462" spans="2:41" s="97" customFormat="1" hidden="1" outlineLevel="1" x14ac:dyDescent="0.2">
      <c r="H462" s="101"/>
      <c r="J462" s="98"/>
      <c r="L462" s="99"/>
      <c r="M462" s="101"/>
      <c r="N462" s="101"/>
      <c r="O462" s="101"/>
      <c r="P462" s="101"/>
      <c r="Q462" s="101"/>
      <c r="R462" s="101"/>
      <c r="S462" s="101"/>
      <c r="T462" s="101"/>
      <c r="U462" s="101"/>
      <c r="V462" s="101"/>
      <c r="W462" s="101"/>
      <c r="X462" s="101"/>
      <c r="Y462" s="101"/>
      <c r="Z462" s="101"/>
      <c r="AA462" s="101"/>
      <c r="AB462" s="101"/>
      <c r="AC462" s="101"/>
      <c r="AD462" s="101"/>
      <c r="AE462" s="101"/>
      <c r="AF462" s="101"/>
      <c r="AG462" s="101"/>
      <c r="AH462" s="101"/>
      <c r="AI462" s="101"/>
      <c r="AJ462" s="101"/>
      <c r="AK462" s="101"/>
      <c r="AL462" s="101"/>
      <c r="AM462" s="101"/>
      <c r="AN462" s="101"/>
      <c r="AO462" s="101"/>
    </row>
    <row r="463" spans="2:41" s="97" customFormat="1" ht="12.6" hidden="1" outlineLevel="1" x14ac:dyDescent="0.25">
      <c r="D463" s="32" t="s">
        <v>151</v>
      </c>
      <c r="H463" s="101"/>
      <c r="J463" s="98"/>
      <c r="L463" s="99"/>
      <c r="M463" s="101"/>
      <c r="N463" s="101"/>
      <c r="O463" s="101"/>
      <c r="P463" s="101"/>
      <c r="Q463" s="101"/>
      <c r="R463" s="101"/>
      <c r="S463" s="101"/>
      <c r="T463" s="101"/>
      <c r="U463" s="101"/>
      <c r="V463" s="101"/>
      <c r="W463" s="101"/>
      <c r="X463" s="101"/>
      <c r="Y463" s="101"/>
      <c r="Z463" s="101"/>
      <c r="AA463" s="101"/>
      <c r="AB463" s="101"/>
      <c r="AC463" s="101"/>
      <c r="AD463" s="101"/>
      <c r="AE463" s="101"/>
      <c r="AF463" s="101"/>
      <c r="AG463" s="101"/>
      <c r="AH463" s="101"/>
      <c r="AI463" s="101"/>
      <c r="AJ463" s="101"/>
      <c r="AK463" s="101"/>
      <c r="AL463" s="101"/>
      <c r="AM463" s="101"/>
      <c r="AN463" s="101"/>
      <c r="AO463" s="101"/>
    </row>
    <row r="464" spans="2:41" s="97" customFormat="1" hidden="1" outlineLevel="1" x14ac:dyDescent="0.2">
      <c r="E464" s="97" t="s">
        <v>150</v>
      </c>
      <c r="H464" s="101"/>
      <c r="J464" s="98" t="s">
        <v>1205</v>
      </c>
      <c r="L464" s="99" t="s">
        <v>323</v>
      </c>
      <c r="M464" s="101"/>
      <c r="N464" s="101"/>
      <c r="O464" s="101"/>
      <c r="P464" s="101"/>
      <c r="Q464" s="181"/>
      <c r="R464" s="21"/>
      <c r="S464" s="101">
        <f t="shared" ref="S464:AD464" si="221">IF(AND(Inputs_TL8_Availability_Start_Date&gt;R$5,Inputs_TL8_Availability_Start_Date&lt;S$5),-Inputs_TL8_Arrangement_Fee*Inputs_TL8_Maximum_Facility,0)</f>
        <v>0</v>
      </c>
      <c r="T464" s="101">
        <f t="shared" si="221"/>
        <v>0</v>
      </c>
      <c r="U464" s="101">
        <f t="shared" si="221"/>
        <v>0</v>
      </c>
      <c r="V464" s="101">
        <f t="shared" si="221"/>
        <v>0</v>
      </c>
      <c r="W464" s="101">
        <f t="shared" si="221"/>
        <v>0</v>
      </c>
      <c r="X464" s="101">
        <f t="shared" si="221"/>
        <v>0</v>
      </c>
      <c r="Y464" s="101">
        <f t="shared" si="221"/>
        <v>0</v>
      </c>
      <c r="Z464" s="101">
        <f t="shared" si="221"/>
        <v>0</v>
      </c>
      <c r="AA464" s="101">
        <f t="shared" si="221"/>
        <v>0</v>
      </c>
      <c r="AB464" s="101">
        <f t="shared" si="221"/>
        <v>0</v>
      </c>
      <c r="AC464" s="101">
        <f t="shared" si="221"/>
        <v>0</v>
      </c>
      <c r="AD464" s="101">
        <f t="shared" si="221"/>
        <v>0</v>
      </c>
      <c r="AE464" s="181"/>
      <c r="AF464" s="181"/>
      <c r="AG464" s="181"/>
      <c r="AH464" s="181"/>
      <c r="AI464" s="181"/>
      <c r="AJ464" s="181"/>
      <c r="AK464" s="181"/>
      <c r="AL464" s="181"/>
      <c r="AM464" s="181"/>
      <c r="AN464" s="181"/>
      <c r="AO464" s="181"/>
    </row>
    <row r="465" spans="1:41" s="97" customFormat="1" hidden="1" outlineLevel="1" x14ac:dyDescent="0.2">
      <c r="E465" s="97" t="s">
        <v>149</v>
      </c>
      <c r="H465" s="101"/>
      <c r="J465" s="98" t="s">
        <v>1205</v>
      </c>
      <c r="L465" s="99" t="s">
        <v>324</v>
      </c>
      <c r="M465" s="101"/>
      <c r="N465" s="101"/>
      <c r="O465" s="101"/>
      <c r="P465" s="101"/>
      <c r="Q465" s="101"/>
      <c r="R465" s="101"/>
      <c r="S465" s="101">
        <f>-((R440+S440)/2)*(S435*S461)</f>
        <v>0</v>
      </c>
      <c r="T465" s="101">
        <f t="shared" ref="T465:AD465" si="222">-((S440+T440)/2)*(T435*T461)</f>
        <v>0</v>
      </c>
      <c r="U465" s="101">
        <f t="shared" si="222"/>
        <v>0</v>
      </c>
      <c r="V465" s="101">
        <f t="shared" si="222"/>
        <v>0</v>
      </c>
      <c r="W465" s="101">
        <f t="shared" si="222"/>
        <v>0</v>
      </c>
      <c r="X465" s="101">
        <f t="shared" si="222"/>
        <v>0</v>
      </c>
      <c r="Y465" s="101">
        <f t="shared" si="222"/>
        <v>0</v>
      </c>
      <c r="Z465" s="101">
        <f t="shared" si="222"/>
        <v>0</v>
      </c>
      <c r="AA465" s="101">
        <f t="shared" si="222"/>
        <v>0</v>
      </c>
      <c r="AB465" s="101">
        <f t="shared" si="222"/>
        <v>0</v>
      </c>
      <c r="AC465" s="101">
        <f t="shared" si="222"/>
        <v>0</v>
      </c>
      <c r="AD465" s="101">
        <f t="shared" si="222"/>
        <v>0</v>
      </c>
      <c r="AE465" s="101"/>
      <c r="AF465" s="101"/>
      <c r="AG465" s="101"/>
      <c r="AH465" s="101"/>
      <c r="AI465" s="101"/>
      <c r="AJ465" s="101"/>
      <c r="AK465" s="101"/>
      <c r="AL465" s="101"/>
      <c r="AM465" s="101"/>
      <c r="AN465" s="101"/>
      <c r="AO465" s="101"/>
    </row>
    <row r="466" spans="1:41" s="97" customFormat="1" hidden="1" outlineLevel="1" x14ac:dyDescent="0.2">
      <c r="E466" s="28" t="s">
        <v>148</v>
      </c>
      <c r="F466" s="28"/>
      <c r="G466" s="28"/>
      <c r="H466" s="100"/>
      <c r="I466" s="28"/>
      <c r="J466" s="29" t="s">
        <v>1205</v>
      </c>
      <c r="K466" s="28"/>
      <c r="L466" s="30"/>
      <c r="M466" s="100"/>
      <c r="N466" s="100"/>
      <c r="O466" s="100"/>
      <c r="P466" s="100"/>
      <c r="Q466" s="100"/>
      <c r="R466" s="100"/>
      <c r="S466" s="100">
        <f t="shared" ref="S466:AD466" si="223">S464+S465</f>
        <v>0</v>
      </c>
      <c r="T466" s="100">
        <f t="shared" si="223"/>
        <v>0</v>
      </c>
      <c r="U466" s="100">
        <f t="shared" si="223"/>
        <v>0</v>
      </c>
      <c r="V466" s="100">
        <f t="shared" si="223"/>
        <v>0</v>
      </c>
      <c r="W466" s="100">
        <f t="shared" si="223"/>
        <v>0</v>
      </c>
      <c r="X466" s="100">
        <f t="shared" si="223"/>
        <v>0</v>
      </c>
      <c r="Y466" s="100">
        <f t="shared" si="223"/>
        <v>0</v>
      </c>
      <c r="Z466" s="100">
        <f t="shared" si="223"/>
        <v>0</v>
      </c>
      <c r="AA466" s="100">
        <f t="shared" si="223"/>
        <v>0</v>
      </c>
      <c r="AB466" s="100">
        <f t="shared" si="223"/>
        <v>0</v>
      </c>
      <c r="AC466" s="100">
        <f t="shared" si="223"/>
        <v>0</v>
      </c>
      <c r="AD466" s="100">
        <f t="shared" si="223"/>
        <v>0</v>
      </c>
      <c r="AE466" s="101"/>
      <c r="AF466" s="101"/>
      <c r="AG466" s="101"/>
      <c r="AH466" s="101"/>
      <c r="AI466" s="101"/>
      <c r="AJ466" s="101"/>
      <c r="AK466" s="101"/>
      <c r="AL466" s="101"/>
      <c r="AM466" s="101"/>
      <c r="AN466" s="101"/>
      <c r="AO466" s="101"/>
    </row>
    <row r="467" spans="1:41" s="97" customFormat="1" hidden="1" outlineLevel="1" x14ac:dyDescent="0.2">
      <c r="E467" s="20"/>
      <c r="H467" s="101"/>
      <c r="J467" s="98"/>
      <c r="L467" s="99"/>
      <c r="M467" s="101"/>
      <c r="N467" s="101"/>
      <c r="O467" s="101"/>
      <c r="P467" s="101"/>
      <c r="Q467" s="113"/>
      <c r="R467" s="113"/>
      <c r="S467" s="113"/>
      <c r="T467" s="113"/>
      <c r="U467" s="113"/>
      <c r="V467" s="113"/>
      <c r="W467" s="113"/>
      <c r="X467" s="113"/>
      <c r="Y467" s="113"/>
      <c r="Z467" s="113"/>
      <c r="AA467" s="113"/>
      <c r="AB467" s="113"/>
      <c r="AC467" s="113"/>
      <c r="AD467" s="113"/>
      <c r="AE467" s="113"/>
      <c r="AF467" s="113"/>
      <c r="AG467" s="113"/>
      <c r="AH467" s="113"/>
      <c r="AI467" s="113"/>
      <c r="AJ467" s="113"/>
      <c r="AK467" s="113"/>
      <c r="AL467" s="113"/>
      <c r="AM467" s="113"/>
      <c r="AN467" s="113"/>
      <c r="AO467" s="113"/>
    </row>
    <row r="468" spans="1:41" s="97" customFormat="1" ht="12.6" hidden="1" outlineLevel="1" x14ac:dyDescent="0.25">
      <c r="D468" s="27" t="s">
        <v>147</v>
      </c>
      <c r="E468" s="28"/>
      <c r="F468" s="28"/>
      <c r="G468" s="28"/>
      <c r="H468" s="100"/>
      <c r="I468" s="28"/>
      <c r="J468" s="29" t="s">
        <v>1205</v>
      </c>
      <c r="K468" s="28"/>
      <c r="L468" s="30" t="s">
        <v>325</v>
      </c>
      <c r="M468" s="100"/>
      <c r="N468" s="100"/>
      <c r="O468" s="100"/>
      <c r="P468" s="100"/>
      <c r="Q468" s="100"/>
      <c r="R468" s="100"/>
      <c r="S468" s="100" t="e">
        <f t="shared" ref="S468:AD468" si="224">-((S443+S445)/2)*(S433*S461)</f>
        <v>#NAME?</v>
      </c>
      <c r="T468" s="100" t="e">
        <f t="shared" si="224"/>
        <v>#NAME?</v>
      </c>
      <c r="U468" s="100" t="e">
        <f t="shared" si="224"/>
        <v>#NAME?</v>
      </c>
      <c r="V468" s="100" t="e">
        <f t="shared" si="224"/>
        <v>#NAME?</v>
      </c>
      <c r="W468" s="100" t="e">
        <f t="shared" si="224"/>
        <v>#NAME?</v>
      </c>
      <c r="X468" s="100" t="e">
        <f t="shared" si="224"/>
        <v>#NAME?</v>
      </c>
      <c r="Y468" s="100" t="e">
        <f t="shared" si="224"/>
        <v>#NAME?</v>
      </c>
      <c r="Z468" s="100" t="e">
        <f t="shared" si="224"/>
        <v>#NAME?</v>
      </c>
      <c r="AA468" s="100" t="e">
        <f t="shared" si="224"/>
        <v>#NAME?</v>
      </c>
      <c r="AB468" s="100" t="e">
        <f t="shared" si="224"/>
        <v>#NAME?</v>
      </c>
      <c r="AC468" s="100" t="e">
        <f t="shared" si="224"/>
        <v>#NAME?</v>
      </c>
      <c r="AD468" s="100" t="e">
        <f t="shared" si="224"/>
        <v>#NAME?</v>
      </c>
      <c r="AE468" s="101"/>
      <c r="AF468" s="101"/>
      <c r="AG468" s="101"/>
      <c r="AH468" s="101"/>
      <c r="AI468" s="101"/>
      <c r="AJ468" s="101"/>
      <c r="AK468" s="101"/>
      <c r="AL468" s="101"/>
      <c r="AM468" s="101"/>
      <c r="AN468" s="101"/>
      <c r="AO468" s="101"/>
    </row>
    <row r="469" spans="1:41" s="97" customFormat="1" ht="12.6" hidden="1" outlineLevel="1" x14ac:dyDescent="0.25">
      <c r="D469" s="32"/>
      <c r="H469" s="101"/>
      <c r="J469" s="98"/>
      <c r="L469" s="99"/>
      <c r="M469" s="101"/>
      <c r="N469" s="101"/>
      <c r="O469" s="101"/>
      <c r="P469" s="101"/>
      <c r="Q469" s="101"/>
      <c r="R469" s="101"/>
      <c r="S469" s="101"/>
      <c r="T469" s="101"/>
      <c r="U469" s="101"/>
      <c r="V469" s="101"/>
      <c r="W469" s="101"/>
      <c r="X469" s="101"/>
      <c r="Y469" s="101"/>
      <c r="Z469" s="101"/>
      <c r="AA469" s="101"/>
      <c r="AB469" s="101"/>
      <c r="AC469" s="101"/>
      <c r="AD469" s="101"/>
      <c r="AE469" s="101"/>
      <c r="AF469" s="101"/>
      <c r="AG469" s="101"/>
      <c r="AH469" s="101"/>
      <c r="AI469" s="101"/>
      <c r="AJ469" s="101"/>
      <c r="AK469" s="101"/>
      <c r="AL469" s="101"/>
      <c r="AM469" s="101"/>
      <c r="AN469" s="101"/>
      <c r="AO469" s="101"/>
    </row>
    <row r="470" spans="1:41" s="97" customFormat="1" ht="13.2" hidden="1" outlineLevel="1" thickBot="1" x14ac:dyDescent="0.3">
      <c r="D470" s="32"/>
      <c r="H470" s="101"/>
      <c r="J470" s="98"/>
      <c r="L470" s="99"/>
      <c r="M470" s="101"/>
      <c r="N470" s="101"/>
      <c r="O470" s="101"/>
      <c r="P470" s="101"/>
      <c r="Q470" s="101"/>
      <c r="R470" s="101"/>
      <c r="S470" s="101"/>
      <c r="T470" s="101"/>
      <c r="U470" s="101"/>
      <c r="V470" s="101"/>
      <c r="W470" s="101"/>
      <c r="X470" s="101"/>
      <c r="Y470" s="101"/>
      <c r="Z470" s="101"/>
      <c r="AA470" s="101"/>
      <c r="AB470" s="101"/>
      <c r="AC470" s="101"/>
      <c r="AD470" s="101"/>
      <c r="AE470" s="101"/>
      <c r="AF470" s="101"/>
      <c r="AG470" s="101"/>
      <c r="AH470" s="101"/>
      <c r="AI470" s="101"/>
      <c r="AJ470" s="101"/>
      <c r="AK470" s="101"/>
      <c r="AL470" s="101"/>
      <c r="AM470" s="101"/>
      <c r="AN470" s="101"/>
      <c r="AO470" s="101"/>
    </row>
    <row r="471" spans="1:41" s="97" customFormat="1" ht="12.6" hidden="1" outlineLevel="1" thickTop="1" x14ac:dyDescent="0.2">
      <c r="A471" s="1"/>
      <c r="B471" s="20"/>
      <c r="C471" s="337" t="s">
        <v>528</v>
      </c>
      <c r="D471" s="337"/>
      <c r="E471" s="338"/>
      <c r="F471" s="338"/>
      <c r="G471" s="338"/>
      <c r="H471" s="338"/>
      <c r="I471" s="338"/>
      <c r="J471" s="340"/>
      <c r="K471" s="338"/>
      <c r="L471" s="342"/>
      <c r="M471" s="338"/>
      <c r="N471" s="343"/>
      <c r="O471" s="343"/>
      <c r="P471" s="343"/>
      <c r="Q471" s="343"/>
      <c r="R471" s="343"/>
      <c r="S471" s="343"/>
      <c r="T471" s="343"/>
      <c r="U471" s="343"/>
      <c r="V471" s="343"/>
      <c r="W471" s="343"/>
      <c r="X471" s="343"/>
      <c r="Y471" s="343"/>
      <c r="Z471" s="343"/>
      <c r="AA471" s="343"/>
      <c r="AB471" s="343"/>
      <c r="AC471" s="343"/>
      <c r="AD471" s="343"/>
      <c r="AE471" s="101"/>
      <c r="AF471" s="101"/>
      <c r="AG471" s="101"/>
      <c r="AH471" s="101"/>
      <c r="AI471" s="101"/>
      <c r="AJ471" s="101"/>
      <c r="AK471" s="101"/>
      <c r="AL471" s="101"/>
      <c r="AM471" s="101"/>
      <c r="AN471" s="101"/>
      <c r="AO471" s="101"/>
    </row>
    <row r="472" spans="1:41" s="97" customFormat="1" ht="12.6" hidden="1" outlineLevel="1" x14ac:dyDescent="0.25">
      <c r="C472" s="20"/>
      <c r="D472" s="32"/>
      <c r="H472" s="101"/>
      <c r="J472" s="98"/>
      <c r="L472" s="99"/>
      <c r="M472" s="101"/>
      <c r="N472" s="101"/>
      <c r="O472" s="101"/>
      <c r="P472" s="84"/>
      <c r="Q472" s="101"/>
      <c r="R472" s="101"/>
      <c r="S472" s="101"/>
      <c r="T472" s="101"/>
      <c r="U472" s="101"/>
      <c r="V472" s="101"/>
      <c r="W472" s="101"/>
      <c r="X472" s="101"/>
      <c r="Y472" s="101"/>
      <c r="Z472" s="101"/>
      <c r="AA472" s="101"/>
      <c r="AB472" s="101"/>
      <c r="AC472" s="101"/>
      <c r="AD472" s="101"/>
      <c r="AE472" s="101"/>
      <c r="AF472" s="101"/>
      <c r="AG472" s="101"/>
      <c r="AH472" s="101"/>
      <c r="AI472" s="101"/>
      <c r="AJ472" s="101"/>
      <c r="AK472" s="101"/>
      <c r="AL472" s="101"/>
      <c r="AM472" s="101"/>
      <c r="AN472" s="101"/>
      <c r="AO472" s="101"/>
    </row>
    <row r="473" spans="1:41" s="97" customFormat="1" ht="12.6" hidden="1" outlineLevel="1" x14ac:dyDescent="0.25">
      <c r="C473" s="20"/>
      <c r="D473" s="32" t="s">
        <v>173</v>
      </c>
      <c r="E473" s="32"/>
      <c r="G473" s="184"/>
      <c r="H473" s="101"/>
      <c r="J473" s="98" t="s">
        <v>1205</v>
      </c>
      <c r="L473" s="99"/>
      <c r="M473" s="101"/>
      <c r="N473" s="101"/>
      <c r="O473" s="101"/>
      <c r="P473" s="84"/>
      <c r="Q473" s="101"/>
      <c r="R473" s="101"/>
      <c r="S473" s="101">
        <f t="shared" ref="S473:AD473" si="225">Inputs_TL9_Maximum_Facility</f>
        <v>0</v>
      </c>
      <c r="T473" s="101">
        <f t="shared" si="225"/>
        <v>0</v>
      </c>
      <c r="U473" s="101">
        <f t="shared" si="225"/>
        <v>0</v>
      </c>
      <c r="V473" s="101">
        <f t="shared" si="225"/>
        <v>0</v>
      </c>
      <c r="W473" s="101">
        <f t="shared" si="225"/>
        <v>0</v>
      </c>
      <c r="X473" s="101">
        <f t="shared" si="225"/>
        <v>0</v>
      </c>
      <c r="Y473" s="101">
        <f t="shared" si="225"/>
        <v>0</v>
      </c>
      <c r="Z473" s="101">
        <f t="shared" si="225"/>
        <v>0</v>
      </c>
      <c r="AA473" s="101">
        <f t="shared" si="225"/>
        <v>0</v>
      </c>
      <c r="AB473" s="101">
        <f t="shared" si="225"/>
        <v>0</v>
      </c>
      <c r="AC473" s="101">
        <f t="shared" si="225"/>
        <v>0</v>
      </c>
      <c r="AD473" s="101">
        <f t="shared" si="225"/>
        <v>0</v>
      </c>
      <c r="AE473" s="101"/>
      <c r="AF473" s="101"/>
      <c r="AG473" s="101"/>
      <c r="AH473" s="101"/>
      <c r="AI473" s="101"/>
      <c r="AJ473" s="101"/>
      <c r="AK473" s="101"/>
      <c r="AL473" s="101"/>
      <c r="AM473" s="101"/>
      <c r="AN473" s="101"/>
      <c r="AO473" s="101"/>
    </row>
    <row r="474" spans="1:41" s="97" customFormat="1" ht="12.6" hidden="1" outlineLevel="1" x14ac:dyDescent="0.25">
      <c r="C474" s="20"/>
      <c r="D474" s="32"/>
      <c r="H474" s="101"/>
      <c r="J474" s="98"/>
      <c r="L474" s="99"/>
      <c r="M474" s="101"/>
      <c r="N474" s="101"/>
      <c r="O474" s="101"/>
      <c r="P474" s="84"/>
      <c r="Q474" s="101"/>
      <c r="AE474" s="101"/>
      <c r="AF474" s="101"/>
      <c r="AG474" s="101"/>
      <c r="AH474" s="101"/>
      <c r="AI474" s="101"/>
      <c r="AJ474" s="101"/>
      <c r="AK474" s="101"/>
      <c r="AL474" s="101"/>
      <c r="AM474" s="101"/>
      <c r="AN474" s="101"/>
      <c r="AO474" s="101"/>
    </row>
    <row r="475" spans="1:41" s="97" customFormat="1" ht="12.6" hidden="1" outlineLevel="1" x14ac:dyDescent="0.25">
      <c r="D475" s="32" t="s">
        <v>172</v>
      </c>
      <c r="H475" s="101"/>
      <c r="J475" s="98"/>
      <c r="L475" s="99"/>
      <c r="M475" s="101"/>
      <c r="N475" s="101"/>
      <c r="O475" s="101"/>
      <c r="P475" s="101"/>
      <c r="Q475" s="101"/>
      <c r="R475" s="101"/>
      <c r="S475" s="101"/>
      <c r="T475" s="101"/>
      <c r="U475" s="101"/>
      <c r="V475" s="101"/>
      <c r="W475" s="101"/>
      <c r="X475" s="101"/>
      <c r="Y475" s="101"/>
      <c r="Z475" s="101"/>
      <c r="AA475" s="101"/>
      <c r="AB475" s="101"/>
      <c r="AC475" s="101"/>
      <c r="AD475" s="101"/>
      <c r="AE475" s="101"/>
      <c r="AF475" s="101"/>
      <c r="AG475" s="101"/>
      <c r="AH475" s="101"/>
      <c r="AI475" s="101"/>
      <c r="AJ475" s="101"/>
      <c r="AK475" s="101"/>
      <c r="AL475" s="101"/>
      <c r="AM475" s="101"/>
      <c r="AN475" s="101"/>
      <c r="AO475" s="101"/>
    </row>
    <row r="476" spans="1:41" s="97" customFormat="1" hidden="1" outlineLevel="1" x14ac:dyDescent="0.2">
      <c r="E476" s="97" t="s">
        <v>66</v>
      </c>
      <c r="H476" s="101"/>
      <c r="J476" s="98" t="s">
        <v>49</v>
      </c>
      <c r="L476" s="99"/>
      <c r="N476" s="109"/>
      <c r="O476" s="109"/>
      <c r="P476" s="109"/>
      <c r="Q476" s="109"/>
      <c r="R476" s="24"/>
      <c r="S476" s="24" t="e">
        <f t="shared" ref="S476:AD476" si="226">Inputs_Basecase_Saibor</f>
        <v>#NAME?</v>
      </c>
      <c r="T476" s="24" t="e">
        <f t="shared" si="226"/>
        <v>#NAME?</v>
      </c>
      <c r="U476" s="24" t="e">
        <f t="shared" si="226"/>
        <v>#NAME?</v>
      </c>
      <c r="V476" s="24" t="e">
        <f t="shared" si="226"/>
        <v>#NAME?</v>
      </c>
      <c r="W476" s="24" t="e">
        <f t="shared" si="226"/>
        <v>#NAME?</v>
      </c>
      <c r="X476" s="24" t="e">
        <f t="shared" si="226"/>
        <v>#NAME?</v>
      </c>
      <c r="Y476" s="24" t="e">
        <f t="shared" si="226"/>
        <v>#NAME?</v>
      </c>
      <c r="Z476" s="24" t="e">
        <f t="shared" si="226"/>
        <v>#NAME?</v>
      </c>
      <c r="AA476" s="24" t="e">
        <f t="shared" si="226"/>
        <v>#NAME?</v>
      </c>
      <c r="AB476" s="24" t="e">
        <f t="shared" si="226"/>
        <v>#NAME?</v>
      </c>
      <c r="AC476" s="24" t="e">
        <f t="shared" si="226"/>
        <v>#NAME?</v>
      </c>
      <c r="AD476" s="24" t="e">
        <f t="shared" si="226"/>
        <v>#NAME?</v>
      </c>
      <c r="AE476" s="24"/>
      <c r="AF476" s="109"/>
      <c r="AG476" s="109"/>
      <c r="AH476" s="109"/>
      <c r="AI476" s="109"/>
      <c r="AJ476" s="109"/>
      <c r="AK476" s="109"/>
      <c r="AL476" s="109"/>
      <c r="AM476" s="109"/>
      <c r="AN476" s="109"/>
      <c r="AO476" s="109"/>
    </row>
    <row r="477" spans="1:41" s="97" customFormat="1" hidden="1" outlineLevel="1" x14ac:dyDescent="0.2">
      <c r="E477" s="97" t="s">
        <v>171</v>
      </c>
      <c r="H477" s="101"/>
      <c r="J477" s="98" t="s">
        <v>49</v>
      </c>
      <c r="L477" s="99"/>
      <c r="M477" s="101"/>
      <c r="N477" s="101"/>
      <c r="O477" s="101"/>
      <c r="P477" s="101"/>
      <c r="Q477" s="101"/>
      <c r="R477" s="96"/>
      <c r="S477" s="96">
        <f t="shared" ref="S477:AD477" si="227">Inputs_TL9_Margin</f>
        <v>8.9999999999999993E-3</v>
      </c>
      <c r="T477" s="96">
        <f t="shared" si="227"/>
        <v>8.9999999999999993E-3</v>
      </c>
      <c r="U477" s="96">
        <f t="shared" si="227"/>
        <v>8.9999999999999993E-3</v>
      </c>
      <c r="V477" s="96">
        <f t="shared" si="227"/>
        <v>8.9999999999999993E-3</v>
      </c>
      <c r="W477" s="96">
        <f t="shared" si="227"/>
        <v>8.9999999999999993E-3</v>
      </c>
      <c r="X477" s="96">
        <f t="shared" si="227"/>
        <v>0.01</v>
      </c>
      <c r="Y477" s="96">
        <f t="shared" si="227"/>
        <v>0.01</v>
      </c>
      <c r="Z477" s="96">
        <f t="shared" si="227"/>
        <v>0.01</v>
      </c>
      <c r="AA477" s="96">
        <f t="shared" si="227"/>
        <v>0.01</v>
      </c>
      <c r="AB477" s="96">
        <f t="shared" si="227"/>
        <v>0.01</v>
      </c>
      <c r="AC477" s="96">
        <f t="shared" si="227"/>
        <v>1.0999999999999999E-2</v>
      </c>
      <c r="AD477" s="96">
        <f t="shared" si="227"/>
        <v>1.0999999999999999E-2</v>
      </c>
      <c r="AE477" s="96"/>
      <c r="AF477" s="101"/>
      <c r="AG477" s="101"/>
      <c r="AH477" s="101"/>
      <c r="AI477" s="101"/>
      <c r="AJ477" s="101"/>
      <c r="AK477" s="101"/>
      <c r="AL477" s="101"/>
      <c r="AM477" s="101"/>
      <c r="AN477" s="101"/>
      <c r="AO477" s="101"/>
    </row>
    <row r="478" spans="1:41" s="97" customFormat="1" ht="12.6" hidden="1" outlineLevel="1" x14ac:dyDescent="0.25">
      <c r="C478" s="32"/>
      <c r="D478" s="32"/>
      <c r="E478" s="97" t="s">
        <v>170</v>
      </c>
      <c r="H478" s="101"/>
      <c r="J478" s="98" t="s">
        <v>49</v>
      </c>
      <c r="L478" s="99"/>
      <c r="N478" s="101"/>
      <c r="O478" s="101"/>
      <c r="P478" s="101"/>
      <c r="Q478" s="34"/>
      <c r="R478" s="24"/>
      <c r="S478" s="24" t="e">
        <f t="shared" ref="S478:AD478" si="228">+S477+S476</f>
        <v>#NAME?</v>
      </c>
      <c r="T478" s="24" t="e">
        <f t="shared" si="228"/>
        <v>#NAME?</v>
      </c>
      <c r="U478" s="24" t="e">
        <f t="shared" si="228"/>
        <v>#NAME?</v>
      </c>
      <c r="V478" s="24" t="e">
        <f t="shared" si="228"/>
        <v>#NAME?</v>
      </c>
      <c r="W478" s="24" t="e">
        <f t="shared" si="228"/>
        <v>#NAME?</v>
      </c>
      <c r="X478" s="24" t="e">
        <f t="shared" si="228"/>
        <v>#NAME?</v>
      </c>
      <c r="Y478" s="24" t="e">
        <f t="shared" si="228"/>
        <v>#NAME?</v>
      </c>
      <c r="Z478" s="24" t="e">
        <f t="shared" si="228"/>
        <v>#NAME?</v>
      </c>
      <c r="AA478" s="24" t="e">
        <f t="shared" si="228"/>
        <v>#NAME?</v>
      </c>
      <c r="AB478" s="24" t="e">
        <f t="shared" si="228"/>
        <v>#NAME?</v>
      </c>
      <c r="AC478" s="24" t="e">
        <f t="shared" si="228"/>
        <v>#NAME?</v>
      </c>
      <c r="AD478" s="24" t="e">
        <f t="shared" si="228"/>
        <v>#NAME?</v>
      </c>
      <c r="AE478" s="24"/>
      <c r="AF478" s="34"/>
      <c r="AG478" s="34"/>
      <c r="AH478" s="34"/>
      <c r="AI478" s="34"/>
      <c r="AJ478" s="34"/>
      <c r="AK478" s="34"/>
      <c r="AL478" s="34"/>
      <c r="AM478" s="34"/>
      <c r="AN478" s="34"/>
      <c r="AO478" s="34"/>
    </row>
    <row r="479" spans="1:41" s="97" customFormat="1" ht="12.6" hidden="1" outlineLevel="1" x14ac:dyDescent="0.25">
      <c r="C479" s="20"/>
      <c r="D479" s="32"/>
      <c r="E479" s="27" t="s">
        <v>169</v>
      </c>
      <c r="F479" s="28"/>
      <c r="G479" s="28"/>
      <c r="H479" s="100"/>
      <c r="I479" s="28"/>
      <c r="J479" s="29" t="s">
        <v>49</v>
      </c>
      <c r="K479" s="28"/>
      <c r="L479" s="30"/>
      <c r="M479" s="100"/>
      <c r="N479" s="100"/>
      <c r="O479" s="100"/>
      <c r="P479" s="88"/>
      <c r="Q479" s="100"/>
      <c r="R479" s="183"/>
      <c r="S479" s="183" t="e">
        <f t="shared" ref="S479:AD479" si="229">((1+(S477+S476))^(1/12))-1</f>
        <v>#NAME?</v>
      </c>
      <c r="T479" s="183" t="e">
        <f t="shared" si="229"/>
        <v>#NAME?</v>
      </c>
      <c r="U479" s="183" t="e">
        <f t="shared" si="229"/>
        <v>#NAME?</v>
      </c>
      <c r="V479" s="183" t="e">
        <f t="shared" si="229"/>
        <v>#NAME?</v>
      </c>
      <c r="W479" s="183" t="e">
        <f t="shared" si="229"/>
        <v>#NAME?</v>
      </c>
      <c r="X479" s="183" t="e">
        <f t="shared" si="229"/>
        <v>#NAME?</v>
      </c>
      <c r="Y479" s="183" t="e">
        <f t="shared" si="229"/>
        <v>#NAME?</v>
      </c>
      <c r="Z479" s="183" t="e">
        <f t="shared" si="229"/>
        <v>#NAME?</v>
      </c>
      <c r="AA479" s="183" t="e">
        <f t="shared" si="229"/>
        <v>#NAME?</v>
      </c>
      <c r="AB479" s="183" t="e">
        <f t="shared" si="229"/>
        <v>#NAME?</v>
      </c>
      <c r="AC479" s="183" t="e">
        <f t="shared" si="229"/>
        <v>#NAME?</v>
      </c>
      <c r="AD479" s="183" t="e">
        <f t="shared" si="229"/>
        <v>#NAME?</v>
      </c>
      <c r="AE479" s="96"/>
      <c r="AF479" s="101"/>
      <c r="AG479" s="101"/>
      <c r="AH479" s="101"/>
      <c r="AI479" s="101"/>
      <c r="AJ479" s="101"/>
      <c r="AK479" s="101"/>
      <c r="AL479" s="101"/>
      <c r="AM479" s="101"/>
      <c r="AN479" s="101"/>
      <c r="AO479" s="101"/>
    </row>
    <row r="480" spans="1:41" s="97" customFormat="1" hidden="1" outlineLevel="1" x14ac:dyDescent="0.2">
      <c r="H480" s="101"/>
      <c r="J480" s="98"/>
      <c r="L480" s="99"/>
      <c r="M480" s="101"/>
      <c r="N480" s="101"/>
      <c r="O480" s="101"/>
      <c r="P480" s="101"/>
      <c r="Q480" s="101"/>
      <c r="R480" s="101"/>
      <c r="S480" s="101"/>
      <c r="T480" s="101"/>
      <c r="U480" s="101"/>
      <c r="V480" s="101"/>
      <c r="W480" s="101"/>
      <c r="X480" s="101"/>
      <c r="Y480" s="101"/>
      <c r="Z480" s="101"/>
      <c r="AA480" s="101"/>
      <c r="AB480" s="101"/>
      <c r="AC480" s="101"/>
      <c r="AD480" s="101"/>
      <c r="AE480" s="101"/>
      <c r="AF480" s="101"/>
      <c r="AG480" s="101"/>
      <c r="AH480" s="101"/>
      <c r="AI480" s="101"/>
      <c r="AJ480" s="101"/>
      <c r="AK480" s="101"/>
      <c r="AL480" s="101"/>
      <c r="AM480" s="101"/>
      <c r="AN480" s="101"/>
      <c r="AO480" s="101"/>
    </row>
    <row r="481" spans="3:41" s="97" customFormat="1" ht="12.6" hidden="1" outlineLevel="1" x14ac:dyDescent="0.25">
      <c r="E481" s="32" t="s">
        <v>168</v>
      </c>
      <c r="H481" s="101"/>
      <c r="J481" s="98" t="s">
        <v>49</v>
      </c>
      <c r="L481" s="99"/>
      <c r="N481" s="109"/>
      <c r="O481" s="109"/>
      <c r="P481" s="109"/>
      <c r="Q481" s="109"/>
      <c r="R481" s="108"/>
      <c r="S481" s="24">
        <f t="shared" ref="S481:AD481" si="230">Inputs_TL9_Commitment_Fee/12</f>
        <v>4.1666666666666669E-4</v>
      </c>
      <c r="T481" s="24">
        <f t="shared" si="230"/>
        <v>4.1666666666666669E-4</v>
      </c>
      <c r="U481" s="24">
        <f t="shared" si="230"/>
        <v>4.1666666666666669E-4</v>
      </c>
      <c r="V481" s="24">
        <f t="shared" si="230"/>
        <v>4.1666666666666669E-4</v>
      </c>
      <c r="W481" s="24">
        <f t="shared" si="230"/>
        <v>4.1666666666666669E-4</v>
      </c>
      <c r="X481" s="24">
        <f t="shared" si="230"/>
        <v>4.1666666666666669E-4</v>
      </c>
      <c r="Y481" s="24">
        <f t="shared" si="230"/>
        <v>4.1666666666666669E-4</v>
      </c>
      <c r="Z481" s="24">
        <f t="shared" si="230"/>
        <v>4.1666666666666669E-4</v>
      </c>
      <c r="AA481" s="24">
        <f t="shared" si="230"/>
        <v>4.1666666666666669E-4</v>
      </c>
      <c r="AB481" s="24">
        <f t="shared" si="230"/>
        <v>4.1666666666666669E-4</v>
      </c>
      <c r="AC481" s="24">
        <f t="shared" si="230"/>
        <v>4.1666666666666669E-4</v>
      </c>
      <c r="AD481" s="24">
        <f t="shared" si="230"/>
        <v>4.1666666666666669E-4</v>
      </c>
      <c r="AE481" s="109"/>
      <c r="AF481" s="109"/>
      <c r="AG481" s="109"/>
      <c r="AH481" s="109"/>
      <c r="AI481" s="109"/>
      <c r="AJ481" s="109"/>
      <c r="AK481" s="109"/>
      <c r="AL481" s="109"/>
      <c r="AM481" s="109"/>
      <c r="AN481" s="109"/>
      <c r="AO481" s="109"/>
    </row>
    <row r="482" spans="3:41" s="97" customFormat="1" hidden="1" outlineLevel="1" x14ac:dyDescent="0.2">
      <c r="H482" s="101"/>
      <c r="J482" s="98"/>
      <c r="L482" s="99"/>
      <c r="M482" s="101"/>
      <c r="N482" s="101"/>
      <c r="O482" s="101"/>
      <c r="P482" s="101"/>
      <c r="Q482" s="101"/>
      <c r="R482" s="101"/>
      <c r="S482" s="101"/>
      <c r="T482" s="101"/>
      <c r="U482" s="101"/>
      <c r="V482" s="101"/>
      <c r="W482" s="101"/>
      <c r="X482" s="101"/>
      <c r="Y482" s="101"/>
      <c r="Z482" s="101"/>
      <c r="AA482" s="101"/>
      <c r="AB482" s="101"/>
      <c r="AC482" s="101"/>
      <c r="AD482" s="101"/>
      <c r="AE482" s="101"/>
      <c r="AF482" s="101"/>
      <c r="AG482" s="101"/>
      <c r="AH482" s="101"/>
      <c r="AI482" s="101"/>
      <c r="AJ482" s="101"/>
      <c r="AK482" s="101"/>
      <c r="AL482" s="101"/>
      <c r="AM482" s="101"/>
      <c r="AN482" s="101"/>
      <c r="AO482" s="101"/>
    </row>
    <row r="483" spans="3:41" s="97" customFormat="1" ht="12.6" hidden="1" outlineLevel="1" x14ac:dyDescent="0.25">
      <c r="C483" s="32"/>
      <c r="D483" s="32" t="s">
        <v>167</v>
      </c>
      <c r="H483" s="101"/>
      <c r="J483" s="98" t="s">
        <v>1205</v>
      </c>
      <c r="L483" s="99" t="s">
        <v>374</v>
      </c>
      <c r="M483" s="101" t="e">
        <f>MAX(R484:AD484)</f>
        <v>#NAME?</v>
      </c>
      <c r="O483" s="101"/>
      <c r="P483" s="101"/>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row>
    <row r="484" spans="3:41" s="97" customFormat="1" ht="12.6" hidden="1" outlineLevel="1" x14ac:dyDescent="0.25">
      <c r="C484" s="20"/>
      <c r="D484" s="32" t="s">
        <v>166</v>
      </c>
      <c r="H484" s="101"/>
      <c r="J484" s="98" t="s">
        <v>1205</v>
      </c>
      <c r="L484" s="99"/>
      <c r="M484" s="101"/>
      <c r="N484" s="101"/>
      <c r="O484" s="101"/>
      <c r="P484" s="84"/>
      <c r="Q484" s="101"/>
      <c r="R484" s="101"/>
      <c r="S484" s="101" t="e">
        <f>SUM($Q490:S490)</f>
        <v>#NAME?</v>
      </c>
      <c r="T484" s="101" t="e">
        <f>SUM($Q490:T490)</f>
        <v>#NAME?</v>
      </c>
      <c r="U484" s="101" t="e">
        <f>SUM($Q490:U490)</f>
        <v>#NAME?</v>
      </c>
      <c r="V484" s="101" t="e">
        <f>SUM($Q490:V490)</f>
        <v>#NAME?</v>
      </c>
      <c r="W484" s="101" t="e">
        <f>SUM($Q490:W490)</f>
        <v>#NAME?</v>
      </c>
      <c r="X484" s="101" t="e">
        <f>SUM($Q490:X490)</f>
        <v>#NAME?</v>
      </c>
      <c r="Y484" s="101" t="e">
        <f>SUM($Q490:Y490)</f>
        <v>#NAME?</v>
      </c>
      <c r="Z484" s="101" t="e">
        <f>SUM($Q490:Z490)</f>
        <v>#NAME?</v>
      </c>
      <c r="AA484" s="101" t="e">
        <f>SUM($Q490:AA490)</f>
        <v>#NAME?</v>
      </c>
      <c r="AB484" s="101" t="e">
        <f>SUM($Q490:AB490)</f>
        <v>#NAME?</v>
      </c>
      <c r="AC484" s="101" t="e">
        <f>SUM($Q490:AC490)</f>
        <v>#NAME?</v>
      </c>
      <c r="AD484" s="101" t="e">
        <f>SUM($Q490:AD490)</f>
        <v>#NAME?</v>
      </c>
      <c r="AE484" s="101"/>
      <c r="AF484" s="101"/>
      <c r="AG484" s="101"/>
      <c r="AH484" s="101"/>
      <c r="AI484" s="101"/>
      <c r="AJ484" s="101"/>
      <c r="AK484" s="101"/>
      <c r="AL484" s="101"/>
      <c r="AM484" s="101"/>
      <c r="AN484" s="101"/>
      <c r="AO484" s="101"/>
    </row>
    <row r="485" spans="3:41" s="97" customFormat="1" hidden="1" outlineLevel="1" x14ac:dyDescent="0.2">
      <c r="H485" s="101"/>
      <c r="J485" s="98"/>
      <c r="L485" s="99"/>
      <c r="M485" s="101"/>
      <c r="N485" s="101"/>
      <c r="O485" s="101"/>
      <c r="P485" s="101"/>
      <c r="Q485" s="101"/>
      <c r="R485" s="101"/>
      <c r="S485" s="101"/>
      <c r="T485" s="101"/>
      <c r="U485" s="101"/>
      <c r="V485" s="101"/>
      <c r="W485" s="101"/>
      <c r="X485" s="101"/>
      <c r="Y485" s="101"/>
      <c r="Z485" s="101"/>
      <c r="AA485" s="101"/>
      <c r="AB485" s="101"/>
      <c r="AC485" s="101"/>
      <c r="AD485" s="101"/>
      <c r="AE485" s="101"/>
      <c r="AF485" s="101"/>
      <c r="AG485" s="101"/>
      <c r="AH485" s="101"/>
      <c r="AI485" s="101"/>
      <c r="AJ485" s="101"/>
      <c r="AK485" s="101"/>
      <c r="AL485" s="101"/>
      <c r="AM485" s="101"/>
      <c r="AN485" s="101"/>
      <c r="AO485" s="101"/>
    </row>
    <row r="486" spans="3:41" s="97" customFormat="1" ht="12.6" hidden="1" outlineLevel="1" x14ac:dyDescent="0.25">
      <c r="D486" s="32" t="s">
        <v>165</v>
      </c>
      <c r="H486" s="101"/>
      <c r="J486" s="98" t="s">
        <v>1205</v>
      </c>
      <c r="L486" s="99"/>
      <c r="N486" s="109"/>
      <c r="O486" s="109"/>
      <c r="P486" s="109"/>
      <c r="Q486" s="109"/>
      <c r="R486" s="101"/>
      <c r="S486" s="101" t="e">
        <f t="shared" ref="S486:AD486" si="231">S473-S484</f>
        <v>#NAME?</v>
      </c>
      <c r="T486" s="101" t="e">
        <f t="shared" si="231"/>
        <v>#NAME?</v>
      </c>
      <c r="U486" s="101" t="e">
        <f t="shared" si="231"/>
        <v>#NAME?</v>
      </c>
      <c r="V486" s="101" t="e">
        <f t="shared" si="231"/>
        <v>#NAME?</v>
      </c>
      <c r="W486" s="101" t="e">
        <f t="shared" si="231"/>
        <v>#NAME?</v>
      </c>
      <c r="X486" s="101" t="e">
        <f t="shared" si="231"/>
        <v>#NAME?</v>
      </c>
      <c r="Y486" s="101" t="e">
        <f t="shared" si="231"/>
        <v>#NAME?</v>
      </c>
      <c r="Z486" s="101" t="e">
        <f t="shared" si="231"/>
        <v>#NAME?</v>
      </c>
      <c r="AA486" s="101" t="e">
        <f t="shared" si="231"/>
        <v>#NAME?</v>
      </c>
      <c r="AB486" s="101" t="e">
        <f t="shared" si="231"/>
        <v>#NAME?</v>
      </c>
      <c r="AC486" s="101" t="e">
        <f t="shared" si="231"/>
        <v>#NAME?</v>
      </c>
      <c r="AD486" s="101" t="e">
        <f t="shared" si="231"/>
        <v>#NAME?</v>
      </c>
      <c r="AE486" s="109"/>
      <c r="AF486" s="109"/>
      <c r="AG486" s="109"/>
      <c r="AH486" s="109"/>
      <c r="AI486" s="109"/>
      <c r="AJ486" s="109"/>
      <c r="AK486" s="109"/>
      <c r="AL486" s="109"/>
      <c r="AM486" s="109"/>
      <c r="AN486" s="109"/>
      <c r="AO486" s="109"/>
    </row>
    <row r="487" spans="3:41" s="97" customFormat="1" hidden="1" outlineLevel="1" x14ac:dyDescent="0.2">
      <c r="H487" s="101"/>
      <c r="J487" s="98"/>
      <c r="L487" s="99"/>
      <c r="M487" s="101"/>
      <c r="N487" s="101"/>
      <c r="O487" s="101"/>
      <c r="P487" s="101"/>
      <c r="Q487" s="101"/>
      <c r="R487" s="101"/>
      <c r="S487" s="101"/>
      <c r="T487" s="101"/>
      <c r="U487" s="101"/>
      <c r="V487" s="101"/>
      <c r="W487" s="101"/>
      <c r="X487" s="101"/>
      <c r="Y487" s="101"/>
      <c r="Z487" s="101"/>
      <c r="AA487" s="101"/>
      <c r="AB487" s="101"/>
      <c r="AC487" s="101"/>
      <c r="AD487" s="101"/>
      <c r="AE487" s="101"/>
      <c r="AF487" s="101"/>
      <c r="AG487" s="101"/>
      <c r="AH487" s="101"/>
      <c r="AI487" s="101"/>
      <c r="AJ487" s="101"/>
      <c r="AK487" s="101"/>
      <c r="AL487" s="101"/>
      <c r="AM487" s="101"/>
      <c r="AN487" s="101"/>
      <c r="AO487" s="101"/>
    </row>
    <row r="488" spans="3:41" s="97" customFormat="1" ht="12.6" hidden="1" outlineLevel="1" x14ac:dyDescent="0.25">
      <c r="C488" s="32"/>
      <c r="D488" s="32" t="s">
        <v>164</v>
      </c>
      <c r="H488" s="101"/>
      <c r="J488" s="98"/>
      <c r="L488" s="99"/>
      <c r="N488" s="101"/>
      <c r="O488" s="101"/>
      <c r="P488" s="101"/>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row>
    <row r="489" spans="3:41" s="97" customFormat="1" ht="12.6" hidden="1" outlineLevel="1" x14ac:dyDescent="0.25">
      <c r="C489" s="20"/>
      <c r="D489" s="32"/>
      <c r="E489" s="97" t="s">
        <v>91</v>
      </c>
      <c r="H489" s="101"/>
      <c r="J489" s="98" t="s">
        <v>1205</v>
      </c>
      <c r="L489" s="99"/>
      <c r="M489" s="101"/>
      <c r="N489" s="101"/>
      <c r="O489" s="101"/>
      <c r="P489" s="84"/>
      <c r="Q489" s="101"/>
      <c r="R489" s="101"/>
      <c r="S489" s="101">
        <f t="shared" ref="S489:AD489" si="232">R501</f>
        <v>0</v>
      </c>
      <c r="T489" s="101" t="e">
        <f t="shared" si="232"/>
        <v>#NAME?</v>
      </c>
      <c r="U489" s="101" t="e">
        <f t="shared" si="232"/>
        <v>#NAME?</v>
      </c>
      <c r="V489" s="101" t="e">
        <f t="shared" si="232"/>
        <v>#NAME?</v>
      </c>
      <c r="W489" s="101" t="e">
        <f t="shared" si="232"/>
        <v>#NAME?</v>
      </c>
      <c r="X489" s="101" t="e">
        <f t="shared" si="232"/>
        <v>#NAME?</v>
      </c>
      <c r="Y489" s="101" t="e">
        <f t="shared" si="232"/>
        <v>#NAME?</v>
      </c>
      <c r="Z489" s="101" t="e">
        <f t="shared" si="232"/>
        <v>#NAME?</v>
      </c>
      <c r="AA489" s="101" t="e">
        <f t="shared" si="232"/>
        <v>#NAME?</v>
      </c>
      <c r="AB489" s="101" t="e">
        <f t="shared" si="232"/>
        <v>#NAME?</v>
      </c>
      <c r="AC489" s="101" t="e">
        <f t="shared" si="232"/>
        <v>#NAME?</v>
      </c>
      <c r="AD489" s="101" t="e">
        <f t="shared" si="232"/>
        <v>#NAME?</v>
      </c>
      <c r="AE489" s="101"/>
      <c r="AF489" s="101"/>
      <c r="AG489" s="101"/>
      <c r="AH489" s="101"/>
      <c r="AI489" s="101"/>
      <c r="AJ489" s="101"/>
      <c r="AK489" s="101"/>
      <c r="AL489" s="101"/>
      <c r="AM489" s="101"/>
      <c r="AN489" s="101"/>
      <c r="AO489" s="101"/>
    </row>
    <row r="490" spans="3:41" s="97" customFormat="1" hidden="1" outlineLevel="1" x14ac:dyDescent="0.2">
      <c r="E490" s="97" t="s">
        <v>163</v>
      </c>
      <c r="H490" s="101"/>
      <c r="J490" s="98" t="s">
        <v>1205</v>
      </c>
      <c r="L490" s="99" t="s">
        <v>375</v>
      </c>
      <c r="M490" s="101"/>
      <c r="N490" s="101"/>
      <c r="O490" s="101"/>
      <c r="P490" s="101"/>
      <c r="Q490" s="101">
        <f>Q501</f>
        <v>0</v>
      </c>
      <c r="R490" s="101"/>
      <c r="S490" s="101" t="e">
        <f t="shared" ref="S490:AD490" si="233">Inputs_TL9_Drawdown</f>
        <v>#NAME?</v>
      </c>
      <c r="T490" s="101" t="e">
        <f t="shared" si="233"/>
        <v>#NAME?</v>
      </c>
      <c r="U490" s="101" t="e">
        <f t="shared" si="233"/>
        <v>#NAME?</v>
      </c>
      <c r="V490" s="101" t="e">
        <f t="shared" si="233"/>
        <v>#NAME?</v>
      </c>
      <c r="W490" s="101" t="e">
        <f t="shared" si="233"/>
        <v>#NAME?</v>
      </c>
      <c r="X490" s="101" t="e">
        <f t="shared" si="233"/>
        <v>#NAME?</v>
      </c>
      <c r="Y490" s="101" t="e">
        <f t="shared" si="233"/>
        <v>#NAME?</v>
      </c>
      <c r="Z490" s="101" t="e">
        <f t="shared" si="233"/>
        <v>#NAME?</v>
      </c>
      <c r="AA490" s="101" t="e">
        <f t="shared" si="233"/>
        <v>#NAME?</v>
      </c>
      <c r="AB490" s="101" t="e">
        <f t="shared" si="233"/>
        <v>#NAME?</v>
      </c>
      <c r="AC490" s="101" t="e">
        <f t="shared" si="233"/>
        <v>#NAME?</v>
      </c>
      <c r="AD490" s="101" t="e">
        <f t="shared" si="233"/>
        <v>#NAME?</v>
      </c>
      <c r="AE490" s="101"/>
      <c r="AF490" s="101"/>
      <c r="AG490" s="101"/>
      <c r="AH490" s="101"/>
      <c r="AI490" s="101"/>
      <c r="AJ490" s="101"/>
      <c r="AK490" s="101"/>
      <c r="AL490" s="101"/>
      <c r="AM490" s="101"/>
      <c r="AN490" s="101"/>
      <c r="AO490" s="101"/>
    </row>
    <row r="491" spans="3:41" s="97" customFormat="1" ht="12.6" hidden="1" outlineLevel="1" x14ac:dyDescent="0.25">
      <c r="E491" s="27" t="s">
        <v>162</v>
      </c>
      <c r="F491" s="28"/>
      <c r="G491" s="28"/>
      <c r="H491" s="100"/>
      <c r="I491" s="28"/>
      <c r="J491" s="29" t="s">
        <v>1205</v>
      </c>
      <c r="K491" s="28"/>
      <c r="L491" s="30"/>
      <c r="M491" s="28"/>
      <c r="N491" s="87"/>
      <c r="O491" s="87"/>
      <c r="P491" s="87"/>
      <c r="Q491" s="87"/>
      <c r="R491" s="100"/>
      <c r="S491" s="100" t="e">
        <f t="shared" ref="S491:AD491" si="234">SUM(S489:S490)</f>
        <v>#NAME?</v>
      </c>
      <c r="T491" s="100" t="e">
        <f t="shared" si="234"/>
        <v>#NAME?</v>
      </c>
      <c r="U491" s="100" t="e">
        <f t="shared" si="234"/>
        <v>#NAME?</v>
      </c>
      <c r="V491" s="100" t="e">
        <f t="shared" si="234"/>
        <v>#NAME?</v>
      </c>
      <c r="W491" s="100" t="e">
        <f t="shared" si="234"/>
        <v>#NAME?</v>
      </c>
      <c r="X491" s="100" t="e">
        <f t="shared" si="234"/>
        <v>#NAME?</v>
      </c>
      <c r="Y491" s="100" t="e">
        <f t="shared" si="234"/>
        <v>#NAME?</v>
      </c>
      <c r="Z491" s="100" t="e">
        <f t="shared" si="234"/>
        <v>#NAME?</v>
      </c>
      <c r="AA491" s="100" t="e">
        <f t="shared" si="234"/>
        <v>#NAME?</v>
      </c>
      <c r="AB491" s="100" t="e">
        <f t="shared" si="234"/>
        <v>#NAME?</v>
      </c>
      <c r="AC491" s="100" t="e">
        <f t="shared" si="234"/>
        <v>#NAME?</v>
      </c>
      <c r="AD491" s="100" t="e">
        <f t="shared" si="234"/>
        <v>#NAME?</v>
      </c>
      <c r="AE491" s="109"/>
      <c r="AF491" s="109"/>
      <c r="AG491" s="109"/>
      <c r="AH491" s="109"/>
      <c r="AI491" s="109"/>
      <c r="AJ491" s="109"/>
      <c r="AK491" s="109"/>
      <c r="AL491" s="109"/>
      <c r="AM491" s="109"/>
      <c r="AN491" s="109"/>
      <c r="AO491" s="109"/>
    </row>
    <row r="492" spans="3:41" s="97" customFormat="1" hidden="1" outlineLevel="1" x14ac:dyDescent="0.2">
      <c r="H492" s="101"/>
      <c r="J492" s="98"/>
      <c r="L492" s="99"/>
      <c r="M492" s="101"/>
      <c r="N492" s="101"/>
      <c r="O492" s="101"/>
      <c r="P492" s="101"/>
      <c r="Q492" s="101"/>
      <c r="R492" s="101"/>
      <c r="S492" s="101"/>
      <c r="T492" s="101"/>
      <c r="U492" s="101"/>
      <c r="V492" s="101"/>
      <c r="W492" s="101"/>
      <c r="X492" s="101"/>
      <c r="Y492" s="101"/>
      <c r="Z492" s="101"/>
      <c r="AA492" s="101"/>
      <c r="AB492" s="101"/>
      <c r="AC492" s="101"/>
      <c r="AD492" s="101"/>
      <c r="AE492" s="101"/>
      <c r="AF492" s="101"/>
      <c r="AG492" s="101"/>
      <c r="AH492" s="101"/>
      <c r="AI492" s="101"/>
      <c r="AJ492" s="101"/>
      <c r="AK492" s="101"/>
      <c r="AL492" s="101"/>
      <c r="AM492" s="101"/>
      <c r="AN492" s="101"/>
      <c r="AO492" s="101"/>
    </row>
    <row r="493" spans="3:41" s="97" customFormat="1" ht="12.6" hidden="1" outlineLevel="1" x14ac:dyDescent="0.25">
      <c r="D493" s="32" t="s">
        <v>161</v>
      </c>
      <c r="H493" s="101"/>
      <c r="L493" s="99"/>
      <c r="N493" s="101"/>
      <c r="O493" s="101"/>
      <c r="P493" s="101"/>
      <c r="Q493" s="101"/>
      <c r="R493" s="101"/>
      <c r="S493" s="101"/>
      <c r="T493" s="101"/>
      <c r="U493" s="101"/>
      <c r="V493" s="101"/>
      <c r="W493" s="101"/>
      <c r="X493" s="101"/>
      <c r="Y493" s="101"/>
      <c r="Z493" s="101"/>
      <c r="AA493" s="101"/>
      <c r="AB493" s="101"/>
      <c r="AC493" s="101"/>
      <c r="AD493" s="101"/>
      <c r="AE493" s="101"/>
      <c r="AF493" s="101"/>
      <c r="AG493" s="101"/>
      <c r="AH493" s="101"/>
      <c r="AI493" s="101"/>
      <c r="AJ493" s="101"/>
      <c r="AK493" s="101"/>
      <c r="AL493" s="101"/>
      <c r="AM493" s="101"/>
      <c r="AN493" s="101"/>
      <c r="AO493" s="101"/>
    </row>
    <row r="494" spans="3:41" s="97" customFormat="1" ht="12.6" hidden="1" outlineLevel="1" x14ac:dyDescent="0.25">
      <c r="C494" s="20"/>
      <c r="D494" s="32"/>
      <c r="E494" s="97" t="s">
        <v>160</v>
      </c>
      <c r="H494" s="101"/>
      <c r="J494" s="98" t="s">
        <v>1205</v>
      </c>
      <c r="L494" s="99"/>
      <c r="M494" s="101"/>
      <c r="N494" s="101"/>
      <c r="O494" s="101"/>
      <c r="P494" s="84"/>
      <c r="Q494" s="101"/>
      <c r="R494" s="108"/>
      <c r="S494" s="108" t="e">
        <f t="shared" ref="S494:AD494" si="235">Inputs_TL9_Repayment</f>
        <v>#NAME?</v>
      </c>
      <c r="T494" s="108" t="e">
        <f t="shared" si="235"/>
        <v>#NAME?</v>
      </c>
      <c r="U494" s="108" t="e">
        <f t="shared" si="235"/>
        <v>#NAME?</v>
      </c>
      <c r="V494" s="108" t="e">
        <f t="shared" si="235"/>
        <v>#NAME?</v>
      </c>
      <c r="W494" s="108" t="e">
        <f t="shared" si="235"/>
        <v>#NAME?</v>
      </c>
      <c r="X494" s="108" t="e">
        <f t="shared" si="235"/>
        <v>#NAME?</v>
      </c>
      <c r="Y494" s="108" t="e">
        <f t="shared" si="235"/>
        <v>#NAME?</v>
      </c>
      <c r="Z494" s="108" t="e">
        <f t="shared" si="235"/>
        <v>#NAME?</v>
      </c>
      <c r="AA494" s="108" t="e">
        <f t="shared" si="235"/>
        <v>#NAME?</v>
      </c>
      <c r="AB494" s="108" t="e">
        <f t="shared" si="235"/>
        <v>#NAME?</v>
      </c>
      <c r="AC494" s="108" t="e">
        <f t="shared" si="235"/>
        <v>#NAME?</v>
      </c>
      <c r="AD494" s="108" t="e">
        <f t="shared" si="235"/>
        <v>#NAME?</v>
      </c>
      <c r="AE494" s="101"/>
      <c r="AF494" s="101"/>
      <c r="AG494" s="101"/>
      <c r="AH494" s="101"/>
      <c r="AI494" s="101"/>
      <c r="AJ494" s="101"/>
      <c r="AK494" s="101"/>
      <c r="AL494" s="101"/>
      <c r="AM494" s="101"/>
      <c r="AN494" s="101"/>
      <c r="AO494" s="101"/>
    </row>
    <row r="495" spans="3:41" s="97" customFormat="1" hidden="1" outlineLevel="1" x14ac:dyDescent="0.2">
      <c r="E495" s="97" t="s">
        <v>146</v>
      </c>
      <c r="H495" s="101"/>
      <c r="J495" s="98" t="s">
        <v>1205</v>
      </c>
      <c r="L495" s="99"/>
      <c r="M495" s="101"/>
      <c r="N495" s="101"/>
      <c r="O495" s="101"/>
      <c r="P495" s="101"/>
      <c r="Q495" s="101"/>
      <c r="R495" s="101"/>
      <c r="S495" s="101" t="e">
        <f t="shared" ref="S495:AD495" si="236">-Inputs_TL9_Repayment*Finance_TL9_Total</f>
        <v>#NAME?</v>
      </c>
      <c r="T495" s="101" t="e">
        <f t="shared" si="236"/>
        <v>#NAME?</v>
      </c>
      <c r="U495" s="101" t="e">
        <f t="shared" si="236"/>
        <v>#NAME?</v>
      </c>
      <c r="V495" s="101" t="e">
        <f t="shared" si="236"/>
        <v>#NAME?</v>
      </c>
      <c r="W495" s="101" t="e">
        <f t="shared" si="236"/>
        <v>#NAME?</v>
      </c>
      <c r="X495" s="101" t="e">
        <f t="shared" si="236"/>
        <v>#NAME?</v>
      </c>
      <c r="Y495" s="101" t="e">
        <f t="shared" si="236"/>
        <v>#NAME?</v>
      </c>
      <c r="Z495" s="101" t="e">
        <f t="shared" si="236"/>
        <v>#NAME?</v>
      </c>
      <c r="AA495" s="101" t="e">
        <f t="shared" si="236"/>
        <v>#NAME?</v>
      </c>
      <c r="AB495" s="101" t="e">
        <f t="shared" si="236"/>
        <v>#NAME?</v>
      </c>
      <c r="AC495" s="101" t="e">
        <f t="shared" si="236"/>
        <v>#NAME?</v>
      </c>
      <c r="AD495" s="101" t="e">
        <f t="shared" si="236"/>
        <v>#NAME?</v>
      </c>
      <c r="AE495" s="101"/>
      <c r="AF495" s="101"/>
      <c r="AG495" s="101"/>
      <c r="AH495" s="101"/>
      <c r="AI495" s="101"/>
      <c r="AJ495" s="101"/>
      <c r="AK495" s="101"/>
      <c r="AL495" s="101"/>
      <c r="AM495" s="101"/>
      <c r="AN495" s="101"/>
      <c r="AO495" s="101"/>
    </row>
    <row r="496" spans="3:41" s="97" customFormat="1" ht="12.6" hidden="1" outlineLevel="1" x14ac:dyDescent="0.25">
      <c r="E496" s="27" t="s">
        <v>159</v>
      </c>
      <c r="F496" s="28"/>
      <c r="G496" s="28"/>
      <c r="H496" s="100"/>
      <c r="I496" s="28"/>
      <c r="J496" s="29" t="s">
        <v>1205</v>
      </c>
      <c r="K496" s="28"/>
      <c r="L496" s="30" t="s">
        <v>376</v>
      </c>
      <c r="M496" s="28"/>
      <c r="N496" s="87"/>
      <c r="O496" s="87"/>
      <c r="P496" s="87"/>
      <c r="Q496" s="87"/>
      <c r="R496" s="100"/>
      <c r="S496" s="100" t="e">
        <f t="shared" ref="S496:AD496" si="237">IF(-S495&lt;S491,S495,-S491)</f>
        <v>#NAME?</v>
      </c>
      <c r="T496" s="100" t="e">
        <f t="shared" si="237"/>
        <v>#NAME?</v>
      </c>
      <c r="U496" s="100" t="e">
        <f t="shared" si="237"/>
        <v>#NAME?</v>
      </c>
      <c r="V496" s="100" t="e">
        <f t="shared" si="237"/>
        <v>#NAME?</v>
      </c>
      <c r="W496" s="100" t="e">
        <f t="shared" si="237"/>
        <v>#NAME?</v>
      </c>
      <c r="X496" s="100" t="e">
        <f t="shared" si="237"/>
        <v>#NAME?</v>
      </c>
      <c r="Y496" s="100" t="e">
        <f t="shared" si="237"/>
        <v>#NAME?</v>
      </c>
      <c r="Z496" s="100" t="e">
        <f t="shared" si="237"/>
        <v>#NAME?</v>
      </c>
      <c r="AA496" s="100" t="e">
        <f t="shared" si="237"/>
        <v>#NAME?</v>
      </c>
      <c r="AB496" s="100" t="e">
        <f t="shared" si="237"/>
        <v>#NAME?</v>
      </c>
      <c r="AC496" s="100" t="e">
        <f t="shared" si="237"/>
        <v>#NAME?</v>
      </c>
      <c r="AD496" s="100" t="e">
        <f t="shared" si="237"/>
        <v>#NAME?</v>
      </c>
      <c r="AE496" s="109"/>
      <c r="AF496" s="109"/>
      <c r="AG496" s="109"/>
      <c r="AH496" s="109"/>
      <c r="AI496" s="109"/>
      <c r="AJ496" s="109"/>
      <c r="AK496" s="109"/>
      <c r="AL496" s="109"/>
      <c r="AM496" s="109"/>
      <c r="AN496" s="109"/>
      <c r="AO496" s="109"/>
    </row>
    <row r="497" spans="2:41" s="97" customFormat="1" hidden="1" outlineLevel="1" x14ac:dyDescent="0.2">
      <c r="H497" s="101"/>
      <c r="J497" s="98"/>
      <c r="L497" s="99"/>
      <c r="M497" s="101"/>
      <c r="N497" s="101"/>
      <c r="O497" s="101"/>
      <c r="P497" s="101"/>
      <c r="Q497" s="101"/>
      <c r="R497" s="101"/>
      <c r="S497" s="101"/>
      <c r="T497" s="101"/>
      <c r="U497" s="101"/>
      <c r="V497" s="101"/>
      <c r="W497" s="101"/>
      <c r="X497" s="101"/>
      <c r="Y497" s="101"/>
      <c r="Z497" s="101"/>
      <c r="AA497" s="101"/>
      <c r="AB497" s="101"/>
      <c r="AC497" s="101"/>
      <c r="AD497" s="101"/>
      <c r="AE497" s="101"/>
      <c r="AF497" s="101"/>
      <c r="AG497" s="101"/>
      <c r="AH497" s="101"/>
      <c r="AI497" s="101"/>
      <c r="AJ497" s="101"/>
      <c r="AK497" s="101"/>
      <c r="AL497" s="101"/>
      <c r="AM497" s="101"/>
      <c r="AN497" s="101"/>
      <c r="AO497" s="101"/>
    </row>
    <row r="498" spans="2:41" s="97" customFormat="1" ht="12.6" hidden="1" outlineLevel="1" x14ac:dyDescent="0.25">
      <c r="D498" s="27" t="s">
        <v>158</v>
      </c>
      <c r="E498" s="28"/>
      <c r="F498" s="28"/>
      <c r="G498" s="28"/>
      <c r="H498" s="100"/>
      <c r="I498" s="28"/>
      <c r="J498" s="29" t="s">
        <v>1205</v>
      </c>
      <c r="K498" s="28"/>
      <c r="L498" s="30"/>
      <c r="M498" s="100"/>
      <c r="N498" s="100"/>
      <c r="O498" s="100"/>
      <c r="P498" s="100"/>
      <c r="Q498" s="100"/>
      <c r="R498" s="100"/>
      <c r="S498" s="100" t="e">
        <f t="shared" ref="S498:AD498" si="238">S491+S496</f>
        <v>#NAME?</v>
      </c>
      <c r="T498" s="100" t="e">
        <f t="shared" si="238"/>
        <v>#NAME?</v>
      </c>
      <c r="U498" s="100" t="e">
        <f t="shared" si="238"/>
        <v>#NAME?</v>
      </c>
      <c r="V498" s="100" t="e">
        <f t="shared" si="238"/>
        <v>#NAME?</v>
      </c>
      <c r="W498" s="100" t="e">
        <f t="shared" si="238"/>
        <v>#NAME?</v>
      </c>
      <c r="X498" s="100" t="e">
        <f t="shared" si="238"/>
        <v>#NAME?</v>
      </c>
      <c r="Y498" s="100" t="e">
        <f t="shared" si="238"/>
        <v>#NAME?</v>
      </c>
      <c r="Z498" s="100" t="e">
        <f t="shared" si="238"/>
        <v>#NAME?</v>
      </c>
      <c r="AA498" s="100" t="e">
        <f t="shared" si="238"/>
        <v>#NAME?</v>
      </c>
      <c r="AB498" s="100" t="e">
        <f t="shared" si="238"/>
        <v>#NAME?</v>
      </c>
      <c r="AC498" s="100" t="e">
        <f t="shared" si="238"/>
        <v>#NAME?</v>
      </c>
      <c r="AD498" s="100" t="e">
        <f t="shared" si="238"/>
        <v>#NAME?</v>
      </c>
      <c r="AE498" s="101"/>
      <c r="AF498" s="101"/>
      <c r="AG498" s="101"/>
      <c r="AH498" s="101"/>
      <c r="AI498" s="101"/>
      <c r="AJ498" s="101"/>
      <c r="AK498" s="101"/>
      <c r="AL498" s="101"/>
      <c r="AM498" s="101"/>
      <c r="AN498" s="101"/>
      <c r="AO498" s="101"/>
    </row>
    <row r="499" spans="2:41" s="97" customFormat="1" ht="12.6" hidden="1" outlineLevel="1" x14ac:dyDescent="0.25">
      <c r="D499" s="32"/>
      <c r="E499" s="32"/>
      <c r="F499" s="32"/>
      <c r="G499" s="32"/>
      <c r="H499" s="103"/>
      <c r="I499" s="32"/>
      <c r="J499" s="37"/>
      <c r="K499" s="32"/>
      <c r="L499" s="99"/>
      <c r="M499" s="103"/>
      <c r="N499" s="103"/>
      <c r="O499" s="103"/>
      <c r="P499" s="103"/>
      <c r="Q499" s="103"/>
      <c r="R499" s="103"/>
      <c r="S499" s="103"/>
      <c r="T499" s="103"/>
      <c r="U499" s="103"/>
      <c r="V499" s="103"/>
      <c r="W499" s="103"/>
      <c r="X499" s="103"/>
      <c r="Y499" s="103"/>
      <c r="Z499" s="103"/>
      <c r="AA499" s="103"/>
      <c r="AB499" s="103"/>
      <c r="AC499" s="103"/>
      <c r="AD499" s="103"/>
      <c r="AE499" s="103"/>
      <c r="AF499" s="103"/>
      <c r="AG499" s="103"/>
      <c r="AH499" s="103"/>
      <c r="AI499" s="103"/>
      <c r="AJ499" s="103"/>
      <c r="AK499" s="103"/>
      <c r="AL499" s="103"/>
      <c r="AM499" s="103"/>
      <c r="AN499" s="103"/>
      <c r="AO499" s="103"/>
    </row>
    <row r="500" spans="2:41" s="97" customFormat="1" hidden="1" outlineLevel="1" x14ac:dyDescent="0.2">
      <c r="E500" s="97" t="s">
        <v>157</v>
      </c>
      <c r="H500" s="101"/>
      <c r="J500" s="98"/>
      <c r="L500" s="99" t="s">
        <v>377</v>
      </c>
      <c r="M500" s="101"/>
      <c r="N500" s="101"/>
      <c r="O500" s="101"/>
      <c r="P500" s="101"/>
      <c r="Q500" s="101"/>
      <c r="R500" s="101"/>
      <c r="S500" s="101"/>
      <c r="T500" s="101"/>
      <c r="U500" s="101"/>
      <c r="V500" s="101"/>
      <c r="W500" s="101"/>
      <c r="X500" s="101"/>
      <c r="Y500" s="101"/>
      <c r="Z500" s="101"/>
      <c r="AA500" s="101"/>
      <c r="AB500" s="101"/>
      <c r="AC500" s="101"/>
      <c r="AD500" s="101"/>
      <c r="AE500" s="101"/>
      <c r="AF500" s="101"/>
      <c r="AG500" s="101"/>
      <c r="AH500" s="101"/>
      <c r="AI500" s="101"/>
      <c r="AJ500" s="101"/>
      <c r="AK500" s="101"/>
      <c r="AL500" s="101"/>
      <c r="AM500" s="101"/>
      <c r="AN500" s="101"/>
      <c r="AO500" s="101"/>
    </row>
    <row r="501" spans="2:41" s="97" customFormat="1" ht="13.2" hidden="1" outlineLevel="1" thickBot="1" x14ac:dyDescent="0.3">
      <c r="D501" s="36" t="s">
        <v>156</v>
      </c>
      <c r="E501" s="58"/>
      <c r="F501" s="58"/>
      <c r="G501" s="58"/>
      <c r="H501" s="105"/>
      <c r="I501" s="58"/>
      <c r="J501" s="59" t="s">
        <v>1205</v>
      </c>
      <c r="K501" s="58"/>
      <c r="L501" s="60" t="s">
        <v>378</v>
      </c>
      <c r="M501" s="105"/>
      <c r="N501" s="105"/>
      <c r="O501" s="182"/>
      <c r="P501" s="182"/>
      <c r="Q501" s="207">
        <v>0</v>
      </c>
      <c r="R501" s="105"/>
      <c r="S501" s="105" t="e">
        <f t="shared" ref="S501:AD501" si="239">S498-S500</f>
        <v>#NAME?</v>
      </c>
      <c r="T501" s="105" t="e">
        <f t="shared" si="239"/>
        <v>#NAME?</v>
      </c>
      <c r="U501" s="105" t="e">
        <f t="shared" si="239"/>
        <v>#NAME?</v>
      </c>
      <c r="V501" s="105" t="e">
        <f t="shared" si="239"/>
        <v>#NAME?</v>
      </c>
      <c r="W501" s="105" t="e">
        <f t="shared" si="239"/>
        <v>#NAME?</v>
      </c>
      <c r="X501" s="105" t="e">
        <f t="shared" si="239"/>
        <v>#NAME?</v>
      </c>
      <c r="Y501" s="105" t="e">
        <f t="shared" si="239"/>
        <v>#NAME?</v>
      </c>
      <c r="Z501" s="105" t="e">
        <f t="shared" si="239"/>
        <v>#NAME?</v>
      </c>
      <c r="AA501" s="105" t="e">
        <f t="shared" si="239"/>
        <v>#NAME?</v>
      </c>
      <c r="AB501" s="105" t="e">
        <f t="shared" si="239"/>
        <v>#NAME?</v>
      </c>
      <c r="AC501" s="105" t="e">
        <f t="shared" si="239"/>
        <v>#NAME?</v>
      </c>
      <c r="AD501" s="105" t="e">
        <f t="shared" si="239"/>
        <v>#NAME?</v>
      </c>
      <c r="AE501" s="34"/>
      <c r="AF501" s="34"/>
      <c r="AG501" s="34"/>
      <c r="AH501" s="34"/>
      <c r="AI501" s="34"/>
      <c r="AJ501" s="34"/>
      <c r="AK501" s="34"/>
      <c r="AL501" s="34"/>
      <c r="AM501" s="34"/>
      <c r="AN501" s="34"/>
      <c r="AO501" s="34"/>
    </row>
    <row r="502" spans="2:41" s="97" customFormat="1" hidden="1" outlineLevel="1" x14ac:dyDescent="0.2">
      <c r="H502" s="101"/>
      <c r="J502" s="98"/>
      <c r="L502" s="99"/>
      <c r="M502" s="101"/>
      <c r="N502" s="101"/>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row>
    <row r="503" spans="2:41" s="97" customFormat="1" ht="12.6" hidden="1" outlineLevel="1" x14ac:dyDescent="0.25">
      <c r="D503" s="32" t="s">
        <v>155</v>
      </c>
      <c r="H503" s="101"/>
      <c r="J503" s="98"/>
      <c r="L503" s="99"/>
      <c r="M503" s="101"/>
      <c r="N503" s="101"/>
      <c r="O503" s="101"/>
      <c r="P503" s="101"/>
      <c r="Q503" s="101"/>
      <c r="R503" s="101"/>
      <c r="S503" s="101"/>
      <c r="T503" s="101"/>
      <c r="U503" s="101"/>
      <c r="V503" s="101"/>
      <c r="W503" s="101"/>
      <c r="X503" s="101"/>
      <c r="Y503" s="101"/>
      <c r="Z503" s="101"/>
      <c r="AA503" s="101"/>
      <c r="AB503" s="101"/>
      <c r="AC503" s="101"/>
      <c r="AD503" s="101"/>
      <c r="AE503" s="101"/>
      <c r="AF503" s="101"/>
      <c r="AG503" s="101"/>
      <c r="AH503" s="101"/>
      <c r="AI503" s="101"/>
      <c r="AJ503" s="101"/>
      <c r="AK503" s="101"/>
      <c r="AL503" s="101"/>
      <c r="AM503" s="101"/>
      <c r="AN503" s="101"/>
      <c r="AO503" s="101"/>
    </row>
    <row r="504" spans="2:41" s="97" customFormat="1" hidden="1" outlineLevel="1" x14ac:dyDescent="0.2">
      <c r="B504" s="20"/>
      <c r="C504" s="20"/>
      <c r="D504" s="20"/>
      <c r="E504" s="97" t="s">
        <v>154</v>
      </c>
      <c r="J504" s="98" t="s">
        <v>1205</v>
      </c>
      <c r="L504" s="99" t="s">
        <v>379</v>
      </c>
      <c r="N504" s="21"/>
      <c r="O504" s="21"/>
      <c r="P504" s="21"/>
      <c r="Q504" s="101">
        <f>IF(Q501&gt;0,IF(((R496)*-1)&gt;Q491,Q491,0-(R496)),0)</f>
        <v>0</v>
      </c>
      <c r="R504" s="101"/>
      <c r="S504" s="101" t="e">
        <f t="shared" ref="S504:AD504" si="240">IF(S501&gt;0,IF(((T496)*-1)&gt;S491,S491,0-(T496)),0)</f>
        <v>#NAME?</v>
      </c>
      <c r="T504" s="101" t="e">
        <f t="shared" si="240"/>
        <v>#NAME?</v>
      </c>
      <c r="U504" s="101" t="e">
        <f t="shared" si="240"/>
        <v>#NAME?</v>
      </c>
      <c r="V504" s="101" t="e">
        <f t="shared" si="240"/>
        <v>#NAME?</v>
      </c>
      <c r="W504" s="101" t="e">
        <f t="shared" si="240"/>
        <v>#NAME?</v>
      </c>
      <c r="X504" s="101" t="e">
        <f t="shared" si="240"/>
        <v>#NAME?</v>
      </c>
      <c r="Y504" s="101" t="e">
        <f t="shared" si="240"/>
        <v>#NAME?</v>
      </c>
      <c r="Z504" s="101" t="e">
        <f t="shared" si="240"/>
        <v>#NAME?</v>
      </c>
      <c r="AA504" s="101" t="e">
        <f t="shared" si="240"/>
        <v>#NAME?</v>
      </c>
      <c r="AB504" s="101" t="e">
        <f t="shared" si="240"/>
        <v>#NAME?</v>
      </c>
      <c r="AC504" s="101" t="e">
        <f t="shared" si="240"/>
        <v>#NAME?</v>
      </c>
      <c r="AD504" s="21" t="e">
        <f t="shared" si="240"/>
        <v>#NAME?</v>
      </c>
      <c r="AE504" s="21"/>
      <c r="AF504" s="21"/>
      <c r="AG504" s="21"/>
      <c r="AH504" s="21"/>
      <c r="AI504" s="21"/>
      <c r="AJ504" s="21"/>
      <c r="AK504" s="21"/>
      <c r="AL504" s="21"/>
      <c r="AM504" s="21"/>
      <c r="AN504" s="21"/>
      <c r="AO504" s="21"/>
    </row>
    <row r="505" spans="2:41" s="97" customFormat="1" hidden="1" outlineLevel="1" x14ac:dyDescent="0.2">
      <c r="E505" s="97" t="s">
        <v>153</v>
      </c>
      <c r="H505" s="101"/>
      <c r="J505" s="98" t="s">
        <v>1205</v>
      </c>
      <c r="L505" s="99" t="s">
        <v>380</v>
      </c>
      <c r="M505" s="101"/>
      <c r="N505" s="101"/>
      <c r="O505" s="101"/>
      <c r="P505" s="101"/>
      <c r="Q505" s="101">
        <f>Q501-Q504</f>
        <v>0</v>
      </c>
      <c r="R505" s="101"/>
      <c r="S505" s="101" t="e">
        <f t="shared" ref="S505:AD505" si="241">S501-S504</f>
        <v>#NAME?</v>
      </c>
      <c r="T505" s="101" t="e">
        <f t="shared" si="241"/>
        <v>#NAME?</v>
      </c>
      <c r="U505" s="101" t="e">
        <f t="shared" si="241"/>
        <v>#NAME?</v>
      </c>
      <c r="V505" s="101" t="e">
        <f t="shared" si="241"/>
        <v>#NAME?</v>
      </c>
      <c r="W505" s="101" t="e">
        <f t="shared" si="241"/>
        <v>#NAME?</v>
      </c>
      <c r="X505" s="101" t="e">
        <f t="shared" si="241"/>
        <v>#NAME?</v>
      </c>
      <c r="Y505" s="101" t="e">
        <f t="shared" si="241"/>
        <v>#NAME?</v>
      </c>
      <c r="Z505" s="101" t="e">
        <f t="shared" si="241"/>
        <v>#NAME?</v>
      </c>
      <c r="AA505" s="101" t="e">
        <f t="shared" si="241"/>
        <v>#NAME?</v>
      </c>
      <c r="AB505" s="101" t="e">
        <f t="shared" si="241"/>
        <v>#NAME?</v>
      </c>
      <c r="AC505" s="101" t="e">
        <f t="shared" si="241"/>
        <v>#NAME?</v>
      </c>
      <c r="AD505" s="101" t="e">
        <f t="shared" si="241"/>
        <v>#NAME?</v>
      </c>
      <c r="AE505" s="101"/>
      <c r="AF505" s="101"/>
      <c r="AG505" s="101"/>
      <c r="AH505" s="101"/>
      <c r="AI505" s="101"/>
      <c r="AJ505" s="101"/>
      <c r="AK505" s="101"/>
      <c r="AL505" s="101"/>
      <c r="AM505" s="101"/>
      <c r="AN505" s="101"/>
      <c r="AO505" s="101"/>
    </row>
    <row r="506" spans="2:41" s="97" customFormat="1" hidden="1" outlineLevel="1" x14ac:dyDescent="0.2">
      <c r="H506" s="101"/>
      <c r="J506" s="98"/>
      <c r="L506" s="99"/>
      <c r="M506" s="101"/>
      <c r="N506" s="101"/>
      <c r="O506" s="101"/>
      <c r="P506" s="101"/>
      <c r="Q506" s="101"/>
      <c r="R506" s="101"/>
      <c r="S506" s="101"/>
      <c r="T506" s="101"/>
      <c r="U506" s="101"/>
      <c r="V506" s="101"/>
      <c r="W506" s="101"/>
      <c r="X506" s="101"/>
      <c r="Y506" s="101"/>
      <c r="Z506" s="101"/>
      <c r="AA506" s="101"/>
      <c r="AB506" s="101"/>
      <c r="AC506" s="101"/>
      <c r="AD506" s="101"/>
      <c r="AE506" s="101"/>
      <c r="AF506" s="101"/>
      <c r="AG506" s="101"/>
      <c r="AH506" s="101"/>
      <c r="AI506" s="101"/>
      <c r="AJ506" s="101"/>
      <c r="AK506" s="101"/>
      <c r="AL506" s="101"/>
      <c r="AM506" s="101"/>
      <c r="AN506" s="101"/>
      <c r="AO506" s="101"/>
    </row>
    <row r="507" spans="2:41" s="97" customFormat="1" ht="12.6" hidden="1" outlineLevel="1" x14ac:dyDescent="0.25">
      <c r="D507" s="32" t="s">
        <v>152</v>
      </c>
      <c r="H507" s="101"/>
      <c r="J507" s="98" t="s">
        <v>20</v>
      </c>
      <c r="L507" s="99"/>
      <c r="M507" s="101"/>
      <c r="N507" s="101"/>
      <c r="O507" s="101"/>
      <c r="P507" s="101"/>
      <c r="Q507" s="101"/>
      <c r="R507" s="101"/>
      <c r="S507" s="101">
        <f t="shared" ref="S507:AD507" si="242">Inputs_TL9_Months_Oustanding</f>
        <v>12</v>
      </c>
      <c r="T507" s="101">
        <f t="shared" si="242"/>
        <v>12</v>
      </c>
      <c r="U507" s="101">
        <f t="shared" si="242"/>
        <v>12</v>
      </c>
      <c r="V507" s="101">
        <f t="shared" si="242"/>
        <v>12</v>
      </c>
      <c r="W507" s="101">
        <f t="shared" si="242"/>
        <v>12</v>
      </c>
      <c r="X507" s="101">
        <f t="shared" si="242"/>
        <v>12</v>
      </c>
      <c r="Y507" s="101">
        <f t="shared" si="242"/>
        <v>12</v>
      </c>
      <c r="Z507" s="101">
        <f t="shared" si="242"/>
        <v>12</v>
      </c>
      <c r="AA507" s="101">
        <f t="shared" si="242"/>
        <v>12</v>
      </c>
      <c r="AB507" s="101">
        <f t="shared" si="242"/>
        <v>12</v>
      </c>
      <c r="AC507" s="101">
        <f t="shared" si="242"/>
        <v>12</v>
      </c>
      <c r="AD507" s="101">
        <f t="shared" si="242"/>
        <v>12</v>
      </c>
      <c r="AE507" s="108"/>
      <c r="AF507" s="108"/>
      <c r="AG507" s="108"/>
      <c r="AH507" s="108"/>
      <c r="AI507" s="108"/>
      <c r="AJ507" s="108"/>
      <c r="AK507" s="108"/>
      <c r="AL507" s="108"/>
      <c r="AM507" s="108"/>
      <c r="AN507" s="108"/>
      <c r="AO507" s="108"/>
    </row>
    <row r="508" spans="2:41" s="97" customFormat="1" hidden="1" outlineLevel="1" x14ac:dyDescent="0.2">
      <c r="H508" s="101"/>
      <c r="J508" s="98"/>
      <c r="L508" s="99"/>
      <c r="M508" s="101"/>
      <c r="N508" s="101"/>
      <c r="O508" s="101"/>
      <c r="P508" s="101"/>
      <c r="Q508" s="101"/>
      <c r="R508" s="101"/>
      <c r="S508" s="101"/>
      <c r="T508" s="101"/>
      <c r="U508" s="101"/>
      <c r="V508" s="101"/>
      <c r="W508" s="101"/>
      <c r="X508" s="101"/>
      <c r="Y508" s="101"/>
      <c r="Z508" s="101"/>
      <c r="AA508" s="101"/>
      <c r="AB508" s="101"/>
      <c r="AC508" s="101"/>
      <c r="AD508" s="101"/>
      <c r="AE508" s="101"/>
      <c r="AF508" s="101"/>
      <c r="AG508" s="101"/>
      <c r="AH508" s="101"/>
      <c r="AI508" s="101"/>
      <c r="AJ508" s="101"/>
      <c r="AK508" s="101"/>
      <c r="AL508" s="101"/>
      <c r="AM508" s="101"/>
      <c r="AN508" s="101"/>
      <c r="AO508" s="101"/>
    </row>
    <row r="509" spans="2:41" s="97" customFormat="1" ht="12.6" hidden="1" outlineLevel="1" x14ac:dyDescent="0.25">
      <c r="D509" s="32" t="s">
        <v>151</v>
      </c>
      <c r="H509" s="101"/>
      <c r="J509" s="98"/>
      <c r="L509" s="99"/>
      <c r="M509" s="101"/>
      <c r="N509" s="101"/>
      <c r="O509" s="101"/>
      <c r="P509" s="101"/>
      <c r="Q509" s="101"/>
      <c r="R509" s="101"/>
      <c r="S509" s="101"/>
      <c r="T509" s="101"/>
      <c r="U509" s="101"/>
      <c r="V509" s="101"/>
      <c r="W509" s="101"/>
      <c r="X509" s="101"/>
      <c r="Y509" s="101"/>
      <c r="Z509" s="101"/>
      <c r="AA509" s="101"/>
      <c r="AB509" s="101"/>
      <c r="AC509" s="101"/>
      <c r="AD509" s="101"/>
      <c r="AE509" s="101"/>
      <c r="AF509" s="101"/>
      <c r="AG509" s="101"/>
      <c r="AH509" s="101"/>
      <c r="AI509" s="101"/>
      <c r="AJ509" s="101"/>
      <c r="AK509" s="101"/>
      <c r="AL509" s="101"/>
      <c r="AM509" s="101"/>
      <c r="AN509" s="101"/>
      <c r="AO509" s="101"/>
    </row>
    <row r="510" spans="2:41" s="97" customFormat="1" hidden="1" outlineLevel="1" x14ac:dyDescent="0.2">
      <c r="E510" s="97" t="s">
        <v>150</v>
      </c>
      <c r="H510" s="101"/>
      <c r="J510" s="98" t="s">
        <v>1205</v>
      </c>
      <c r="L510" s="99" t="s">
        <v>381</v>
      </c>
      <c r="M510" s="101"/>
      <c r="N510" s="101"/>
      <c r="O510" s="101"/>
      <c r="P510" s="101"/>
      <c r="Q510" s="181"/>
      <c r="R510" s="21"/>
      <c r="S510" s="101">
        <v>0</v>
      </c>
      <c r="T510" s="101">
        <v>0</v>
      </c>
      <c r="U510" s="101">
        <v>0</v>
      </c>
      <c r="V510" s="101">
        <v>0</v>
      </c>
      <c r="W510" s="101">
        <v>0</v>
      </c>
      <c r="X510" s="101">
        <v>0</v>
      </c>
      <c r="Y510" s="101">
        <v>0</v>
      </c>
      <c r="Z510" s="101">
        <v>0</v>
      </c>
      <c r="AA510" s="101">
        <v>0</v>
      </c>
      <c r="AB510" s="101">
        <v>0</v>
      </c>
      <c r="AC510" s="101">
        <v>0</v>
      </c>
      <c r="AD510" s="101">
        <v>0</v>
      </c>
      <c r="AE510" s="181"/>
      <c r="AF510" s="181"/>
      <c r="AG510" s="181"/>
      <c r="AH510" s="181"/>
      <c r="AI510" s="181"/>
      <c r="AJ510" s="181"/>
      <c r="AK510" s="181"/>
      <c r="AL510" s="181"/>
      <c r="AM510" s="181"/>
      <c r="AN510" s="181"/>
      <c r="AO510" s="181"/>
    </row>
    <row r="511" spans="2:41" s="97" customFormat="1" hidden="1" outlineLevel="1" x14ac:dyDescent="0.2">
      <c r="E511" s="97" t="s">
        <v>149</v>
      </c>
      <c r="H511" s="101"/>
      <c r="J511" s="98" t="s">
        <v>1205</v>
      </c>
      <c r="L511" s="99" t="s">
        <v>382</v>
      </c>
      <c r="M511" s="101"/>
      <c r="N511" s="101"/>
      <c r="O511" s="101"/>
      <c r="P511" s="101"/>
      <c r="Q511" s="101"/>
      <c r="R511" s="101"/>
      <c r="S511" s="101">
        <v>0</v>
      </c>
      <c r="T511" s="101">
        <v>0</v>
      </c>
      <c r="U511" s="101">
        <v>0</v>
      </c>
      <c r="V511" s="101">
        <v>0</v>
      </c>
      <c r="W511" s="101">
        <v>0</v>
      </c>
      <c r="X511" s="101">
        <v>0</v>
      </c>
      <c r="Y511" s="101">
        <v>0</v>
      </c>
      <c r="Z511" s="101">
        <v>0</v>
      </c>
      <c r="AA511" s="101">
        <v>0</v>
      </c>
      <c r="AB511" s="101">
        <v>0</v>
      </c>
      <c r="AC511" s="101">
        <v>0</v>
      </c>
      <c r="AD511" s="101">
        <v>0</v>
      </c>
      <c r="AE511" s="101"/>
      <c r="AF511" s="101"/>
      <c r="AG511" s="101"/>
      <c r="AH511" s="101"/>
      <c r="AI511" s="101"/>
      <c r="AJ511" s="101"/>
      <c r="AK511" s="101"/>
      <c r="AL511" s="101"/>
      <c r="AM511" s="101"/>
      <c r="AN511" s="101"/>
      <c r="AO511" s="101"/>
    </row>
    <row r="512" spans="2:41" s="97" customFormat="1" hidden="1" outlineLevel="1" x14ac:dyDescent="0.2">
      <c r="E512" s="28" t="s">
        <v>148</v>
      </c>
      <c r="F512" s="28"/>
      <c r="G512" s="28"/>
      <c r="H512" s="100"/>
      <c r="I512" s="28"/>
      <c r="J512" s="29" t="s">
        <v>1205</v>
      </c>
      <c r="K512" s="28"/>
      <c r="L512" s="30"/>
      <c r="M512" s="100"/>
      <c r="N512" s="100"/>
      <c r="O512" s="100"/>
      <c r="P512" s="100"/>
      <c r="Q512" s="100"/>
      <c r="R512" s="100"/>
      <c r="S512" s="100">
        <f t="shared" ref="S512:AD512" si="243">S510+S511</f>
        <v>0</v>
      </c>
      <c r="T512" s="100">
        <f t="shared" si="243"/>
        <v>0</v>
      </c>
      <c r="U512" s="100">
        <f t="shared" si="243"/>
        <v>0</v>
      </c>
      <c r="V512" s="100">
        <f t="shared" si="243"/>
        <v>0</v>
      </c>
      <c r="W512" s="100">
        <f t="shared" si="243"/>
        <v>0</v>
      </c>
      <c r="X512" s="100">
        <f t="shared" si="243"/>
        <v>0</v>
      </c>
      <c r="Y512" s="100">
        <f t="shared" si="243"/>
        <v>0</v>
      </c>
      <c r="Z512" s="100">
        <f t="shared" si="243"/>
        <v>0</v>
      </c>
      <c r="AA512" s="100">
        <f t="shared" si="243"/>
        <v>0</v>
      </c>
      <c r="AB512" s="100">
        <f t="shared" si="243"/>
        <v>0</v>
      </c>
      <c r="AC512" s="100">
        <f t="shared" si="243"/>
        <v>0</v>
      </c>
      <c r="AD512" s="100">
        <f t="shared" si="243"/>
        <v>0</v>
      </c>
      <c r="AE512" s="101"/>
      <c r="AF512" s="101"/>
      <c r="AG512" s="101"/>
      <c r="AH512" s="101"/>
      <c r="AI512" s="101"/>
      <c r="AJ512" s="101"/>
      <c r="AK512" s="101"/>
      <c r="AL512" s="101"/>
      <c r="AM512" s="101"/>
      <c r="AN512" s="101"/>
      <c r="AO512" s="101"/>
    </row>
    <row r="513" spans="1:41" s="97" customFormat="1" hidden="1" outlineLevel="1" x14ac:dyDescent="0.2">
      <c r="E513" s="20"/>
      <c r="H513" s="101"/>
      <c r="J513" s="98"/>
      <c r="L513" s="99"/>
      <c r="M513" s="101"/>
      <c r="N513" s="101"/>
      <c r="O513" s="101"/>
      <c r="P513" s="101"/>
      <c r="Q513" s="113"/>
      <c r="R513" s="113"/>
      <c r="S513" s="113"/>
      <c r="T513" s="113"/>
      <c r="U513" s="113"/>
      <c r="V513" s="113"/>
      <c r="W513" s="113"/>
      <c r="X513" s="113"/>
      <c r="Y513" s="113"/>
      <c r="Z513" s="113"/>
      <c r="AA513" s="113"/>
      <c r="AB513" s="113"/>
      <c r="AC513" s="113"/>
      <c r="AD513" s="113"/>
      <c r="AE513" s="113"/>
      <c r="AF513" s="113"/>
      <c r="AG513" s="113"/>
      <c r="AH513" s="113"/>
      <c r="AI513" s="113"/>
      <c r="AJ513" s="113"/>
      <c r="AK513" s="113"/>
      <c r="AL513" s="113"/>
      <c r="AM513" s="113"/>
      <c r="AN513" s="113"/>
      <c r="AO513" s="113"/>
    </row>
    <row r="514" spans="1:41" s="97" customFormat="1" ht="12.6" hidden="1" outlineLevel="1" x14ac:dyDescent="0.25">
      <c r="D514" s="27" t="s">
        <v>147</v>
      </c>
      <c r="E514" s="28"/>
      <c r="F514" s="28"/>
      <c r="G514" s="28"/>
      <c r="H514" s="100"/>
      <c r="I514" s="28"/>
      <c r="J514" s="29" t="s">
        <v>1205</v>
      </c>
      <c r="K514" s="28"/>
      <c r="L514" s="30" t="s">
        <v>383</v>
      </c>
      <c r="M514" s="100"/>
      <c r="N514" s="100"/>
      <c r="O514" s="100"/>
      <c r="P514" s="100"/>
      <c r="Q514" s="100"/>
      <c r="R514" s="100"/>
      <c r="S514" s="100" t="e">
        <f>-((S489+S491)/2)*(S479*S507)</f>
        <v>#NAME?</v>
      </c>
      <c r="T514" s="100" t="e">
        <f t="shared" ref="T514:AD514" si="244">-((T489+T491)/2)*(T479*T507)</f>
        <v>#NAME?</v>
      </c>
      <c r="U514" s="100" t="e">
        <f t="shared" si="244"/>
        <v>#NAME?</v>
      </c>
      <c r="V514" s="100" t="e">
        <f t="shared" si="244"/>
        <v>#NAME?</v>
      </c>
      <c r="W514" s="100" t="e">
        <f t="shared" si="244"/>
        <v>#NAME?</v>
      </c>
      <c r="X514" s="100" t="e">
        <f t="shared" si="244"/>
        <v>#NAME?</v>
      </c>
      <c r="Y514" s="100" t="e">
        <f t="shared" si="244"/>
        <v>#NAME?</v>
      </c>
      <c r="Z514" s="100" t="e">
        <f t="shared" si="244"/>
        <v>#NAME?</v>
      </c>
      <c r="AA514" s="100" t="e">
        <f t="shared" si="244"/>
        <v>#NAME?</v>
      </c>
      <c r="AB514" s="100" t="e">
        <f t="shared" si="244"/>
        <v>#NAME?</v>
      </c>
      <c r="AC514" s="100" t="e">
        <f t="shared" si="244"/>
        <v>#NAME?</v>
      </c>
      <c r="AD514" s="100" t="e">
        <f t="shared" si="244"/>
        <v>#NAME?</v>
      </c>
      <c r="AE514" s="101"/>
      <c r="AF514" s="101"/>
      <c r="AG514" s="101"/>
      <c r="AH514" s="101"/>
      <c r="AI514" s="101"/>
      <c r="AJ514" s="101"/>
      <c r="AK514" s="101"/>
      <c r="AL514" s="101"/>
      <c r="AM514" s="101"/>
      <c r="AN514" s="101"/>
      <c r="AO514" s="101"/>
    </row>
    <row r="515" spans="1:41" s="97" customFormat="1" ht="12.6" hidden="1" outlineLevel="1" x14ac:dyDescent="0.25">
      <c r="D515" s="32"/>
      <c r="H515" s="101"/>
      <c r="J515" s="98"/>
      <c r="L515" s="99"/>
      <c r="M515" s="101"/>
      <c r="N515" s="101"/>
      <c r="O515" s="101"/>
      <c r="P515" s="101"/>
      <c r="Q515" s="101"/>
      <c r="R515" s="101"/>
      <c r="S515" s="101"/>
      <c r="T515" s="101"/>
      <c r="U515" s="101"/>
      <c r="V515" s="101"/>
      <c r="W515" s="101"/>
      <c r="X515" s="101"/>
      <c r="Y515" s="101"/>
      <c r="Z515" s="101"/>
      <c r="AA515" s="101"/>
      <c r="AB515" s="101"/>
      <c r="AC515" s="101"/>
      <c r="AD515" s="101"/>
      <c r="AE515" s="101"/>
      <c r="AF515" s="101"/>
      <c r="AG515" s="101"/>
      <c r="AH515" s="101"/>
      <c r="AI515" s="101"/>
      <c r="AJ515" s="101"/>
      <c r="AK515" s="101"/>
      <c r="AL515" s="101"/>
      <c r="AM515" s="101"/>
      <c r="AN515" s="101"/>
      <c r="AO515" s="101"/>
    </row>
    <row r="516" spans="1:41" s="97" customFormat="1" ht="13.2" hidden="1" outlineLevel="1" thickBot="1" x14ac:dyDescent="0.3">
      <c r="D516" s="32"/>
      <c r="H516" s="101"/>
      <c r="J516" s="98"/>
      <c r="L516" s="99"/>
      <c r="M516" s="101"/>
      <c r="N516" s="101"/>
      <c r="O516" s="101"/>
      <c r="P516" s="101"/>
      <c r="Q516" s="101"/>
      <c r="R516" s="101"/>
      <c r="S516" s="101"/>
      <c r="T516" s="101"/>
      <c r="U516" s="101"/>
      <c r="V516" s="101"/>
      <c r="W516" s="101"/>
      <c r="X516" s="101"/>
      <c r="Y516" s="101"/>
      <c r="Z516" s="101"/>
      <c r="AA516" s="101"/>
      <c r="AB516" s="101"/>
      <c r="AC516" s="101"/>
      <c r="AD516" s="101"/>
      <c r="AE516" s="101"/>
      <c r="AF516" s="101"/>
      <c r="AG516" s="101"/>
      <c r="AH516" s="101"/>
      <c r="AI516" s="101"/>
      <c r="AJ516" s="101"/>
      <c r="AK516" s="101"/>
      <c r="AL516" s="101"/>
      <c r="AM516" s="101"/>
      <c r="AN516" s="101"/>
      <c r="AO516" s="101"/>
    </row>
    <row r="517" spans="1:41" s="97" customFormat="1" ht="12.6" hidden="1" outlineLevel="1" thickTop="1" x14ac:dyDescent="0.2">
      <c r="A517" s="1"/>
      <c r="B517" s="20"/>
      <c r="C517" s="337" t="s">
        <v>529</v>
      </c>
      <c r="D517" s="337"/>
      <c r="E517" s="338"/>
      <c r="F517" s="338"/>
      <c r="G517" s="338"/>
      <c r="H517" s="338"/>
      <c r="I517" s="338"/>
      <c r="J517" s="340"/>
      <c r="K517" s="338"/>
      <c r="L517" s="342"/>
      <c r="M517" s="338"/>
      <c r="N517" s="343"/>
      <c r="O517" s="343"/>
      <c r="P517" s="343"/>
      <c r="Q517" s="343"/>
      <c r="R517" s="343"/>
      <c r="S517" s="343"/>
      <c r="T517" s="343"/>
      <c r="U517" s="343"/>
      <c r="V517" s="343"/>
      <c r="W517" s="343"/>
      <c r="X517" s="343"/>
      <c r="Y517" s="343"/>
      <c r="Z517" s="343"/>
      <c r="AA517" s="343"/>
      <c r="AB517" s="343"/>
      <c r="AC517" s="343"/>
      <c r="AD517" s="343"/>
      <c r="AE517" s="101"/>
      <c r="AF517" s="101"/>
      <c r="AG517" s="101"/>
      <c r="AH517" s="101"/>
      <c r="AI517" s="101"/>
      <c r="AJ517" s="101"/>
      <c r="AK517" s="101"/>
      <c r="AL517" s="101"/>
      <c r="AM517" s="101"/>
      <c r="AN517" s="101"/>
      <c r="AO517" s="101"/>
    </row>
    <row r="518" spans="1:41" s="97" customFormat="1" ht="12.6" hidden="1" outlineLevel="1" x14ac:dyDescent="0.25">
      <c r="C518" s="20"/>
      <c r="D518" s="32"/>
      <c r="H518" s="101"/>
      <c r="J518" s="98"/>
      <c r="L518" s="99"/>
      <c r="M518" s="101"/>
      <c r="N518" s="101"/>
      <c r="O518" s="101"/>
      <c r="P518" s="84"/>
      <c r="Q518" s="101"/>
      <c r="R518" s="101"/>
      <c r="S518" s="101"/>
      <c r="T518" s="101"/>
      <c r="U518" s="101"/>
      <c r="V518" s="101"/>
      <c r="W518" s="101"/>
      <c r="X518" s="101"/>
      <c r="Y518" s="101"/>
      <c r="Z518" s="101"/>
      <c r="AA518" s="101"/>
      <c r="AB518" s="101"/>
      <c r="AC518" s="101"/>
      <c r="AD518" s="101"/>
      <c r="AE518" s="101"/>
      <c r="AF518" s="101"/>
      <c r="AG518" s="101"/>
      <c r="AH518" s="101"/>
      <c r="AI518" s="101"/>
      <c r="AJ518" s="101"/>
      <c r="AK518" s="101"/>
      <c r="AL518" s="101"/>
      <c r="AM518" s="101"/>
      <c r="AN518" s="101"/>
      <c r="AO518" s="101"/>
    </row>
    <row r="519" spans="1:41" s="97" customFormat="1" ht="12.6" hidden="1" outlineLevel="1" x14ac:dyDescent="0.25">
      <c r="C519" s="20"/>
      <c r="D519" s="32" t="s">
        <v>173</v>
      </c>
      <c r="E519" s="32"/>
      <c r="G519" s="184"/>
      <c r="H519" s="101"/>
      <c r="J519" s="98" t="s">
        <v>1205</v>
      </c>
      <c r="L519" s="99"/>
      <c r="M519" s="101"/>
      <c r="N519" s="101"/>
      <c r="O519" s="101"/>
      <c r="P519" s="84"/>
      <c r="Q519" s="101"/>
      <c r="R519" s="101"/>
      <c r="S519" s="101">
        <f t="shared" ref="S519:AD519" si="245">Inputs_TL10_Maximum_Facility</f>
        <v>0</v>
      </c>
      <c r="T519" s="101">
        <f t="shared" si="245"/>
        <v>0</v>
      </c>
      <c r="U519" s="101">
        <f t="shared" si="245"/>
        <v>0</v>
      </c>
      <c r="V519" s="101">
        <f t="shared" si="245"/>
        <v>0</v>
      </c>
      <c r="W519" s="101">
        <f t="shared" si="245"/>
        <v>0</v>
      </c>
      <c r="X519" s="101">
        <f t="shared" si="245"/>
        <v>0</v>
      </c>
      <c r="Y519" s="101">
        <f t="shared" si="245"/>
        <v>0</v>
      </c>
      <c r="Z519" s="101">
        <f t="shared" si="245"/>
        <v>0</v>
      </c>
      <c r="AA519" s="101">
        <f t="shared" si="245"/>
        <v>0</v>
      </c>
      <c r="AB519" s="101">
        <f t="shared" si="245"/>
        <v>0</v>
      </c>
      <c r="AC519" s="101">
        <f t="shared" si="245"/>
        <v>0</v>
      </c>
      <c r="AD519" s="101">
        <f t="shared" si="245"/>
        <v>0</v>
      </c>
      <c r="AE519" s="101"/>
      <c r="AF519" s="101"/>
      <c r="AG519" s="101"/>
      <c r="AH519" s="101"/>
      <c r="AI519" s="101"/>
      <c r="AJ519" s="101"/>
      <c r="AK519" s="101"/>
      <c r="AL519" s="101"/>
      <c r="AM519" s="101"/>
      <c r="AN519" s="101"/>
      <c r="AO519" s="101"/>
    </row>
    <row r="520" spans="1:41" s="97" customFormat="1" ht="12.6" hidden="1" outlineLevel="1" x14ac:dyDescent="0.25">
      <c r="C520" s="20"/>
      <c r="D520" s="32"/>
      <c r="H520" s="101"/>
      <c r="J520" s="98"/>
      <c r="L520" s="99"/>
      <c r="M520" s="101"/>
      <c r="N520" s="101"/>
      <c r="O520" s="101"/>
      <c r="P520" s="84"/>
      <c r="Q520" s="101"/>
      <c r="AE520" s="101"/>
      <c r="AF520" s="101"/>
      <c r="AG520" s="101"/>
      <c r="AH520" s="101"/>
      <c r="AI520" s="101"/>
      <c r="AJ520" s="101"/>
      <c r="AK520" s="101"/>
      <c r="AL520" s="101"/>
      <c r="AM520" s="101"/>
      <c r="AN520" s="101"/>
      <c r="AO520" s="101"/>
    </row>
    <row r="521" spans="1:41" s="97" customFormat="1" ht="12.6" hidden="1" outlineLevel="1" x14ac:dyDescent="0.25">
      <c r="D521" s="32" t="s">
        <v>172</v>
      </c>
      <c r="H521" s="101"/>
      <c r="J521" s="98"/>
      <c r="L521" s="99"/>
      <c r="M521" s="101"/>
      <c r="N521" s="101"/>
      <c r="O521" s="101"/>
      <c r="P521" s="101"/>
      <c r="Q521" s="101"/>
      <c r="R521" s="101"/>
      <c r="S521" s="101"/>
      <c r="T521" s="101"/>
      <c r="U521" s="101"/>
      <c r="V521" s="101"/>
      <c r="W521" s="101"/>
      <c r="X521" s="101"/>
      <c r="Y521" s="101"/>
      <c r="Z521" s="101"/>
      <c r="AA521" s="101"/>
      <c r="AB521" s="101"/>
      <c r="AC521" s="101"/>
      <c r="AD521" s="101"/>
      <c r="AE521" s="101"/>
      <c r="AF521" s="101"/>
      <c r="AG521" s="101"/>
      <c r="AH521" s="101"/>
      <c r="AI521" s="101"/>
      <c r="AJ521" s="101"/>
      <c r="AK521" s="101"/>
      <c r="AL521" s="101"/>
      <c r="AM521" s="101"/>
      <c r="AN521" s="101"/>
      <c r="AO521" s="101"/>
    </row>
    <row r="522" spans="1:41" s="97" customFormat="1" hidden="1" outlineLevel="1" x14ac:dyDescent="0.2">
      <c r="E522" s="97" t="s">
        <v>66</v>
      </c>
      <c r="H522" s="101"/>
      <c r="J522" s="98" t="s">
        <v>49</v>
      </c>
      <c r="L522" s="99"/>
      <c r="N522" s="109"/>
      <c r="O522" s="109"/>
      <c r="P522" s="109"/>
      <c r="Q522" s="109"/>
      <c r="R522" s="24"/>
      <c r="S522" s="24" t="e">
        <f t="shared" ref="S522:AD522" si="246">Inputs_Basecase_Saibor</f>
        <v>#NAME?</v>
      </c>
      <c r="T522" s="24" t="e">
        <f t="shared" si="246"/>
        <v>#NAME?</v>
      </c>
      <c r="U522" s="24" t="e">
        <f t="shared" si="246"/>
        <v>#NAME?</v>
      </c>
      <c r="V522" s="24" t="e">
        <f t="shared" si="246"/>
        <v>#NAME?</v>
      </c>
      <c r="W522" s="24" t="e">
        <f t="shared" si="246"/>
        <v>#NAME?</v>
      </c>
      <c r="X522" s="24" t="e">
        <f t="shared" si="246"/>
        <v>#NAME?</v>
      </c>
      <c r="Y522" s="24" t="e">
        <f t="shared" si="246"/>
        <v>#NAME?</v>
      </c>
      <c r="Z522" s="24" t="e">
        <f t="shared" si="246"/>
        <v>#NAME?</v>
      </c>
      <c r="AA522" s="24" t="e">
        <f t="shared" si="246"/>
        <v>#NAME?</v>
      </c>
      <c r="AB522" s="24" t="e">
        <f t="shared" si="246"/>
        <v>#NAME?</v>
      </c>
      <c r="AC522" s="24" t="e">
        <f t="shared" si="246"/>
        <v>#NAME?</v>
      </c>
      <c r="AD522" s="24" t="e">
        <f t="shared" si="246"/>
        <v>#NAME?</v>
      </c>
      <c r="AE522" s="24"/>
      <c r="AF522" s="109"/>
      <c r="AG522" s="109"/>
      <c r="AH522" s="109"/>
      <c r="AI522" s="109"/>
      <c r="AJ522" s="109"/>
      <c r="AK522" s="109"/>
      <c r="AL522" s="109"/>
      <c r="AM522" s="109"/>
      <c r="AN522" s="109"/>
      <c r="AO522" s="109"/>
    </row>
    <row r="523" spans="1:41" s="97" customFormat="1" hidden="1" outlineLevel="1" x14ac:dyDescent="0.2">
      <c r="E523" s="97" t="s">
        <v>171</v>
      </c>
      <c r="H523" s="101"/>
      <c r="J523" s="98" t="s">
        <v>49</v>
      </c>
      <c r="L523" s="99"/>
      <c r="M523" s="101"/>
      <c r="N523" s="101"/>
      <c r="O523" s="101"/>
      <c r="P523" s="101"/>
      <c r="Q523" s="101"/>
      <c r="R523" s="96"/>
      <c r="S523" s="96">
        <f t="shared" ref="S523:AD523" si="247">Inputs_TL10_Margin</f>
        <v>8.9999999999999993E-3</v>
      </c>
      <c r="T523" s="96">
        <f t="shared" si="247"/>
        <v>8.9999999999999993E-3</v>
      </c>
      <c r="U523" s="96">
        <f t="shared" si="247"/>
        <v>8.9999999999999993E-3</v>
      </c>
      <c r="V523" s="96">
        <f t="shared" si="247"/>
        <v>8.9999999999999993E-3</v>
      </c>
      <c r="W523" s="96">
        <f t="shared" si="247"/>
        <v>8.9999999999999993E-3</v>
      </c>
      <c r="X523" s="96">
        <f t="shared" si="247"/>
        <v>0.01</v>
      </c>
      <c r="Y523" s="96">
        <f t="shared" si="247"/>
        <v>0.01</v>
      </c>
      <c r="Z523" s="96">
        <f t="shared" si="247"/>
        <v>0.01</v>
      </c>
      <c r="AA523" s="96">
        <f t="shared" si="247"/>
        <v>0.01</v>
      </c>
      <c r="AB523" s="96">
        <f t="shared" si="247"/>
        <v>0.01</v>
      </c>
      <c r="AC523" s="96">
        <f t="shared" si="247"/>
        <v>1.0999999999999999E-2</v>
      </c>
      <c r="AD523" s="96">
        <f t="shared" si="247"/>
        <v>1.0999999999999999E-2</v>
      </c>
      <c r="AE523" s="96"/>
      <c r="AF523" s="101"/>
      <c r="AG523" s="101"/>
      <c r="AH523" s="101"/>
      <c r="AI523" s="101"/>
      <c r="AJ523" s="101"/>
      <c r="AK523" s="101"/>
      <c r="AL523" s="101"/>
      <c r="AM523" s="101"/>
      <c r="AN523" s="101"/>
      <c r="AO523" s="101"/>
    </row>
    <row r="524" spans="1:41" s="97" customFormat="1" ht="12.6" hidden="1" outlineLevel="1" x14ac:dyDescent="0.25">
      <c r="C524" s="32"/>
      <c r="D524" s="32"/>
      <c r="E524" s="97" t="s">
        <v>170</v>
      </c>
      <c r="H524" s="101"/>
      <c r="J524" s="98" t="s">
        <v>49</v>
      </c>
      <c r="L524" s="99"/>
      <c r="N524" s="101"/>
      <c r="O524" s="101"/>
      <c r="P524" s="101"/>
      <c r="Q524" s="34"/>
      <c r="R524" s="24"/>
      <c r="S524" s="24" t="e">
        <f t="shared" ref="S524:AD524" si="248">+S523+S522</f>
        <v>#NAME?</v>
      </c>
      <c r="T524" s="24" t="e">
        <f t="shared" si="248"/>
        <v>#NAME?</v>
      </c>
      <c r="U524" s="24" t="e">
        <f t="shared" si="248"/>
        <v>#NAME?</v>
      </c>
      <c r="V524" s="24" t="e">
        <f t="shared" si="248"/>
        <v>#NAME?</v>
      </c>
      <c r="W524" s="24" t="e">
        <f t="shared" si="248"/>
        <v>#NAME?</v>
      </c>
      <c r="X524" s="24" t="e">
        <f t="shared" si="248"/>
        <v>#NAME?</v>
      </c>
      <c r="Y524" s="24" t="e">
        <f t="shared" si="248"/>
        <v>#NAME?</v>
      </c>
      <c r="Z524" s="24" t="e">
        <f t="shared" si="248"/>
        <v>#NAME?</v>
      </c>
      <c r="AA524" s="24" t="e">
        <f t="shared" si="248"/>
        <v>#NAME?</v>
      </c>
      <c r="AB524" s="24" t="e">
        <f t="shared" si="248"/>
        <v>#NAME?</v>
      </c>
      <c r="AC524" s="24" t="e">
        <f t="shared" si="248"/>
        <v>#NAME?</v>
      </c>
      <c r="AD524" s="24" t="e">
        <f t="shared" si="248"/>
        <v>#NAME?</v>
      </c>
      <c r="AE524" s="24"/>
      <c r="AF524" s="34"/>
      <c r="AG524" s="34"/>
      <c r="AH524" s="34"/>
      <c r="AI524" s="34"/>
      <c r="AJ524" s="34"/>
      <c r="AK524" s="34"/>
      <c r="AL524" s="34"/>
      <c r="AM524" s="34"/>
      <c r="AN524" s="34"/>
      <c r="AO524" s="34"/>
    </row>
    <row r="525" spans="1:41" s="97" customFormat="1" ht="12.6" hidden="1" outlineLevel="1" x14ac:dyDescent="0.25">
      <c r="C525" s="20"/>
      <c r="D525" s="32"/>
      <c r="E525" s="27" t="s">
        <v>169</v>
      </c>
      <c r="F525" s="28"/>
      <c r="G525" s="28"/>
      <c r="H525" s="100"/>
      <c r="I525" s="28"/>
      <c r="J525" s="29" t="s">
        <v>49</v>
      </c>
      <c r="K525" s="28"/>
      <c r="L525" s="30"/>
      <c r="M525" s="100"/>
      <c r="N525" s="100"/>
      <c r="O525" s="100"/>
      <c r="P525" s="88"/>
      <c r="Q525" s="100"/>
      <c r="R525" s="183"/>
      <c r="S525" s="183" t="e">
        <f t="shared" ref="S525:AD525" si="249">((1+(S523+S522))^(1/12))-1</f>
        <v>#NAME?</v>
      </c>
      <c r="T525" s="183" t="e">
        <f t="shared" si="249"/>
        <v>#NAME?</v>
      </c>
      <c r="U525" s="183" t="e">
        <f t="shared" si="249"/>
        <v>#NAME?</v>
      </c>
      <c r="V525" s="183" t="e">
        <f t="shared" si="249"/>
        <v>#NAME?</v>
      </c>
      <c r="W525" s="183" t="e">
        <f t="shared" si="249"/>
        <v>#NAME?</v>
      </c>
      <c r="X525" s="183" t="e">
        <f t="shared" si="249"/>
        <v>#NAME?</v>
      </c>
      <c r="Y525" s="183" t="e">
        <f t="shared" si="249"/>
        <v>#NAME?</v>
      </c>
      <c r="Z525" s="183" t="e">
        <f t="shared" si="249"/>
        <v>#NAME?</v>
      </c>
      <c r="AA525" s="183" t="e">
        <f t="shared" si="249"/>
        <v>#NAME?</v>
      </c>
      <c r="AB525" s="183" t="e">
        <f t="shared" si="249"/>
        <v>#NAME?</v>
      </c>
      <c r="AC525" s="183" t="e">
        <f t="shared" si="249"/>
        <v>#NAME?</v>
      </c>
      <c r="AD525" s="183" t="e">
        <f t="shared" si="249"/>
        <v>#NAME?</v>
      </c>
      <c r="AE525" s="96"/>
      <c r="AF525" s="101"/>
      <c r="AG525" s="101"/>
      <c r="AH525" s="101"/>
      <c r="AI525" s="101"/>
      <c r="AJ525" s="101"/>
      <c r="AK525" s="101"/>
      <c r="AL525" s="101"/>
      <c r="AM525" s="101"/>
      <c r="AN525" s="101"/>
      <c r="AO525" s="101"/>
    </row>
    <row r="526" spans="1:41" s="97" customFormat="1" hidden="1" outlineLevel="1" x14ac:dyDescent="0.2">
      <c r="H526" s="101"/>
      <c r="J526" s="98"/>
      <c r="L526" s="99"/>
      <c r="M526" s="101"/>
      <c r="N526" s="101"/>
      <c r="O526" s="101"/>
      <c r="P526" s="101"/>
      <c r="Q526" s="101"/>
      <c r="R526" s="101"/>
      <c r="S526" s="101"/>
      <c r="T526" s="101"/>
      <c r="U526" s="101"/>
      <c r="V526" s="101"/>
      <c r="W526" s="101"/>
      <c r="X526" s="101"/>
      <c r="Y526" s="101"/>
      <c r="Z526" s="101"/>
      <c r="AA526" s="101"/>
      <c r="AB526" s="101"/>
      <c r="AC526" s="101"/>
      <c r="AD526" s="101"/>
      <c r="AE526" s="101"/>
      <c r="AF526" s="101"/>
      <c r="AG526" s="101"/>
      <c r="AH526" s="101"/>
      <c r="AI526" s="101"/>
      <c r="AJ526" s="101"/>
      <c r="AK526" s="101"/>
      <c r="AL526" s="101"/>
      <c r="AM526" s="101"/>
      <c r="AN526" s="101"/>
      <c r="AO526" s="101"/>
    </row>
    <row r="527" spans="1:41" s="97" customFormat="1" ht="12.6" hidden="1" outlineLevel="1" x14ac:dyDescent="0.25">
      <c r="E527" s="32" t="s">
        <v>168</v>
      </c>
      <c r="H527" s="101"/>
      <c r="J527" s="98" t="s">
        <v>49</v>
      </c>
      <c r="L527" s="99"/>
      <c r="N527" s="109"/>
      <c r="O527" s="109"/>
      <c r="P527" s="109"/>
      <c r="Q527" s="109"/>
      <c r="R527" s="108"/>
      <c r="S527" s="24">
        <f t="shared" ref="S527:AD527" si="250">Inputs_TL10_Commitment_Fee/12</f>
        <v>0</v>
      </c>
      <c r="T527" s="24">
        <f t="shared" si="250"/>
        <v>0</v>
      </c>
      <c r="U527" s="24">
        <f t="shared" si="250"/>
        <v>0</v>
      </c>
      <c r="V527" s="24">
        <f t="shared" si="250"/>
        <v>0</v>
      </c>
      <c r="W527" s="24">
        <f t="shared" si="250"/>
        <v>0</v>
      </c>
      <c r="X527" s="24">
        <f t="shared" si="250"/>
        <v>0</v>
      </c>
      <c r="Y527" s="24">
        <f t="shared" si="250"/>
        <v>0</v>
      </c>
      <c r="Z527" s="24">
        <f t="shared" si="250"/>
        <v>0</v>
      </c>
      <c r="AA527" s="24">
        <f t="shared" si="250"/>
        <v>0</v>
      </c>
      <c r="AB527" s="24">
        <f t="shared" si="250"/>
        <v>0</v>
      </c>
      <c r="AC527" s="24">
        <f t="shared" si="250"/>
        <v>0</v>
      </c>
      <c r="AD527" s="24">
        <f t="shared" si="250"/>
        <v>0</v>
      </c>
      <c r="AE527" s="109"/>
      <c r="AF527" s="109"/>
      <c r="AG527" s="109"/>
      <c r="AH527" s="109"/>
      <c r="AI527" s="109"/>
      <c r="AJ527" s="109"/>
      <c r="AK527" s="109"/>
      <c r="AL527" s="109"/>
      <c r="AM527" s="109"/>
      <c r="AN527" s="109"/>
      <c r="AO527" s="109"/>
    </row>
    <row r="528" spans="1:41" s="97" customFormat="1" hidden="1" outlineLevel="1" x14ac:dyDescent="0.2">
      <c r="H528" s="101"/>
      <c r="J528" s="98"/>
      <c r="L528" s="99"/>
      <c r="M528" s="101"/>
      <c r="N528" s="101"/>
      <c r="O528" s="101"/>
      <c r="P528" s="101"/>
      <c r="Q528" s="101"/>
      <c r="R528" s="101"/>
      <c r="S528" s="101"/>
      <c r="T528" s="101"/>
      <c r="U528" s="101"/>
      <c r="V528" s="101"/>
      <c r="W528" s="101"/>
      <c r="X528" s="101"/>
      <c r="Y528" s="101"/>
      <c r="Z528" s="101"/>
      <c r="AA528" s="101"/>
      <c r="AB528" s="101"/>
      <c r="AC528" s="101"/>
      <c r="AD528" s="101"/>
      <c r="AE528" s="101"/>
      <c r="AF528" s="101"/>
      <c r="AG528" s="101"/>
      <c r="AH528" s="101"/>
      <c r="AI528" s="101"/>
      <c r="AJ528" s="101"/>
      <c r="AK528" s="101"/>
      <c r="AL528" s="101"/>
      <c r="AM528" s="101"/>
      <c r="AN528" s="101"/>
      <c r="AO528" s="101"/>
    </row>
    <row r="529" spans="3:41" s="97" customFormat="1" ht="12.6" hidden="1" outlineLevel="1" x14ac:dyDescent="0.25">
      <c r="C529" s="32"/>
      <c r="D529" s="32" t="s">
        <v>167</v>
      </c>
      <c r="H529" s="101"/>
      <c r="J529" s="98" t="s">
        <v>1205</v>
      </c>
      <c r="L529" s="99" t="s">
        <v>384</v>
      </c>
      <c r="M529" s="101">
        <f>MAX(R530:AD530)</f>
        <v>0</v>
      </c>
      <c r="O529" s="101"/>
      <c r="P529" s="101"/>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row>
    <row r="530" spans="3:41" s="97" customFormat="1" ht="12.6" hidden="1" outlineLevel="1" x14ac:dyDescent="0.25">
      <c r="C530" s="20"/>
      <c r="D530" s="32" t="s">
        <v>166</v>
      </c>
      <c r="H530" s="101"/>
      <c r="J530" s="98" t="s">
        <v>1205</v>
      </c>
      <c r="L530" s="99"/>
      <c r="M530" s="101"/>
      <c r="N530" s="101"/>
      <c r="O530" s="101"/>
      <c r="P530" s="84"/>
      <c r="Q530" s="101"/>
      <c r="R530" s="101"/>
      <c r="S530" s="101">
        <f>SUM($Q536:S536)</f>
        <v>0</v>
      </c>
      <c r="T530" s="101">
        <f>SUM($Q536:T536)</f>
        <v>0</v>
      </c>
      <c r="U530" s="101">
        <f>SUM($Q536:U536)</f>
        <v>0</v>
      </c>
      <c r="V530" s="101">
        <f>SUM($Q536:V536)</f>
        <v>0</v>
      </c>
      <c r="W530" s="101">
        <f>SUM($Q536:W536)</f>
        <v>0</v>
      </c>
      <c r="X530" s="101">
        <f>SUM($Q536:X536)</f>
        <v>0</v>
      </c>
      <c r="Y530" s="101">
        <f>SUM($Q536:Y536)</f>
        <v>0</v>
      </c>
      <c r="Z530" s="101">
        <f>SUM($Q536:Z536)</f>
        <v>0</v>
      </c>
      <c r="AA530" s="101">
        <f>SUM($Q536:AA536)</f>
        <v>0</v>
      </c>
      <c r="AB530" s="101">
        <f>SUM($Q536:AB536)</f>
        <v>0</v>
      </c>
      <c r="AC530" s="101">
        <f>SUM($Q536:AC536)</f>
        <v>0</v>
      </c>
      <c r="AD530" s="101">
        <f>SUM($Q536:AD536)</f>
        <v>0</v>
      </c>
      <c r="AE530" s="101"/>
      <c r="AF530" s="101"/>
      <c r="AG530" s="101"/>
      <c r="AH530" s="101"/>
      <c r="AI530" s="101"/>
      <c r="AJ530" s="101"/>
      <c r="AK530" s="101"/>
      <c r="AL530" s="101"/>
      <c r="AM530" s="101"/>
      <c r="AN530" s="101"/>
      <c r="AO530" s="101"/>
    </row>
    <row r="531" spans="3:41" s="97" customFormat="1" hidden="1" outlineLevel="1" x14ac:dyDescent="0.2">
      <c r="H531" s="101"/>
      <c r="J531" s="98"/>
      <c r="L531" s="99"/>
      <c r="M531" s="101"/>
      <c r="N531" s="101"/>
      <c r="O531" s="101"/>
      <c r="P531" s="101"/>
      <c r="Q531" s="101"/>
      <c r="R531" s="101"/>
      <c r="S531" s="101"/>
      <c r="T531" s="101"/>
      <c r="U531" s="101"/>
      <c r="V531" s="101"/>
      <c r="W531" s="101"/>
      <c r="X531" s="101"/>
      <c r="Y531" s="101"/>
      <c r="Z531" s="101"/>
      <c r="AA531" s="101"/>
      <c r="AB531" s="101"/>
      <c r="AC531" s="101"/>
      <c r="AD531" s="101"/>
      <c r="AE531" s="101"/>
      <c r="AF531" s="101"/>
      <c r="AG531" s="101"/>
      <c r="AH531" s="101"/>
      <c r="AI531" s="101"/>
      <c r="AJ531" s="101"/>
      <c r="AK531" s="101"/>
      <c r="AL531" s="101"/>
      <c r="AM531" s="101"/>
      <c r="AN531" s="101"/>
      <c r="AO531" s="101"/>
    </row>
    <row r="532" spans="3:41" s="97" customFormat="1" ht="12.6" hidden="1" outlineLevel="1" x14ac:dyDescent="0.25">
      <c r="D532" s="32" t="s">
        <v>165</v>
      </c>
      <c r="H532" s="101"/>
      <c r="J532" s="98" t="s">
        <v>1205</v>
      </c>
      <c r="L532" s="99"/>
      <c r="N532" s="109"/>
      <c r="O532" s="109"/>
      <c r="P532" s="109"/>
      <c r="Q532" s="109"/>
      <c r="R532" s="101"/>
      <c r="S532" s="101">
        <f t="shared" ref="S532:AD532" si="251">S519-S530</f>
        <v>0</v>
      </c>
      <c r="T532" s="101">
        <f t="shared" si="251"/>
        <v>0</v>
      </c>
      <c r="U532" s="101">
        <f t="shared" si="251"/>
        <v>0</v>
      </c>
      <c r="V532" s="101">
        <f t="shared" si="251"/>
        <v>0</v>
      </c>
      <c r="W532" s="101">
        <f t="shared" si="251"/>
        <v>0</v>
      </c>
      <c r="X532" s="101">
        <f t="shared" si="251"/>
        <v>0</v>
      </c>
      <c r="Y532" s="101">
        <f t="shared" si="251"/>
        <v>0</v>
      </c>
      <c r="Z532" s="101">
        <f t="shared" si="251"/>
        <v>0</v>
      </c>
      <c r="AA532" s="101">
        <f t="shared" si="251"/>
        <v>0</v>
      </c>
      <c r="AB532" s="101">
        <f t="shared" si="251"/>
        <v>0</v>
      </c>
      <c r="AC532" s="101">
        <f t="shared" si="251"/>
        <v>0</v>
      </c>
      <c r="AD532" s="101">
        <f t="shared" si="251"/>
        <v>0</v>
      </c>
      <c r="AE532" s="109"/>
      <c r="AF532" s="109"/>
      <c r="AG532" s="109"/>
      <c r="AH532" s="109"/>
      <c r="AI532" s="109"/>
      <c r="AJ532" s="109"/>
      <c r="AK532" s="109"/>
      <c r="AL532" s="109"/>
      <c r="AM532" s="109"/>
      <c r="AN532" s="109"/>
      <c r="AO532" s="109"/>
    </row>
    <row r="533" spans="3:41" s="97" customFormat="1" hidden="1" outlineLevel="1" x14ac:dyDescent="0.2">
      <c r="H533" s="101"/>
      <c r="J533" s="98"/>
      <c r="L533" s="99"/>
      <c r="M533" s="101"/>
      <c r="N533" s="101"/>
      <c r="O533" s="101"/>
      <c r="P533" s="101"/>
      <c r="Q533" s="101"/>
      <c r="R533" s="101"/>
      <c r="S533" s="101"/>
      <c r="T533" s="101"/>
      <c r="U533" s="101"/>
      <c r="V533" s="101"/>
      <c r="W533" s="101"/>
      <c r="X533" s="101"/>
      <c r="Y533" s="101"/>
      <c r="Z533" s="101"/>
      <c r="AA533" s="101"/>
      <c r="AB533" s="101"/>
      <c r="AC533" s="101"/>
      <c r="AD533" s="101"/>
      <c r="AE533" s="101"/>
      <c r="AF533" s="101"/>
      <c r="AG533" s="101"/>
      <c r="AH533" s="101"/>
      <c r="AI533" s="101"/>
      <c r="AJ533" s="101"/>
      <c r="AK533" s="101"/>
      <c r="AL533" s="101"/>
      <c r="AM533" s="101"/>
      <c r="AN533" s="101"/>
      <c r="AO533" s="101"/>
    </row>
    <row r="534" spans="3:41" s="97" customFormat="1" ht="12.6" hidden="1" outlineLevel="1" x14ac:dyDescent="0.25">
      <c r="C534" s="32"/>
      <c r="D534" s="32" t="s">
        <v>164</v>
      </c>
      <c r="H534" s="101"/>
      <c r="J534" s="98"/>
      <c r="L534" s="99"/>
      <c r="N534" s="101"/>
      <c r="O534" s="101"/>
      <c r="P534" s="101"/>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row>
    <row r="535" spans="3:41" s="97" customFormat="1" ht="12.6" hidden="1" outlineLevel="1" x14ac:dyDescent="0.25">
      <c r="C535" s="20"/>
      <c r="D535" s="32"/>
      <c r="E535" s="97" t="s">
        <v>91</v>
      </c>
      <c r="H535" s="101"/>
      <c r="J535" s="98" t="s">
        <v>1205</v>
      </c>
      <c r="L535" s="99"/>
      <c r="M535" s="101"/>
      <c r="N535" s="101"/>
      <c r="O535" s="101"/>
      <c r="P535" s="84"/>
      <c r="Q535" s="101"/>
      <c r="R535" s="101"/>
      <c r="S535" s="101">
        <f t="shared" ref="S535:AD535" si="252">R547</f>
        <v>0</v>
      </c>
      <c r="T535" s="101" t="e">
        <f t="shared" si="252"/>
        <v>#NAME?</v>
      </c>
      <c r="U535" s="101" t="e">
        <f t="shared" si="252"/>
        <v>#NAME?</v>
      </c>
      <c r="V535" s="101" t="e">
        <f t="shared" si="252"/>
        <v>#NAME?</v>
      </c>
      <c r="W535" s="101" t="e">
        <f t="shared" si="252"/>
        <v>#NAME?</v>
      </c>
      <c r="X535" s="101" t="e">
        <f t="shared" si="252"/>
        <v>#NAME?</v>
      </c>
      <c r="Y535" s="101" t="e">
        <f t="shared" si="252"/>
        <v>#NAME?</v>
      </c>
      <c r="Z535" s="101" t="e">
        <f t="shared" si="252"/>
        <v>#NAME?</v>
      </c>
      <c r="AA535" s="101" t="e">
        <f t="shared" si="252"/>
        <v>#NAME?</v>
      </c>
      <c r="AB535" s="101" t="e">
        <f t="shared" si="252"/>
        <v>#NAME?</v>
      </c>
      <c r="AC535" s="101" t="e">
        <f t="shared" si="252"/>
        <v>#NAME?</v>
      </c>
      <c r="AD535" s="101" t="e">
        <f t="shared" si="252"/>
        <v>#NAME?</v>
      </c>
      <c r="AE535" s="101"/>
      <c r="AF535" s="101"/>
      <c r="AG535" s="101"/>
      <c r="AH535" s="101"/>
      <c r="AI535" s="101"/>
      <c r="AJ535" s="101"/>
      <c r="AK535" s="101"/>
      <c r="AL535" s="101"/>
      <c r="AM535" s="101"/>
      <c r="AN535" s="101"/>
      <c r="AO535" s="101"/>
    </row>
    <row r="536" spans="3:41" s="97" customFormat="1" hidden="1" outlineLevel="1" x14ac:dyDescent="0.2">
      <c r="E536" s="97" t="s">
        <v>163</v>
      </c>
      <c r="H536" s="101"/>
      <c r="J536" s="98" t="s">
        <v>1205</v>
      </c>
      <c r="L536" s="99" t="s">
        <v>385</v>
      </c>
      <c r="M536" s="101"/>
      <c r="N536" s="101"/>
      <c r="O536" s="101"/>
      <c r="P536" s="101"/>
      <c r="Q536" s="101">
        <f>Q547</f>
        <v>0</v>
      </c>
      <c r="R536" s="101"/>
      <c r="S536" s="101">
        <f t="shared" ref="S536:AD536" si="253">Inputs_TL10_Drawdown</f>
        <v>0</v>
      </c>
      <c r="T536" s="101">
        <f t="shared" si="253"/>
        <v>0</v>
      </c>
      <c r="U536" s="101">
        <f t="shared" si="253"/>
        <v>0</v>
      </c>
      <c r="V536" s="101">
        <f t="shared" si="253"/>
        <v>0</v>
      </c>
      <c r="W536" s="101">
        <f t="shared" si="253"/>
        <v>0</v>
      </c>
      <c r="X536" s="101">
        <f t="shared" si="253"/>
        <v>0</v>
      </c>
      <c r="Y536" s="101">
        <f t="shared" si="253"/>
        <v>0</v>
      </c>
      <c r="Z536" s="101">
        <f t="shared" si="253"/>
        <v>0</v>
      </c>
      <c r="AA536" s="101">
        <f t="shared" si="253"/>
        <v>0</v>
      </c>
      <c r="AB536" s="101">
        <f t="shared" si="253"/>
        <v>0</v>
      </c>
      <c r="AC536" s="101">
        <f t="shared" si="253"/>
        <v>0</v>
      </c>
      <c r="AD536" s="101">
        <f t="shared" si="253"/>
        <v>0</v>
      </c>
      <c r="AE536" s="101"/>
      <c r="AF536" s="101"/>
      <c r="AG536" s="101"/>
      <c r="AH536" s="101"/>
      <c r="AI536" s="101"/>
      <c r="AJ536" s="101"/>
      <c r="AK536" s="101"/>
      <c r="AL536" s="101"/>
      <c r="AM536" s="101"/>
      <c r="AN536" s="101"/>
      <c r="AO536" s="101"/>
    </row>
    <row r="537" spans="3:41" s="97" customFormat="1" ht="12.6" hidden="1" outlineLevel="1" x14ac:dyDescent="0.25">
      <c r="E537" s="27" t="s">
        <v>162</v>
      </c>
      <c r="F537" s="28"/>
      <c r="G537" s="28"/>
      <c r="H537" s="100"/>
      <c r="I537" s="28"/>
      <c r="J537" s="29" t="s">
        <v>1205</v>
      </c>
      <c r="K537" s="28"/>
      <c r="L537" s="30"/>
      <c r="M537" s="28"/>
      <c r="N537" s="87"/>
      <c r="O537" s="87"/>
      <c r="P537" s="87"/>
      <c r="Q537" s="87"/>
      <c r="R537" s="100"/>
      <c r="S537" s="100">
        <f t="shared" ref="S537:AD537" si="254">SUM(S535:S536)</f>
        <v>0</v>
      </c>
      <c r="T537" s="100" t="e">
        <f t="shared" si="254"/>
        <v>#NAME?</v>
      </c>
      <c r="U537" s="100" t="e">
        <f t="shared" si="254"/>
        <v>#NAME?</v>
      </c>
      <c r="V537" s="100" t="e">
        <f t="shared" si="254"/>
        <v>#NAME?</v>
      </c>
      <c r="W537" s="100" t="e">
        <f t="shared" si="254"/>
        <v>#NAME?</v>
      </c>
      <c r="X537" s="100" t="e">
        <f t="shared" si="254"/>
        <v>#NAME?</v>
      </c>
      <c r="Y537" s="100" t="e">
        <f t="shared" si="254"/>
        <v>#NAME?</v>
      </c>
      <c r="Z537" s="100" t="e">
        <f t="shared" si="254"/>
        <v>#NAME?</v>
      </c>
      <c r="AA537" s="100" t="e">
        <f t="shared" si="254"/>
        <v>#NAME?</v>
      </c>
      <c r="AB537" s="100" t="e">
        <f t="shared" si="254"/>
        <v>#NAME?</v>
      </c>
      <c r="AC537" s="100" t="e">
        <f t="shared" si="254"/>
        <v>#NAME?</v>
      </c>
      <c r="AD537" s="100" t="e">
        <f t="shared" si="254"/>
        <v>#NAME?</v>
      </c>
      <c r="AE537" s="109"/>
      <c r="AF537" s="109"/>
      <c r="AG537" s="109"/>
      <c r="AH537" s="109"/>
      <c r="AI537" s="109"/>
      <c r="AJ537" s="109"/>
      <c r="AK537" s="109"/>
      <c r="AL537" s="109"/>
      <c r="AM537" s="109"/>
      <c r="AN537" s="109"/>
      <c r="AO537" s="109"/>
    </row>
    <row r="538" spans="3:41" s="97" customFormat="1" hidden="1" outlineLevel="1" x14ac:dyDescent="0.2">
      <c r="H538" s="101"/>
      <c r="J538" s="98"/>
      <c r="L538" s="99"/>
      <c r="M538" s="101"/>
      <c r="N538" s="101"/>
      <c r="O538" s="101"/>
      <c r="P538" s="101"/>
      <c r="Q538" s="101"/>
      <c r="R538" s="101"/>
      <c r="S538" s="101"/>
      <c r="T538" s="101"/>
      <c r="U538" s="101"/>
      <c r="V538" s="101"/>
      <c r="W538" s="101"/>
      <c r="X538" s="101"/>
      <c r="Y538" s="101"/>
      <c r="Z538" s="101"/>
      <c r="AA538" s="101"/>
      <c r="AB538" s="101"/>
      <c r="AC538" s="101"/>
      <c r="AD538" s="101"/>
      <c r="AE538" s="101"/>
      <c r="AF538" s="101"/>
      <c r="AG538" s="101"/>
      <c r="AH538" s="101"/>
      <c r="AI538" s="101"/>
      <c r="AJ538" s="101"/>
      <c r="AK538" s="101"/>
      <c r="AL538" s="101"/>
      <c r="AM538" s="101"/>
      <c r="AN538" s="101"/>
      <c r="AO538" s="101"/>
    </row>
    <row r="539" spans="3:41" s="97" customFormat="1" ht="12.6" hidden="1" outlineLevel="1" x14ac:dyDescent="0.25">
      <c r="D539" s="32" t="s">
        <v>161</v>
      </c>
      <c r="H539" s="101"/>
      <c r="L539" s="99"/>
      <c r="N539" s="101"/>
      <c r="O539" s="101"/>
      <c r="P539" s="101"/>
      <c r="Q539" s="101"/>
      <c r="R539" s="101"/>
      <c r="S539" s="101"/>
      <c r="T539" s="101"/>
      <c r="U539" s="101"/>
      <c r="V539" s="101"/>
      <c r="W539" s="101"/>
      <c r="X539" s="101"/>
      <c r="Y539" s="101"/>
      <c r="Z539" s="101"/>
      <c r="AA539" s="101"/>
      <c r="AB539" s="101"/>
      <c r="AC539" s="101"/>
      <c r="AD539" s="101"/>
      <c r="AE539" s="101"/>
      <c r="AF539" s="101"/>
      <c r="AG539" s="101"/>
      <c r="AH539" s="101"/>
      <c r="AI539" s="101"/>
      <c r="AJ539" s="101"/>
      <c r="AK539" s="101"/>
      <c r="AL539" s="101"/>
      <c r="AM539" s="101"/>
      <c r="AN539" s="101"/>
      <c r="AO539" s="101"/>
    </row>
    <row r="540" spans="3:41" s="97" customFormat="1" ht="12.6" hidden="1" outlineLevel="1" x14ac:dyDescent="0.25">
      <c r="C540" s="20"/>
      <c r="D540" s="32"/>
      <c r="E540" s="97" t="s">
        <v>160</v>
      </c>
      <c r="H540" s="101"/>
      <c r="J540" s="98" t="s">
        <v>1205</v>
      </c>
      <c r="L540" s="99"/>
      <c r="M540" s="101"/>
      <c r="N540" s="101"/>
      <c r="O540" s="101"/>
      <c r="P540" s="84"/>
      <c r="Q540" s="101"/>
      <c r="R540" s="108"/>
      <c r="S540" s="108">
        <f t="shared" ref="S540:AD540" si="255">Inputs_TL10_Repayment</f>
        <v>0</v>
      </c>
      <c r="T540" s="108">
        <f t="shared" si="255"/>
        <v>0</v>
      </c>
      <c r="U540" s="108">
        <f t="shared" si="255"/>
        <v>0</v>
      </c>
      <c r="V540" s="108">
        <f t="shared" si="255"/>
        <v>0</v>
      </c>
      <c r="W540" s="108">
        <f t="shared" si="255"/>
        <v>0</v>
      </c>
      <c r="X540" s="108">
        <f t="shared" si="255"/>
        <v>0</v>
      </c>
      <c r="Y540" s="108">
        <f t="shared" si="255"/>
        <v>0</v>
      </c>
      <c r="Z540" s="108">
        <f t="shared" si="255"/>
        <v>0</v>
      </c>
      <c r="AA540" s="108">
        <f t="shared" si="255"/>
        <v>0</v>
      </c>
      <c r="AB540" s="108">
        <f t="shared" si="255"/>
        <v>0</v>
      </c>
      <c r="AC540" s="108">
        <f t="shared" si="255"/>
        <v>0</v>
      </c>
      <c r="AD540" s="108">
        <f t="shared" si="255"/>
        <v>0</v>
      </c>
      <c r="AE540" s="101"/>
      <c r="AF540" s="101"/>
      <c r="AG540" s="101"/>
      <c r="AH540" s="101"/>
      <c r="AI540" s="101"/>
      <c r="AJ540" s="101"/>
      <c r="AK540" s="101"/>
      <c r="AL540" s="101"/>
      <c r="AM540" s="101"/>
      <c r="AN540" s="101"/>
      <c r="AO540" s="101"/>
    </row>
    <row r="541" spans="3:41" s="97" customFormat="1" hidden="1" outlineLevel="1" x14ac:dyDescent="0.2">
      <c r="E541" s="97" t="s">
        <v>146</v>
      </c>
      <c r="H541" s="101"/>
      <c r="J541" s="98" t="s">
        <v>1205</v>
      </c>
      <c r="L541" s="99"/>
      <c r="M541" s="101"/>
      <c r="N541" s="101"/>
      <c r="O541" s="101"/>
      <c r="P541" s="101"/>
      <c r="Q541" s="101"/>
      <c r="R541" s="101"/>
      <c r="S541" s="101" t="e">
        <f t="shared" ref="S541:AD541" si="256">-Inputs_TL10_Repayment*Finance_TL10_Total</f>
        <v>#NAME?</v>
      </c>
      <c r="T541" s="101" t="e">
        <f t="shared" si="256"/>
        <v>#NAME?</v>
      </c>
      <c r="U541" s="101" t="e">
        <f t="shared" si="256"/>
        <v>#NAME?</v>
      </c>
      <c r="V541" s="101" t="e">
        <f t="shared" si="256"/>
        <v>#NAME?</v>
      </c>
      <c r="W541" s="101" t="e">
        <f t="shared" si="256"/>
        <v>#NAME?</v>
      </c>
      <c r="X541" s="101" t="e">
        <f t="shared" si="256"/>
        <v>#NAME?</v>
      </c>
      <c r="Y541" s="101" t="e">
        <f t="shared" si="256"/>
        <v>#NAME?</v>
      </c>
      <c r="Z541" s="101" t="e">
        <f t="shared" si="256"/>
        <v>#NAME?</v>
      </c>
      <c r="AA541" s="101" t="e">
        <f t="shared" si="256"/>
        <v>#NAME?</v>
      </c>
      <c r="AB541" s="101" t="e">
        <f t="shared" si="256"/>
        <v>#NAME?</v>
      </c>
      <c r="AC541" s="101" t="e">
        <f t="shared" si="256"/>
        <v>#NAME?</v>
      </c>
      <c r="AD541" s="101" t="e">
        <f t="shared" si="256"/>
        <v>#NAME?</v>
      </c>
      <c r="AE541" s="101"/>
      <c r="AF541" s="101"/>
      <c r="AG541" s="101"/>
      <c r="AH541" s="101"/>
      <c r="AI541" s="101"/>
      <c r="AJ541" s="101"/>
      <c r="AK541" s="101"/>
      <c r="AL541" s="101"/>
      <c r="AM541" s="101"/>
      <c r="AN541" s="101"/>
      <c r="AO541" s="101"/>
    </row>
    <row r="542" spans="3:41" s="97" customFormat="1" ht="12.6" hidden="1" outlineLevel="1" x14ac:dyDescent="0.25">
      <c r="E542" s="27" t="s">
        <v>159</v>
      </c>
      <c r="F542" s="28"/>
      <c r="G542" s="28"/>
      <c r="H542" s="100"/>
      <c r="I542" s="28"/>
      <c r="J542" s="29" t="s">
        <v>1205</v>
      </c>
      <c r="K542" s="28"/>
      <c r="L542" s="30" t="s">
        <v>386</v>
      </c>
      <c r="M542" s="28"/>
      <c r="N542" s="87"/>
      <c r="O542" s="87"/>
      <c r="P542" s="87"/>
      <c r="Q542" s="87"/>
      <c r="R542" s="100"/>
      <c r="S542" s="100" t="e">
        <f t="shared" ref="S542:AD542" si="257">IF(-S541&lt;S537,S541,-S537)</f>
        <v>#NAME?</v>
      </c>
      <c r="T542" s="100" t="e">
        <f t="shared" si="257"/>
        <v>#NAME?</v>
      </c>
      <c r="U542" s="100" t="e">
        <f t="shared" si="257"/>
        <v>#NAME?</v>
      </c>
      <c r="V542" s="100" t="e">
        <f t="shared" si="257"/>
        <v>#NAME?</v>
      </c>
      <c r="W542" s="100" t="e">
        <f t="shared" si="257"/>
        <v>#NAME?</v>
      </c>
      <c r="X542" s="100" t="e">
        <f t="shared" si="257"/>
        <v>#NAME?</v>
      </c>
      <c r="Y542" s="100" t="e">
        <f t="shared" si="257"/>
        <v>#NAME?</v>
      </c>
      <c r="Z542" s="100" t="e">
        <f t="shared" si="257"/>
        <v>#NAME?</v>
      </c>
      <c r="AA542" s="100" t="e">
        <f t="shared" si="257"/>
        <v>#NAME?</v>
      </c>
      <c r="AB542" s="100" t="e">
        <f t="shared" si="257"/>
        <v>#NAME?</v>
      </c>
      <c r="AC542" s="100" t="e">
        <f t="shared" si="257"/>
        <v>#NAME?</v>
      </c>
      <c r="AD542" s="100" t="e">
        <f t="shared" si="257"/>
        <v>#NAME?</v>
      </c>
      <c r="AE542" s="109"/>
      <c r="AF542" s="109"/>
      <c r="AG542" s="109"/>
      <c r="AH542" s="109"/>
      <c r="AI542" s="109"/>
      <c r="AJ542" s="109"/>
      <c r="AK542" s="109"/>
      <c r="AL542" s="109"/>
      <c r="AM542" s="109"/>
      <c r="AN542" s="109"/>
      <c r="AO542" s="109"/>
    </row>
    <row r="543" spans="3:41" s="97" customFormat="1" hidden="1" outlineLevel="1" x14ac:dyDescent="0.2">
      <c r="H543" s="101"/>
      <c r="J543" s="98"/>
      <c r="L543" s="99"/>
      <c r="M543" s="101"/>
      <c r="N543" s="101"/>
      <c r="O543" s="101"/>
      <c r="P543" s="101"/>
      <c r="Q543" s="101"/>
      <c r="R543" s="101"/>
      <c r="S543" s="101"/>
      <c r="T543" s="101"/>
      <c r="U543" s="101"/>
      <c r="V543" s="101"/>
      <c r="W543" s="101"/>
      <c r="X543" s="101"/>
      <c r="Y543" s="101"/>
      <c r="Z543" s="101"/>
      <c r="AA543" s="101"/>
      <c r="AB543" s="101"/>
      <c r="AC543" s="101"/>
      <c r="AD543" s="101"/>
      <c r="AE543" s="101"/>
      <c r="AF543" s="101"/>
      <c r="AG543" s="101"/>
      <c r="AH543" s="101"/>
      <c r="AI543" s="101"/>
      <c r="AJ543" s="101"/>
      <c r="AK543" s="101"/>
      <c r="AL543" s="101"/>
      <c r="AM543" s="101"/>
      <c r="AN543" s="101"/>
      <c r="AO543" s="101"/>
    </row>
    <row r="544" spans="3:41" s="97" customFormat="1" ht="12.6" hidden="1" outlineLevel="1" x14ac:dyDescent="0.25">
      <c r="D544" s="27" t="s">
        <v>158</v>
      </c>
      <c r="E544" s="28"/>
      <c r="F544" s="28"/>
      <c r="G544" s="28"/>
      <c r="H544" s="100"/>
      <c r="I544" s="28"/>
      <c r="J544" s="29" t="s">
        <v>1205</v>
      </c>
      <c r="K544" s="28"/>
      <c r="L544" s="30"/>
      <c r="M544" s="100"/>
      <c r="N544" s="100"/>
      <c r="O544" s="100"/>
      <c r="P544" s="100"/>
      <c r="Q544" s="100"/>
      <c r="R544" s="100"/>
      <c r="S544" s="100" t="e">
        <f t="shared" ref="S544:AD544" si="258">S537+S542</f>
        <v>#NAME?</v>
      </c>
      <c r="T544" s="100" t="e">
        <f t="shared" si="258"/>
        <v>#NAME?</v>
      </c>
      <c r="U544" s="100" t="e">
        <f t="shared" si="258"/>
        <v>#NAME?</v>
      </c>
      <c r="V544" s="100" t="e">
        <f t="shared" si="258"/>
        <v>#NAME?</v>
      </c>
      <c r="W544" s="100" t="e">
        <f t="shared" si="258"/>
        <v>#NAME?</v>
      </c>
      <c r="X544" s="100" t="e">
        <f t="shared" si="258"/>
        <v>#NAME?</v>
      </c>
      <c r="Y544" s="100" t="e">
        <f t="shared" si="258"/>
        <v>#NAME?</v>
      </c>
      <c r="Z544" s="100" t="e">
        <f t="shared" si="258"/>
        <v>#NAME?</v>
      </c>
      <c r="AA544" s="100" t="e">
        <f t="shared" si="258"/>
        <v>#NAME?</v>
      </c>
      <c r="AB544" s="100" t="e">
        <f t="shared" si="258"/>
        <v>#NAME?</v>
      </c>
      <c r="AC544" s="100" t="e">
        <f t="shared" si="258"/>
        <v>#NAME?</v>
      </c>
      <c r="AD544" s="100" t="e">
        <f t="shared" si="258"/>
        <v>#NAME?</v>
      </c>
      <c r="AE544" s="101"/>
      <c r="AF544" s="101"/>
      <c r="AG544" s="101"/>
      <c r="AH544" s="101"/>
      <c r="AI544" s="101"/>
      <c r="AJ544" s="101"/>
      <c r="AK544" s="101"/>
      <c r="AL544" s="101"/>
      <c r="AM544" s="101"/>
      <c r="AN544" s="101"/>
      <c r="AO544" s="101"/>
    </row>
    <row r="545" spans="2:41" s="97" customFormat="1" ht="12.6" hidden="1" outlineLevel="1" x14ac:dyDescent="0.25">
      <c r="D545" s="32"/>
      <c r="E545" s="32"/>
      <c r="F545" s="32"/>
      <c r="G545" s="32"/>
      <c r="H545" s="103"/>
      <c r="I545" s="32"/>
      <c r="J545" s="37"/>
      <c r="K545" s="32"/>
      <c r="L545" s="99"/>
      <c r="M545" s="103"/>
      <c r="N545" s="103"/>
      <c r="O545" s="103"/>
      <c r="P545" s="103"/>
      <c r="Q545" s="103"/>
      <c r="R545" s="103"/>
      <c r="S545" s="103"/>
      <c r="T545" s="103"/>
      <c r="U545" s="103"/>
      <c r="V545" s="103"/>
      <c r="W545" s="103"/>
      <c r="X545" s="103"/>
      <c r="Y545" s="103"/>
      <c r="Z545" s="103"/>
      <c r="AA545" s="103"/>
      <c r="AB545" s="103"/>
      <c r="AC545" s="103"/>
      <c r="AD545" s="103"/>
      <c r="AE545" s="103"/>
      <c r="AF545" s="103"/>
      <c r="AG545" s="103"/>
      <c r="AH545" s="103"/>
      <c r="AI545" s="103"/>
      <c r="AJ545" s="103"/>
      <c r="AK545" s="103"/>
      <c r="AL545" s="103"/>
      <c r="AM545" s="103"/>
      <c r="AN545" s="103"/>
      <c r="AO545" s="103"/>
    </row>
    <row r="546" spans="2:41" s="97" customFormat="1" hidden="1" outlineLevel="1" x14ac:dyDescent="0.2">
      <c r="E546" s="97" t="s">
        <v>157</v>
      </c>
      <c r="H546" s="101"/>
      <c r="J546" s="98"/>
      <c r="L546" s="99" t="s">
        <v>387</v>
      </c>
      <c r="M546" s="101"/>
      <c r="N546" s="101"/>
      <c r="O546" s="101"/>
      <c r="P546" s="101"/>
      <c r="Q546" s="101"/>
      <c r="R546" s="101"/>
      <c r="S546" s="101"/>
      <c r="T546" s="101"/>
      <c r="U546" s="101"/>
      <c r="V546" s="101"/>
      <c r="W546" s="101"/>
      <c r="X546" s="101"/>
      <c r="Y546" s="101"/>
      <c r="Z546" s="101"/>
      <c r="AA546" s="101"/>
      <c r="AB546" s="101"/>
      <c r="AC546" s="101"/>
      <c r="AD546" s="101"/>
      <c r="AE546" s="101"/>
      <c r="AF546" s="101"/>
      <c r="AG546" s="101"/>
      <c r="AH546" s="101"/>
      <c r="AI546" s="101"/>
      <c r="AJ546" s="101"/>
      <c r="AK546" s="101"/>
      <c r="AL546" s="101"/>
      <c r="AM546" s="101"/>
      <c r="AN546" s="101"/>
      <c r="AO546" s="101"/>
    </row>
    <row r="547" spans="2:41" s="97" customFormat="1" ht="13.2" hidden="1" outlineLevel="1" thickBot="1" x14ac:dyDescent="0.3">
      <c r="D547" s="36" t="s">
        <v>156</v>
      </c>
      <c r="E547" s="58"/>
      <c r="F547" s="58"/>
      <c r="G547" s="58"/>
      <c r="H547" s="105"/>
      <c r="I547" s="58"/>
      <c r="J547" s="59" t="s">
        <v>1205</v>
      </c>
      <c r="K547" s="58"/>
      <c r="L547" s="60" t="s">
        <v>388</v>
      </c>
      <c r="M547" s="105"/>
      <c r="N547" s="105"/>
      <c r="O547" s="182"/>
      <c r="P547" s="182"/>
      <c r="Q547" s="207">
        <v>0</v>
      </c>
      <c r="R547" s="105"/>
      <c r="S547" s="105" t="e">
        <f t="shared" ref="S547:AD547" si="259">S544-S546</f>
        <v>#NAME?</v>
      </c>
      <c r="T547" s="105" t="e">
        <f t="shared" si="259"/>
        <v>#NAME?</v>
      </c>
      <c r="U547" s="105" t="e">
        <f t="shared" si="259"/>
        <v>#NAME?</v>
      </c>
      <c r="V547" s="105" t="e">
        <f t="shared" si="259"/>
        <v>#NAME?</v>
      </c>
      <c r="W547" s="105" t="e">
        <f t="shared" si="259"/>
        <v>#NAME?</v>
      </c>
      <c r="X547" s="105" t="e">
        <f t="shared" si="259"/>
        <v>#NAME?</v>
      </c>
      <c r="Y547" s="105" t="e">
        <f t="shared" si="259"/>
        <v>#NAME?</v>
      </c>
      <c r="Z547" s="105" t="e">
        <f t="shared" si="259"/>
        <v>#NAME?</v>
      </c>
      <c r="AA547" s="105" t="e">
        <f t="shared" si="259"/>
        <v>#NAME?</v>
      </c>
      <c r="AB547" s="105" t="e">
        <f t="shared" si="259"/>
        <v>#NAME?</v>
      </c>
      <c r="AC547" s="105" t="e">
        <f t="shared" si="259"/>
        <v>#NAME?</v>
      </c>
      <c r="AD547" s="105" t="e">
        <f t="shared" si="259"/>
        <v>#NAME?</v>
      </c>
      <c r="AE547" s="34"/>
      <c r="AF547" s="34"/>
      <c r="AG547" s="34"/>
      <c r="AH547" s="34"/>
      <c r="AI547" s="34"/>
      <c r="AJ547" s="34"/>
      <c r="AK547" s="34"/>
      <c r="AL547" s="34"/>
      <c r="AM547" s="34"/>
      <c r="AN547" s="34"/>
      <c r="AO547" s="34"/>
    </row>
    <row r="548" spans="2:41" s="97" customFormat="1" hidden="1" outlineLevel="1" x14ac:dyDescent="0.2">
      <c r="H548" s="101"/>
      <c r="J548" s="98"/>
      <c r="L548" s="99"/>
      <c r="M548" s="101"/>
      <c r="N548" s="101"/>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row>
    <row r="549" spans="2:41" s="97" customFormat="1" ht="12.6" hidden="1" outlineLevel="1" x14ac:dyDescent="0.25">
      <c r="D549" s="32" t="s">
        <v>155</v>
      </c>
      <c r="H549" s="101"/>
      <c r="J549" s="98"/>
      <c r="L549" s="99"/>
      <c r="M549" s="101"/>
      <c r="N549" s="101"/>
      <c r="O549" s="101"/>
      <c r="P549" s="101"/>
      <c r="Q549" s="101"/>
      <c r="R549" s="101"/>
      <c r="S549" s="101"/>
      <c r="T549" s="101"/>
      <c r="U549" s="101"/>
      <c r="V549" s="101"/>
      <c r="W549" s="101"/>
      <c r="X549" s="101"/>
      <c r="Y549" s="101"/>
      <c r="Z549" s="101"/>
      <c r="AA549" s="101"/>
      <c r="AB549" s="101"/>
      <c r="AC549" s="101"/>
      <c r="AD549" s="101"/>
      <c r="AE549" s="101"/>
      <c r="AF549" s="101"/>
      <c r="AG549" s="101"/>
      <c r="AH549" s="101"/>
      <c r="AI549" s="101"/>
      <c r="AJ549" s="101"/>
      <c r="AK549" s="101"/>
      <c r="AL549" s="101"/>
      <c r="AM549" s="101"/>
      <c r="AN549" s="101"/>
      <c r="AO549" s="101"/>
    </row>
    <row r="550" spans="2:41" s="97" customFormat="1" hidden="1" outlineLevel="1" x14ac:dyDescent="0.2">
      <c r="B550" s="20"/>
      <c r="C550" s="20"/>
      <c r="D550" s="20"/>
      <c r="E550" s="97" t="s">
        <v>154</v>
      </c>
      <c r="J550" s="98" t="s">
        <v>1205</v>
      </c>
      <c r="L550" s="99" t="s">
        <v>389</v>
      </c>
      <c r="N550" s="21"/>
      <c r="O550" s="21"/>
      <c r="P550" s="21"/>
      <c r="Q550" s="101">
        <f>IF(Q547&gt;0,IF(((R542)*-1)&gt;Q537,Q537,0-(R542)),0)</f>
        <v>0</v>
      </c>
      <c r="R550" s="101"/>
      <c r="S550" s="101" t="e">
        <f t="shared" ref="S550:AD550" si="260">IF(S547&gt;0,IF(((T542)*-1)&gt;S537,S537,0-(T542)),0)</f>
        <v>#NAME?</v>
      </c>
      <c r="T550" s="101" t="e">
        <f t="shared" si="260"/>
        <v>#NAME?</v>
      </c>
      <c r="U550" s="101" t="e">
        <f t="shared" si="260"/>
        <v>#NAME?</v>
      </c>
      <c r="V550" s="101" t="e">
        <f t="shared" si="260"/>
        <v>#NAME?</v>
      </c>
      <c r="W550" s="101" t="e">
        <f t="shared" si="260"/>
        <v>#NAME?</v>
      </c>
      <c r="X550" s="101" t="e">
        <f t="shared" si="260"/>
        <v>#NAME?</v>
      </c>
      <c r="Y550" s="101" t="e">
        <f t="shared" si="260"/>
        <v>#NAME?</v>
      </c>
      <c r="Z550" s="101" t="e">
        <f t="shared" si="260"/>
        <v>#NAME?</v>
      </c>
      <c r="AA550" s="101" t="e">
        <f t="shared" si="260"/>
        <v>#NAME?</v>
      </c>
      <c r="AB550" s="101" t="e">
        <f t="shared" si="260"/>
        <v>#NAME?</v>
      </c>
      <c r="AC550" s="101" t="e">
        <f t="shared" si="260"/>
        <v>#NAME?</v>
      </c>
      <c r="AD550" s="21" t="e">
        <f t="shared" si="260"/>
        <v>#NAME?</v>
      </c>
      <c r="AE550" s="21"/>
      <c r="AF550" s="21"/>
      <c r="AG550" s="21"/>
      <c r="AH550" s="21"/>
      <c r="AI550" s="21"/>
      <c r="AJ550" s="21"/>
      <c r="AK550" s="21"/>
      <c r="AL550" s="21"/>
      <c r="AM550" s="21"/>
      <c r="AN550" s="21"/>
      <c r="AO550" s="21"/>
    </row>
    <row r="551" spans="2:41" s="97" customFormat="1" hidden="1" outlineLevel="1" x14ac:dyDescent="0.2">
      <c r="E551" s="97" t="s">
        <v>153</v>
      </c>
      <c r="H551" s="101"/>
      <c r="J551" s="98" t="s">
        <v>1205</v>
      </c>
      <c r="L551" s="99" t="s">
        <v>390</v>
      </c>
      <c r="M551" s="101"/>
      <c r="N551" s="101"/>
      <c r="O551" s="101"/>
      <c r="P551" s="101"/>
      <c r="Q551" s="101">
        <f>Q547-Q550</f>
        <v>0</v>
      </c>
      <c r="R551" s="101"/>
      <c r="S551" s="101" t="e">
        <f t="shared" ref="S551:AD551" si="261">S547-S550</f>
        <v>#NAME?</v>
      </c>
      <c r="T551" s="101" t="e">
        <f t="shared" si="261"/>
        <v>#NAME?</v>
      </c>
      <c r="U551" s="101" t="e">
        <f t="shared" si="261"/>
        <v>#NAME?</v>
      </c>
      <c r="V551" s="101" t="e">
        <f t="shared" si="261"/>
        <v>#NAME?</v>
      </c>
      <c r="W551" s="101" t="e">
        <f t="shared" si="261"/>
        <v>#NAME?</v>
      </c>
      <c r="X551" s="101" t="e">
        <f t="shared" si="261"/>
        <v>#NAME?</v>
      </c>
      <c r="Y551" s="101" t="e">
        <f t="shared" si="261"/>
        <v>#NAME?</v>
      </c>
      <c r="Z551" s="101" t="e">
        <f t="shared" si="261"/>
        <v>#NAME?</v>
      </c>
      <c r="AA551" s="101" t="e">
        <f t="shared" si="261"/>
        <v>#NAME?</v>
      </c>
      <c r="AB551" s="101" t="e">
        <f t="shared" si="261"/>
        <v>#NAME?</v>
      </c>
      <c r="AC551" s="101" t="e">
        <f t="shared" si="261"/>
        <v>#NAME?</v>
      </c>
      <c r="AD551" s="101" t="e">
        <f t="shared" si="261"/>
        <v>#NAME?</v>
      </c>
      <c r="AE551" s="101"/>
      <c r="AF551" s="101"/>
      <c r="AG551" s="101"/>
      <c r="AH551" s="101"/>
      <c r="AI551" s="101"/>
      <c r="AJ551" s="101"/>
      <c r="AK551" s="101"/>
      <c r="AL551" s="101"/>
      <c r="AM551" s="101"/>
      <c r="AN551" s="101"/>
      <c r="AO551" s="101"/>
    </row>
    <row r="552" spans="2:41" s="97" customFormat="1" hidden="1" outlineLevel="1" x14ac:dyDescent="0.2">
      <c r="H552" s="101"/>
      <c r="J552" s="98"/>
      <c r="L552" s="99"/>
      <c r="M552" s="101"/>
      <c r="N552" s="101"/>
      <c r="O552" s="101"/>
      <c r="P552" s="101"/>
      <c r="Q552" s="101"/>
      <c r="R552" s="101"/>
      <c r="S552" s="101"/>
      <c r="T552" s="101"/>
      <c r="U552" s="101"/>
      <c r="V552" s="101"/>
      <c r="W552" s="101"/>
      <c r="X552" s="101"/>
      <c r="Y552" s="101"/>
      <c r="Z552" s="101"/>
      <c r="AA552" s="101"/>
      <c r="AB552" s="101"/>
      <c r="AC552" s="101"/>
      <c r="AD552" s="101"/>
      <c r="AE552" s="101"/>
      <c r="AF552" s="101"/>
      <c r="AG552" s="101"/>
      <c r="AH552" s="101"/>
      <c r="AI552" s="101"/>
      <c r="AJ552" s="101"/>
      <c r="AK552" s="101"/>
      <c r="AL552" s="101"/>
      <c r="AM552" s="101"/>
      <c r="AN552" s="101"/>
      <c r="AO552" s="101"/>
    </row>
    <row r="553" spans="2:41" s="97" customFormat="1" ht="12.6" hidden="1" outlineLevel="1" x14ac:dyDescent="0.25">
      <c r="D553" s="32" t="s">
        <v>152</v>
      </c>
      <c r="H553" s="101"/>
      <c r="J553" s="98" t="s">
        <v>20</v>
      </c>
      <c r="L553" s="99"/>
      <c r="M553" s="101"/>
      <c r="N553" s="101"/>
      <c r="O553" s="101"/>
      <c r="P553" s="101"/>
      <c r="Q553" s="101"/>
      <c r="R553" s="101"/>
      <c r="S553" s="101">
        <f t="shared" ref="S553:AD553" si="262">Inputs_TL10_Months_Oustanding</f>
        <v>12</v>
      </c>
      <c r="T553" s="101">
        <f t="shared" si="262"/>
        <v>12</v>
      </c>
      <c r="U553" s="101">
        <f t="shared" si="262"/>
        <v>12</v>
      </c>
      <c r="V553" s="101">
        <f t="shared" si="262"/>
        <v>12</v>
      </c>
      <c r="W553" s="101">
        <f t="shared" si="262"/>
        <v>12</v>
      </c>
      <c r="X553" s="101">
        <f t="shared" si="262"/>
        <v>12</v>
      </c>
      <c r="Y553" s="101">
        <f t="shared" si="262"/>
        <v>12</v>
      </c>
      <c r="Z553" s="101">
        <f t="shared" si="262"/>
        <v>12</v>
      </c>
      <c r="AA553" s="101">
        <f t="shared" si="262"/>
        <v>12</v>
      </c>
      <c r="AB553" s="101">
        <f t="shared" si="262"/>
        <v>12</v>
      </c>
      <c r="AC553" s="101">
        <f t="shared" si="262"/>
        <v>12</v>
      </c>
      <c r="AD553" s="101">
        <f t="shared" si="262"/>
        <v>12</v>
      </c>
      <c r="AE553" s="108"/>
      <c r="AF553" s="108"/>
      <c r="AG553" s="108"/>
      <c r="AH553" s="108"/>
      <c r="AI553" s="108"/>
      <c r="AJ553" s="108"/>
      <c r="AK553" s="108"/>
      <c r="AL553" s="108"/>
      <c r="AM553" s="108"/>
      <c r="AN553" s="108"/>
      <c r="AO553" s="108"/>
    </row>
    <row r="554" spans="2:41" s="97" customFormat="1" hidden="1" outlineLevel="1" x14ac:dyDescent="0.2">
      <c r="H554" s="101"/>
      <c r="J554" s="98"/>
      <c r="L554" s="99"/>
      <c r="M554" s="101"/>
      <c r="N554" s="101"/>
      <c r="O554" s="101"/>
      <c r="P554" s="101"/>
      <c r="Q554" s="101"/>
      <c r="R554" s="101"/>
      <c r="S554" s="101"/>
      <c r="T554" s="101"/>
      <c r="U554" s="101"/>
      <c r="V554" s="101"/>
      <c r="W554" s="101"/>
      <c r="X554" s="101"/>
      <c r="Y554" s="101"/>
      <c r="Z554" s="101"/>
      <c r="AA554" s="101"/>
      <c r="AB554" s="101"/>
      <c r="AC554" s="101"/>
      <c r="AD554" s="101"/>
      <c r="AE554" s="101"/>
      <c r="AF554" s="101"/>
      <c r="AG554" s="101"/>
      <c r="AH554" s="101"/>
      <c r="AI554" s="101"/>
      <c r="AJ554" s="101"/>
      <c r="AK554" s="101"/>
      <c r="AL554" s="101"/>
      <c r="AM554" s="101"/>
      <c r="AN554" s="101"/>
      <c r="AO554" s="101"/>
    </row>
    <row r="555" spans="2:41" s="97" customFormat="1" ht="12.6" hidden="1" outlineLevel="1" x14ac:dyDescent="0.25">
      <c r="D555" s="32" t="s">
        <v>151</v>
      </c>
      <c r="H555" s="101"/>
      <c r="J555" s="98"/>
      <c r="L555" s="99"/>
      <c r="M555" s="101"/>
      <c r="N555" s="101"/>
      <c r="O555" s="101"/>
      <c r="P555" s="101"/>
      <c r="Q555" s="101"/>
      <c r="R555" s="101"/>
      <c r="S555" s="101"/>
      <c r="T555" s="101"/>
      <c r="U555" s="101"/>
      <c r="V555" s="101"/>
      <c r="W555" s="101"/>
      <c r="X555" s="101"/>
      <c r="Y555" s="101"/>
      <c r="Z555" s="101"/>
      <c r="AA555" s="101"/>
      <c r="AB555" s="101"/>
      <c r="AC555" s="101"/>
      <c r="AD555" s="101"/>
      <c r="AE555" s="101"/>
      <c r="AF555" s="101"/>
      <c r="AG555" s="101"/>
      <c r="AH555" s="101"/>
      <c r="AI555" s="101"/>
      <c r="AJ555" s="101"/>
      <c r="AK555" s="101"/>
      <c r="AL555" s="101"/>
      <c r="AM555" s="101"/>
      <c r="AN555" s="101"/>
      <c r="AO555" s="101"/>
    </row>
    <row r="556" spans="2:41" s="97" customFormat="1" hidden="1" outlineLevel="1" x14ac:dyDescent="0.2">
      <c r="E556" s="97" t="s">
        <v>150</v>
      </c>
      <c r="H556" s="101"/>
      <c r="J556" s="98" t="s">
        <v>1205</v>
      </c>
      <c r="L556" s="99" t="s">
        <v>391</v>
      </c>
      <c r="M556" s="101"/>
      <c r="N556" s="101"/>
      <c r="O556" s="101"/>
      <c r="P556" s="101"/>
      <c r="Q556" s="181"/>
      <c r="R556" s="21"/>
      <c r="S556" s="101">
        <f t="shared" ref="S556:AD556" si="263">IF(AND(Inputs_TL10_Availability_Start_Date&gt;R$5,Inputs_TL10_Availability_Start_Date&lt;S$5),-Inputs_TL10_Arrangement_Fee*Inputs_TL10_Maximum_Facility,0)</f>
        <v>0</v>
      </c>
      <c r="T556" s="101">
        <f t="shared" si="263"/>
        <v>0</v>
      </c>
      <c r="U556" s="101">
        <f t="shared" si="263"/>
        <v>0</v>
      </c>
      <c r="V556" s="101">
        <f t="shared" si="263"/>
        <v>0</v>
      </c>
      <c r="W556" s="101">
        <f t="shared" si="263"/>
        <v>0</v>
      </c>
      <c r="X556" s="101">
        <f t="shared" si="263"/>
        <v>0</v>
      </c>
      <c r="Y556" s="101">
        <f t="shared" si="263"/>
        <v>0</v>
      </c>
      <c r="Z556" s="101">
        <f t="shared" si="263"/>
        <v>0</v>
      </c>
      <c r="AA556" s="101">
        <f t="shared" si="263"/>
        <v>0</v>
      </c>
      <c r="AB556" s="101">
        <f t="shared" si="263"/>
        <v>0</v>
      </c>
      <c r="AC556" s="101">
        <f t="shared" si="263"/>
        <v>0</v>
      </c>
      <c r="AD556" s="101">
        <f t="shared" si="263"/>
        <v>0</v>
      </c>
      <c r="AE556" s="181"/>
      <c r="AF556" s="181"/>
      <c r="AG556" s="181"/>
      <c r="AH556" s="181"/>
      <c r="AI556" s="181"/>
      <c r="AJ556" s="181"/>
      <c r="AK556" s="181"/>
      <c r="AL556" s="181"/>
      <c r="AM556" s="181"/>
      <c r="AN556" s="181"/>
      <c r="AO556" s="181"/>
    </row>
    <row r="557" spans="2:41" s="97" customFormat="1" hidden="1" outlineLevel="1" x14ac:dyDescent="0.2">
      <c r="E557" s="97" t="s">
        <v>149</v>
      </c>
      <c r="H557" s="101"/>
      <c r="J557" s="98" t="s">
        <v>1205</v>
      </c>
      <c r="L557" s="99" t="s">
        <v>392</v>
      </c>
      <c r="M557" s="101"/>
      <c r="N557" s="101"/>
      <c r="O557" s="101"/>
      <c r="P557" s="101"/>
      <c r="Q557" s="101"/>
      <c r="R557" s="101"/>
      <c r="S557" s="101">
        <f>-((R532+S532)/2)*(S527*S553)</f>
        <v>0</v>
      </c>
      <c r="T557" s="101">
        <f t="shared" ref="T557:AD557" si="264">-((S532+T532)/2)*(T527*T553)</f>
        <v>0</v>
      </c>
      <c r="U557" s="101">
        <f t="shared" si="264"/>
        <v>0</v>
      </c>
      <c r="V557" s="101">
        <f t="shared" si="264"/>
        <v>0</v>
      </c>
      <c r="W557" s="101">
        <f t="shared" si="264"/>
        <v>0</v>
      </c>
      <c r="X557" s="101">
        <f t="shared" si="264"/>
        <v>0</v>
      </c>
      <c r="Y557" s="101">
        <f t="shared" si="264"/>
        <v>0</v>
      </c>
      <c r="Z557" s="101">
        <f t="shared" si="264"/>
        <v>0</v>
      </c>
      <c r="AA557" s="101">
        <f t="shared" si="264"/>
        <v>0</v>
      </c>
      <c r="AB557" s="101">
        <f t="shared" si="264"/>
        <v>0</v>
      </c>
      <c r="AC557" s="101">
        <f t="shared" si="264"/>
        <v>0</v>
      </c>
      <c r="AD557" s="101">
        <f t="shared" si="264"/>
        <v>0</v>
      </c>
      <c r="AE557" s="101"/>
      <c r="AF557" s="101"/>
      <c r="AG557" s="101"/>
      <c r="AH557" s="101"/>
      <c r="AI557" s="101"/>
      <c r="AJ557" s="101"/>
      <c r="AK557" s="101"/>
      <c r="AL557" s="101"/>
      <c r="AM557" s="101"/>
      <c r="AN557" s="101"/>
      <c r="AO557" s="101"/>
    </row>
    <row r="558" spans="2:41" s="97" customFormat="1" hidden="1" outlineLevel="1" x14ac:dyDescent="0.2">
      <c r="E558" s="28" t="s">
        <v>148</v>
      </c>
      <c r="F558" s="28"/>
      <c r="G558" s="28"/>
      <c r="H558" s="100"/>
      <c r="I558" s="28"/>
      <c r="J558" s="29" t="s">
        <v>1205</v>
      </c>
      <c r="K558" s="28"/>
      <c r="L558" s="30"/>
      <c r="M558" s="100"/>
      <c r="N558" s="100"/>
      <c r="O558" s="100"/>
      <c r="P558" s="100"/>
      <c r="Q558" s="100"/>
      <c r="R558" s="100"/>
      <c r="S558" s="100">
        <f t="shared" ref="S558:AD558" si="265">S556+S557</f>
        <v>0</v>
      </c>
      <c r="T558" s="100">
        <f t="shared" si="265"/>
        <v>0</v>
      </c>
      <c r="U558" s="100">
        <f t="shared" si="265"/>
        <v>0</v>
      </c>
      <c r="V558" s="100">
        <f t="shared" si="265"/>
        <v>0</v>
      </c>
      <c r="W558" s="100">
        <f t="shared" si="265"/>
        <v>0</v>
      </c>
      <c r="X558" s="100">
        <f t="shared" si="265"/>
        <v>0</v>
      </c>
      <c r="Y558" s="100">
        <f t="shared" si="265"/>
        <v>0</v>
      </c>
      <c r="Z558" s="100">
        <f t="shared" si="265"/>
        <v>0</v>
      </c>
      <c r="AA558" s="100">
        <f t="shared" si="265"/>
        <v>0</v>
      </c>
      <c r="AB558" s="100">
        <f t="shared" si="265"/>
        <v>0</v>
      </c>
      <c r="AC558" s="100">
        <f t="shared" si="265"/>
        <v>0</v>
      </c>
      <c r="AD558" s="100">
        <f t="shared" si="265"/>
        <v>0</v>
      </c>
      <c r="AE558" s="101"/>
      <c r="AF558" s="101"/>
      <c r="AG558" s="101"/>
      <c r="AH558" s="101"/>
      <c r="AI558" s="101"/>
      <c r="AJ558" s="101"/>
      <c r="AK558" s="101"/>
      <c r="AL558" s="101"/>
      <c r="AM558" s="101"/>
      <c r="AN558" s="101"/>
      <c r="AO558" s="101"/>
    </row>
    <row r="559" spans="2:41" s="97" customFormat="1" hidden="1" outlineLevel="1" x14ac:dyDescent="0.2">
      <c r="E559" s="20"/>
      <c r="H559" s="101"/>
      <c r="J559" s="98"/>
      <c r="L559" s="99"/>
      <c r="M559" s="101"/>
      <c r="N559" s="101"/>
      <c r="O559" s="101"/>
      <c r="P559" s="101"/>
      <c r="Q559" s="113"/>
      <c r="R559" s="113"/>
      <c r="S559" s="113"/>
      <c r="T559" s="113"/>
      <c r="U559" s="113"/>
      <c r="V559" s="113"/>
      <c r="W559" s="113"/>
      <c r="X559" s="113"/>
      <c r="Y559" s="113"/>
      <c r="Z559" s="113"/>
      <c r="AA559" s="113"/>
      <c r="AB559" s="113"/>
      <c r="AC559" s="113"/>
      <c r="AD559" s="113"/>
      <c r="AE559" s="113"/>
      <c r="AF559" s="113"/>
      <c r="AG559" s="113"/>
      <c r="AH559" s="113"/>
      <c r="AI559" s="113"/>
      <c r="AJ559" s="113"/>
      <c r="AK559" s="113"/>
      <c r="AL559" s="113"/>
      <c r="AM559" s="113"/>
      <c r="AN559" s="113"/>
      <c r="AO559" s="113"/>
    </row>
    <row r="560" spans="2:41" s="97" customFormat="1" ht="12.6" hidden="1" outlineLevel="1" x14ac:dyDescent="0.25">
      <c r="D560" s="27" t="s">
        <v>147</v>
      </c>
      <c r="E560" s="28"/>
      <c r="F560" s="28"/>
      <c r="G560" s="28"/>
      <c r="H560" s="100"/>
      <c r="I560" s="28"/>
      <c r="J560" s="29" t="s">
        <v>1205</v>
      </c>
      <c r="K560" s="28"/>
      <c r="L560" s="30" t="s">
        <v>393</v>
      </c>
      <c r="M560" s="100"/>
      <c r="N560" s="100"/>
      <c r="O560" s="100"/>
      <c r="P560" s="100"/>
      <c r="Q560" s="100"/>
      <c r="R560" s="100"/>
      <c r="S560" s="100" t="e">
        <f>-((S535+S537)/2)*(S525*S553)</f>
        <v>#NAME?</v>
      </c>
      <c r="T560" s="100" t="e">
        <f t="shared" ref="T560:AD560" si="266">-((T535+T537)/2)*(T525*T553)</f>
        <v>#NAME?</v>
      </c>
      <c r="U560" s="100" t="e">
        <f t="shared" si="266"/>
        <v>#NAME?</v>
      </c>
      <c r="V560" s="100" t="e">
        <f t="shared" si="266"/>
        <v>#NAME?</v>
      </c>
      <c r="W560" s="100" t="e">
        <f t="shared" si="266"/>
        <v>#NAME?</v>
      </c>
      <c r="X560" s="100" t="e">
        <f t="shared" si="266"/>
        <v>#NAME?</v>
      </c>
      <c r="Y560" s="100" t="e">
        <f t="shared" si="266"/>
        <v>#NAME?</v>
      </c>
      <c r="Z560" s="100" t="e">
        <f t="shared" si="266"/>
        <v>#NAME?</v>
      </c>
      <c r="AA560" s="100" t="e">
        <f t="shared" si="266"/>
        <v>#NAME?</v>
      </c>
      <c r="AB560" s="100" t="e">
        <f t="shared" si="266"/>
        <v>#NAME?</v>
      </c>
      <c r="AC560" s="100" t="e">
        <f t="shared" si="266"/>
        <v>#NAME?</v>
      </c>
      <c r="AD560" s="100" t="e">
        <f t="shared" si="266"/>
        <v>#NAME?</v>
      </c>
      <c r="AE560" s="101"/>
      <c r="AF560" s="101"/>
      <c r="AG560" s="101"/>
      <c r="AH560" s="101"/>
      <c r="AI560" s="101"/>
      <c r="AJ560" s="101"/>
      <c r="AK560" s="101"/>
      <c r="AL560" s="101"/>
      <c r="AM560" s="101"/>
      <c r="AN560" s="101"/>
      <c r="AO560" s="101"/>
    </row>
    <row r="561" spans="1:41" s="97" customFormat="1" ht="12.6" hidden="1" outlineLevel="1" x14ac:dyDescent="0.25">
      <c r="D561" s="32"/>
      <c r="H561" s="101"/>
      <c r="J561" s="98"/>
      <c r="L561" s="99"/>
      <c r="M561" s="101"/>
      <c r="N561" s="101"/>
      <c r="O561" s="101"/>
      <c r="P561" s="101"/>
      <c r="Q561" s="101"/>
      <c r="R561" s="101"/>
      <c r="S561" s="101"/>
      <c r="T561" s="101"/>
      <c r="U561" s="101"/>
      <c r="V561" s="101"/>
      <c r="W561" s="101"/>
      <c r="X561" s="101"/>
      <c r="Y561" s="101"/>
      <c r="Z561" s="101"/>
      <c r="AA561" s="101"/>
      <c r="AB561" s="101"/>
      <c r="AC561" s="101"/>
      <c r="AD561" s="101"/>
      <c r="AE561" s="101"/>
      <c r="AF561" s="101"/>
      <c r="AG561" s="101"/>
      <c r="AH561" s="101"/>
      <c r="AI561" s="101"/>
      <c r="AJ561" s="101"/>
      <c r="AK561" s="101"/>
      <c r="AL561" s="101"/>
      <c r="AM561" s="101"/>
      <c r="AN561" s="101"/>
      <c r="AO561" s="101"/>
    </row>
    <row r="562" spans="1:41" s="97" customFormat="1" ht="13.2" hidden="1" outlineLevel="1" thickBot="1" x14ac:dyDescent="0.3">
      <c r="D562" s="32"/>
      <c r="H562" s="101"/>
      <c r="J562" s="98"/>
      <c r="L562" s="99"/>
      <c r="M562" s="101"/>
      <c r="N562" s="101"/>
      <c r="O562" s="101"/>
      <c r="P562" s="101"/>
      <c r="Q562" s="101"/>
      <c r="R562" s="101"/>
      <c r="S562" s="101"/>
      <c r="T562" s="101"/>
      <c r="U562" s="101"/>
      <c r="V562" s="101"/>
      <c r="W562" s="101"/>
      <c r="X562" s="101"/>
      <c r="Y562" s="101"/>
      <c r="Z562" s="101"/>
      <c r="AA562" s="101"/>
      <c r="AB562" s="101"/>
      <c r="AC562" s="101"/>
      <c r="AD562" s="101"/>
      <c r="AE562" s="101"/>
      <c r="AF562" s="101"/>
      <c r="AG562" s="101"/>
      <c r="AH562" s="101"/>
      <c r="AI562" s="101"/>
      <c r="AJ562" s="101"/>
      <c r="AK562" s="101"/>
      <c r="AL562" s="101"/>
      <c r="AM562" s="101"/>
      <c r="AN562" s="101"/>
      <c r="AO562" s="101"/>
    </row>
    <row r="563" spans="1:41" s="97" customFormat="1" ht="12.6" hidden="1" outlineLevel="1" thickTop="1" x14ac:dyDescent="0.2">
      <c r="A563" s="1"/>
      <c r="B563" s="20"/>
      <c r="C563" s="337" t="s">
        <v>416</v>
      </c>
      <c r="D563" s="337"/>
      <c r="E563" s="338"/>
      <c r="F563" s="338"/>
      <c r="G563" s="338"/>
      <c r="H563" s="338"/>
      <c r="I563" s="338"/>
      <c r="J563" s="340"/>
      <c r="K563" s="338"/>
      <c r="L563" s="342"/>
      <c r="M563" s="338"/>
      <c r="N563" s="343"/>
      <c r="O563" s="343"/>
      <c r="P563" s="343"/>
      <c r="Q563" s="343"/>
      <c r="R563" s="343"/>
      <c r="S563" s="343"/>
      <c r="T563" s="343"/>
      <c r="U563" s="343"/>
      <c r="V563" s="343"/>
      <c r="W563" s="343"/>
      <c r="X563" s="343"/>
      <c r="Y563" s="343"/>
      <c r="Z563" s="343"/>
      <c r="AA563" s="343"/>
      <c r="AB563" s="343"/>
      <c r="AC563" s="343"/>
      <c r="AD563" s="343"/>
      <c r="AE563" s="101"/>
      <c r="AF563" s="101"/>
      <c r="AG563" s="101"/>
      <c r="AH563" s="101"/>
      <c r="AI563" s="101"/>
      <c r="AJ563" s="101"/>
      <c r="AK563" s="101"/>
      <c r="AL563" s="101"/>
      <c r="AM563" s="101"/>
      <c r="AN563" s="101"/>
      <c r="AO563" s="101"/>
    </row>
    <row r="564" spans="1:41" s="97" customFormat="1" ht="12.6" hidden="1" outlineLevel="1" x14ac:dyDescent="0.25">
      <c r="C564" s="20"/>
      <c r="D564" s="32"/>
      <c r="H564" s="101"/>
      <c r="J564" s="98"/>
      <c r="L564" s="99"/>
      <c r="M564" s="101"/>
      <c r="N564" s="101"/>
      <c r="O564" s="101"/>
      <c r="P564" s="84"/>
      <c r="Q564" s="101"/>
      <c r="R564" s="101"/>
      <c r="S564" s="101"/>
      <c r="T564" s="101"/>
      <c r="U564" s="101"/>
      <c r="V564" s="101"/>
      <c r="W564" s="101"/>
      <c r="X564" s="101"/>
      <c r="Y564" s="101"/>
      <c r="Z564" s="101"/>
      <c r="AA564" s="101"/>
      <c r="AB564" s="101"/>
      <c r="AC564" s="101"/>
      <c r="AD564" s="101"/>
      <c r="AE564" s="101"/>
      <c r="AF564" s="101"/>
      <c r="AG564" s="101"/>
      <c r="AH564" s="101"/>
      <c r="AI564" s="101"/>
      <c r="AJ564" s="101"/>
      <c r="AK564" s="101"/>
      <c r="AL564" s="101"/>
      <c r="AM564" s="101"/>
      <c r="AN564" s="101"/>
      <c r="AO564" s="101"/>
    </row>
    <row r="565" spans="1:41" s="97" customFormat="1" ht="12.6" hidden="1" outlineLevel="1" x14ac:dyDescent="0.25">
      <c r="C565" s="20"/>
      <c r="D565" s="32" t="s">
        <v>173</v>
      </c>
      <c r="E565" s="32"/>
      <c r="G565" s="184"/>
      <c r="H565" s="101"/>
      <c r="J565" s="98" t="s">
        <v>1205</v>
      </c>
      <c r="L565" s="99"/>
      <c r="M565" s="101"/>
      <c r="N565" s="101"/>
      <c r="O565" s="101"/>
      <c r="P565" s="84"/>
      <c r="Q565" s="101"/>
      <c r="R565" s="101"/>
      <c r="S565" s="101">
        <f>Inputs_TL11_Maximum_Facility</f>
        <v>0</v>
      </c>
      <c r="T565" s="101">
        <f t="shared" ref="T565:AD565" si="267">Inputs_TL11_Maximum_Facility</f>
        <v>0</v>
      </c>
      <c r="U565" s="101">
        <f t="shared" si="267"/>
        <v>0</v>
      </c>
      <c r="V565" s="101">
        <f t="shared" si="267"/>
        <v>0</v>
      </c>
      <c r="W565" s="101">
        <f t="shared" si="267"/>
        <v>0</v>
      </c>
      <c r="X565" s="101">
        <f t="shared" si="267"/>
        <v>0</v>
      </c>
      <c r="Y565" s="101">
        <f t="shared" si="267"/>
        <v>0</v>
      </c>
      <c r="Z565" s="101">
        <f t="shared" si="267"/>
        <v>0</v>
      </c>
      <c r="AA565" s="101">
        <f t="shared" si="267"/>
        <v>0</v>
      </c>
      <c r="AB565" s="101">
        <f t="shared" si="267"/>
        <v>0</v>
      </c>
      <c r="AC565" s="101">
        <f t="shared" si="267"/>
        <v>0</v>
      </c>
      <c r="AD565" s="101">
        <f t="shared" si="267"/>
        <v>0</v>
      </c>
      <c r="AE565" s="101"/>
      <c r="AF565" s="101"/>
      <c r="AG565" s="101"/>
      <c r="AH565" s="101"/>
      <c r="AI565" s="101"/>
      <c r="AJ565" s="101"/>
      <c r="AK565" s="101"/>
      <c r="AL565" s="101"/>
      <c r="AM565" s="101"/>
      <c r="AN565" s="101"/>
      <c r="AO565" s="101"/>
    </row>
    <row r="566" spans="1:41" s="97" customFormat="1" ht="12.6" hidden="1" outlineLevel="1" x14ac:dyDescent="0.25">
      <c r="C566" s="20"/>
      <c r="D566" s="32"/>
      <c r="H566" s="101"/>
      <c r="J566" s="98"/>
      <c r="L566" s="99"/>
      <c r="M566" s="101"/>
      <c r="N566" s="101"/>
      <c r="O566" s="101"/>
      <c r="P566" s="84"/>
      <c r="Q566" s="101"/>
      <c r="AE566" s="101"/>
      <c r="AF566" s="101"/>
      <c r="AG566" s="101"/>
      <c r="AH566" s="101"/>
      <c r="AI566" s="101"/>
      <c r="AJ566" s="101"/>
      <c r="AK566" s="101"/>
      <c r="AL566" s="101"/>
      <c r="AM566" s="101"/>
      <c r="AN566" s="101"/>
      <c r="AO566" s="101"/>
    </row>
    <row r="567" spans="1:41" s="97" customFormat="1" ht="12.6" hidden="1" outlineLevel="1" x14ac:dyDescent="0.25">
      <c r="D567" s="32" t="s">
        <v>172</v>
      </c>
      <c r="H567" s="101"/>
      <c r="J567" s="98"/>
      <c r="L567" s="99"/>
      <c r="M567" s="101"/>
      <c r="N567" s="101"/>
      <c r="O567" s="101"/>
      <c r="P567" s="101"/>
      <c r="Q567" s="101"/>
      <c r="R567" s="101"/>
      <c r="S567" s="101"/>
      <c r="T567" s="101"/>
      <c r="U567" s="101"/>
      <c r="V567" s="101"/>
      <c r="W567" s="101"/>
      <c r="X567" s="101"/>
      <c r="Y567" s="101"/>
      <c r="Z567" s="101"/>
      <c r="AA567" s="101"/>
      <c r="AB567" s="101"/>
      <c r="AC567" s="101"/>
      <c r="AD567" s="101"/>
      <c r="AE567" s="101"/>
      <c r="AF567" s="101"/>
      <c r="AG567" s="101"/>
      <c r="AH567" s="101"/>
      <c r="AI567" s="101"/>
      <c r="AJ567" s="101"/>
      <c r="AK567" s="101"/>
      <c r="AL567" s="101"/>
      <c r="AM567" s="101"/>
      <c r="AN567" s="101"/>
      <c r="AO567" s="101"/>
    </row>
    <row r="568" spans="1:41" s="97" customFormat="1" hidden="1" outlineLevel="1" x14ac:dyDescent="0.2">
      <c r="E568" s="97" t="s">
        <v>66</v>
      </c>
      <c r="H568" s="101"/>
      <c r="J568" s="98" t="s">
        <v>49</v>
      </c>
      <c r="L568" s="99"/>
      <c r="N568" s="109"/>
      <c r="O568" s="109"/>
      <c r="P568" s="109"/>
      <c r="Q568" s="109"/>
      <c r="R568" s="24"/>
      <c r="S568" s="24" t="e">
        <f t="shared" ref="S568:AD568" si="268">Inputs_Basecase_Saibor</f>
        <v>#NAME?</v>
      </c>
      <c r="T568" s="24" t="e">
        <f t="shared" si="268"/>
        <v>#NAME?</v>
      </c>
      <c r="U568" s="24" t="e">
        <f t="shared" si="268"/>
        <v>#NAME?</v>
      </c>
      <c r="V568" s="24" t="e">
        <f t="shared" si="268"/>
        <v>#NAME?</v>
      </c>
      <c r="W568" s="24" t="e">
        <f t="shared" si="268"/>
        <v>#NAME?</v>
      </c>
      <c r="X568" s="24" t="e">
        <f t="shared" si="268"/>
        <v>#NAME?</v>
      </c>
      <c r="Y568" s="24" t="e">
        <f t="shared" si="268"/>
        <v>#NAME?</v>
      </c>
      <c r="Z568" s="24" t="e">
        <f t="shared" si="268"/>
        <v>#NAME?</v>
      </c>
      <c r="AA568" s="24" t="e">
        <f t="shared" si="268"/>
        <v>#NAME?</v>
      </c>
      <c r="AB568" s="24" t="e">
        <f t="shared" si="268"/>
        <v>#NAME?</v>
      </c>
      <c r="AC568" s="24" t="e">
        <f t="shared" si="268"/>
        <v>#NAME?</v>
      </c>
      <c r="AD568" s="24" t="e">
        <f t="shared" si="268"/>
        <v>#NAME?</v>
      </c>
      <c r="AE568" s="24"/>
      <c r="AF568" s="109"/>
      <c r="AG568" s="109"/>
      <c r="AH568" s="109"/>
      <c r="AI568" s="109"/>
      <c r="AJ568" s="109"/>
      <c r="AK568" s="109"/>
      <c r="AL568" s="109"/>
      <c r="AM568" s="109"/>
      <c r="AN568" s="109"/>
      <c r="AO568" s="109"/>
    </row>
    <row r="569" spans="1:41" s="97" customFormat="1" hidden="1" outlineLevel="1" x14ac:dyDescent="0.2">
      <c r="E569" s="97" t="s">
        <v>171</v>
      </c>
      <c r="H569" s="101"/>
      <c r="J569" s="98" t="s">
        <v>49</v>
      </c>
      <c r="L569" s="99"/>
      <c r="M569" s="101"/>
      <c r="N569" s="101"/>
      <c r="O569" s="101"/>
      <c r="P569" s="101"/>
      <c r="Q569" s="101"/>
      <c r="R569" s="96"/>
      <c r="S569" s="96">
        <f t="shared" ref="S569:AD569" si="269">Inputs_TL11_Margin</f>
        <v>0.01</v>
      </c>
      <c r="T569" s="96">
        <f t="shared" si="269"/>
        <v>0.01</v>
      </c>
      <c r="U569" s="96">
        <f t="shared" si="269"/>
        <v>0.01</v>
      </c>
      <c r="V569" s="96">
        <f t="shared" si="269"/>
        <v>0.01</v>
      </c>
      <c r="W569" s="96">
        <f t="shared" si="269"/>
        <v>0.01</v>
      </c>
      <c r="X569" s="96">
        <f t="shared" si="269"/>
        <v>0.01</v>
      </c>
      <c r="Y569" s="96">
        <f t="shared" si="269"/>
        <v>0.01</v>
      </c>
      <c r="Z569" s="96">
        <f t="shared" si="269"/>
        <v>0.01</v>
      </c>
      <c r="AA569" s="96">
        <f t="shared" si="269"/>
        <v>0.01</v>
      </c>
      <c r="AB569" s="96">
        <f t="shared" si="269"/>
        <v>0.01</v>
      </c>
      <c r="AC569" s="96">
        <f t="shared" si="269"/>
        <v>0.01</v>
      </c>
      <c r="AD569" s="96">
        <f t="shared" si="269"/>
        <v>0.01</v>
      </c>
      <c r="AE569" s="96"/>
      <c r="AF569" s="101"/>
      <c r="AG569" s="101"/>
      <c r="AH569" s="101"/>
      <c r="AI569" s="101"/>
      <c r="AJ569" s="101"/>
      <c r="AK569" s="101"/>
      <c r="AL569" s="101"/>
      <c r="AM569" s="101"/>
      <c r="AN569" s="101"/>
      <c r="AO569" s="101"/>
    </row>
    <row r="570" spans="1:41" s="97" customFormat="1" ht="12.6" hidden="1" outlineLevel="1" x14ac:dyDescent="0.25">
      <c r="C570" s="32"/>
      <c r="D570" s="32"/>
      <c r="E570" s="97" t="s">
        <v>170</v>
      </c>
      <c r="H570" s="101"/>
      <c r="J570" s="98" t="s">
        <v>49</v>
      </c>
      <c r="L570" s="99"/>
      <c r="N570" s="101"/>
      <c r="O570" s="101"/>
      <c r="P570" s="101"/>
      <c r="Q570" s="34"/>
      <c r="R570" s="24"/>
      <c r="S570" s="24" t="e">
        <f t="shared" ref="S570:AD570" si="270">+S569+S568</f>
        <v>#NAME?</v>
      </c>
      <c r="T570" s="24" t="e">
        <f t="shared" si="270"/>
        <v>#NAME?</v>
      </c>
      <c r="U570" s="24" t="e">
        <f t="shared" si="270"/>
        <v>#NAME?</v>
      </c>
      <c r="V570" s="24" t="e">
        <f t="shared" si="270"/>
        <v>#NAME?</v>
      </c>
      <c r="W570" s="24" t="e">
        <f t="shared" si="270"/>
        <v>#NAME?</v>
      </c>
      <c r="X570" s="24" t="e">
        <f t="shared" si="270"/>
        <v>#NAME?</v>
      </c>
      <c r="Y570" s="24" t="e">
        <f t="shared" si="270"/>
        <v>#NAME?</v>
      </c>
      <c r="Z570" s="24" t="e">
        <f t="shared" si="270"/>
        <v>#NAME?</v>
      </c>
      <c r="AA570" s="24" t="e">
        <f t="shared" si="270"/>
        <v>#NAME?</v>
      </c>
      <c r="AB570" s="24" t="e">
        <f t="shared" si="270"/>
        <v>#NAME?</v>
      </c>
      <c r="AC570" s="24" t="e">
        <f t="shared" si="270"/>
        <v>#NAME?</v>
      </c>
      <c r="AD570" s="24" t="e">
        <f t="shared" si="270"/>
        <v>#NAME?</v>
      </c>
      <c r="AE570" s="24"/>
      <c r="AF570" s="34"/>
      <c r="AG570" s="34"/>
      <c r="AH570" s="34"/>
      <c r="AI570" s="34"/>
      <c r="AJ570" s="34"/>
      <c r="AK570" s="34"/>
      <c r="AL570" s="34"/>
      <c r="AM570" s="34"/>
      <c r="AN570" s="34"/>
      <c r="AO570" s="34"/>
    </row>
    <row r="571" spans="1:41" s="97" customFormat="1" ht="12.6" hidden="1" outlineLevel="1" x14ac:dyDescent="0.25">
      <c r="C571" s="20"/>
      <c r="D571" s="32"/>
      <c r="E571" s="27" t="s">
        <v>169</v>
      </c>
      <c r="F571" s="28"/>
      <c r="G571" s="28"/>
      <c r="H571" s="100"/>
      <c r="I571" s="28"/>
      <c r="J571" s="29" t="s">
        <v>49</v>
      </c>
      <c r="K571" s="28"/>
      <c r="L571" s="30"/>
      <c r="M571" s="100"/>
      <c r="N571" s="100"/>
      <c r="O571" s="100"/>
      <c r="P571" s="88"/>
      <c r="Q571" s="100"/>
      <c r="R571" s="183"/>
      <c r="S571" s="183" t="e">
        <f t="shared" ref="S571:AD571" si="271">((1+(S569+S568))^(1/12))-1</f>
        <v>#NAME?</v>
      </c>
      <c r="T571" s="183" t="e">
        <f t="shared" si="271"/>
        <v>#NAME?</v>
      </c>
      <c r="U571" s="183" t="e">
        <f t="shared" si="271"/>
        <v>#NAME?</v>
      </c>
      <c r="V571" s="183" t="e">
        <f t="shared" si="271"/>
        <v>#NAME?</v>
      </c>
      <c r="W571" s="183" t="e">
        <f t="shared" si="271"/>
        <v>#NAME?</v>
      </c>
      <c r="X571" s="183" t="e">
        <f t="shared" si="271"/>
        <v>#NAME?</v>
      </c>
      <c r="Y571" s="183" t="e">
        <f t="shared" si="271"/>
        <v>#NAME?</v>
      </c>
      <c r="Z571" s="183" t="e">
        <f t="shared" si="271"/>
        <v>#NAME?</v>
      </c>
      <c r="AA571" s="183" t="e">
        <f t="shared" si="271"/>
        <v>#NAME?</v>
      </c>
      <c r="AB571" s="183" t="e">
        <f t="shared" si="271"/>
        <v>#NAME?</v>
      </c>
      <c r="AC571" s="183" t="e">
        <f t="shared" si="271"/>
        <v>#NAME?</v>
      </c>
      <c r="AD571" s="183" t="e">
        <f t="shared" si="271"/>
        <v>#NAME?</v>
      </c>
      <c r="AE571" s="96"/>
      <c r="AF571" s="101"/>
      <c r="AG571" s="101"/>
      <c r="AH571" s="101"/>
      <c r="AI571" s="101"/>
      <c r="AJ571" s="101"/>
      <c r="AK571" s="101"/>
      <c r="AL571" s="101"/>
      <c r="AM571" s="101"/>
      <c r="AN571" s="101"/>
      <c r="AO571" s="101"/>
    </row>
    <row r="572" spans="1:41" s="97" customFormat="1" hidden="1" outlineLevel="1" x14ac:dyDescent="0.2">
      <c r="H572" s="101"/>
      <c r="J572" s="98"/>
      <c r="L572" s="99"/>
      <c r="M572" s="101"/>
      <c r="N572" s="101"/>
      <c r="O572" s="101"/>
      <c r="P572" s="101"/>
      <c r="Q572" s="101"/>
      <c r="R572" s="101"/>
      <c r="S572" s="101"/>
      <c r="T572" s="101"/>
      <c r="U572" s="101"/>
      <c r="V572" s="101"/>
      <c r="W572" s="101"/>
      <c r="X572" s="101"/>
      <c r="Y572" s="101"/>
      <c r="Z572" s="101"/>
      <c r="AA572" s="101"/>
      <c r="AB572" s="101"/>
      <c r="AC572" s="101"/>
      <c r="AD572" s="101"/>
      <c r="AE572" s="101"/>
      <c r="AF572" s="101"/>
      <c r="AG572" s="101"/>
      <c r="AH572" s="101"/>
      <c r="AI572" s="101"/>
      <c r="AJ572" s="101"/>
      <c r="AK572" s="101"/>
      <c r="AL572" s="101"/>
      <c r="AM572" s="101"/>
      <c r="AN572" s="101"/>
      <c r="AO572" s="101"/>
    </row>
    <row r="573" spans="1:41" s="97" customFormat="1" ht="12.6" hidden="1" outlineLevel="1" x14ac:dyDescent="0.25">
      <c r="E573" s="32" t="s">
        <v>168</v>
      </c>
      <c r="H573" s="101"/>
      <c r="J573" s="98" t="s">
        <v>49</v>
      </c>
      <c r="L573" s="99"/>
      <c r="N573" s="109"/>
      <c r="O573" s="109"/>
      <c r="P573" s="109"/>
      <c r="Q573" s="109"/>
      <c r="R573" s="108"/>
      <c r="S573" s="24">
        <f t="shared" ref="S573:AD573" si="272">Inputs_TL11_Commitment_Fee/12</f>
        <v>0</v>
      </c>
      <c r="T573" s="24">
        <f t="shared" si="272"/>
        <v>0</v>
      </c>
      <c r="U573" s="24">
        <f t="shared" si="272"/>
        <v>0</v>
      </c>
      <c r="V573" s="24">
        <f t="shared" si="272"/>
        <v>0</v>
      </c>
      <c r="W573" s="24">
        <f t="shared" si="272"/>
        <v>0</v>
      </c>
      <c r="X573" s="24">
        <f t="shared" si="272"/>
        <v>0</v>
      </c>
      <c r="Y573" s="24">
        <f t="shared" si="272"/>
        <v>0</v>
      </c>
      <c r="Z573" s="24">
        <f t="shared" si="272"/>
        <v>0</v>
      </c>
      <c r="AA573" s="24">
        <f t="shared" si="272"/>
        <v>0</v>
      </c>
      <c r="AB573" s="24">
        <f t="shared" si="272"/>
        <v>0</v>
      </c>
      <c r="AC573" s="24">
        <f t="shared" si="272"/>
        <v>0</v>
      </c>
      <c r="AD573" s="24">
        <f t="shared" si="272"/>
        <v>0</v>
      </c>
      <c r="AE573" s="109"/>
      <c r="AF573" s="109"/>
      <c r="AG573" s="109"/>
      <c r="AH573" s="109"/>
      <c r="AI573" s="109"/>
      <c r="AJ573" s="109"/>
      <c r="AK573" s="109"/>
      <c r="AL573" s="109"/>
      <c r="AM573" s="109"/>
      <c r="AN573" s="109"/>
      <c r="AO573" s="109"/>
    </row>
    <row r="574" spans="1:41" s="97" customFormat="1" hidden="1" outlineLevel="1" x14ac:dyDescent="0.2">
      <c r="H574" s="101"/>
      <c r="J574" s="98"/>
      <c r="L574" s="99"/>
      <c r="M574" s="101"/>
      <c r="N574" s="101"/>
      <c r="O574" s="101"/>
      <c r="P574" s="101"/>
      <c r="Q574" s="101"/>
      <c r="R574" s="101"/>
      <c r="S574" s="101"/>
      <c r="T574" s="101"/>
      <c r="U574" s="101"/>
      <c r="V574" s="101"/>
      <c r="W574" s="101"/>
      <c r="X574" s="101"/>
      <c r="Y574" s="101"/>
      <c r="Z574" s="101"/>
      <c r="AA574" s="101"/>
      <c r="AB574" s="101"/>
      <c r="AC574" s="101"/>
      <c r="AD574" s="101"/>
      <c r="AE574" s="101"/>
      <c r="AF574" s="101"/>
      <c r="AG574" s="101"/>
      <c r="AH574" s="101"/>
      <c r="AI574" s="101"/>
      <c r="AJ574" s="101"/>
      <c r="AK574" s="101"/>
      <c r="AL574" s="101"/>
      <c r="AM574" s="101"/>
      <c r="AN574" s="101"/>
      <c r="AO574" s="101"/>
    </row>
    <row r="575" spans="1:41" s="97" customFormat="1" ht="12.6" hidden="1" outlineLevel="1" x14ac:dyDescent="0.25">
      <c r="C575" s="32"/>
      <c r="D575" s="32" t="s">
        <v>167</v>
      </c>
      <c r="H575" s="101"/>
      <c r="J575" s="98" t="s">
        <v>1205</v>
      </c>
      <c r="L575" s="99" t="s">
        <v>417</v>
      </c>
      <c r="M575" s="101">
        <f>MAX(R576:AD576)</f>
        <v>0</v>
      </c>
      <c r="O575" s="101"/>
      <c r="P575" s="101"/>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row>
    <row r="576" spans="1:41" s="97" customFormat="1" ht="12.6" hidden="1" outlineLevel="1" x14ac:dyDescent="0.25">
      <c r="C576" s="20"/>
      <c r="D576" s="32" t="s">
        <v>166</v>
      </c>
      <c r="H576" s="101"/>
      <c r="J576" s="98" t="s">
        <v>1205</v>
      </c>
      <c r="L576" s="99"/>
      <c r="M576" s="101"/>
      <c r="N576" s="101"/>
      <c r="O576" s="101"/>
      <c r="P576" s="84"/>
      <c r="Q576" s="101"/>
      <c r="R576" s="101"/>
      <c r="S576" s="101">
        <f>SUM($Q582:S582)</f>
        <v>0</v>
      </c>
      <c r="T576" s="101">
        <f>SUM($Q582:T582)</f>
        <v>0</v>
      </c>
      <c r="U576" s="101">
        <f>SUM($Q582:U582)</f>
        <v>0</v>
      </c>
      <c r="V576" s="101">
        <f>SUM($Q582:V582)</f>
        <v>0</v>
      </c>
      <c r="W576" s="101">
        <f>SUM($Q582:W582)</f>
        <v>0</v>
      </c>
      <c r="X576" s="101">
        <f>SUM($Q582:X582)</f>
        <v>0</v>
      </c>
      <c r="Y576" s="101">
        <f>SUM($Q582:Y582)</f>
        <v>0</v>
      </c>
      <c r="Z576" s="101">
        <f>SUM($Q582:Z582)</f>
        <v>0</v>
      </c>
      <c r="AA576" s="101">
        <f>SUM($Q582:AA582)</f>
        <v>0</v>
      </c>
      <c r="AB576" s="101">
        <f>SUM($Q582:AB582)</f>
        <v>0</v>
      </c>
      <c r="AC576" s="101">
        <f>SUM($Q582:AC582)</f>
        <v>0</v>
      </c>
      <c r="AD576" s="101">
        <f>SUM($Q582:AD582)</f>
        <v>0</v>
      </c>
      <c r="AE576" s="101"/>
      <c r="AF576" s="101"/>
      <c r="AG576" s="101"/>
      <c r="AH576" s="101"/>
      <c r="AI576" s="101"/>
      <c r="AJ576" s="101"/>
      <c r="AK576" s="101"/>
      <c r="AL576" s="101"/>
      <c r="AM576" s="101"/>
      <c r="AN576" s="101"/>
      <c r="AO576" s="101"/>
    </row>
    <row r="577" spans="3:41" s="97" customFormat="1" hidden="1" outlineLevel="1" x14ac:dyDescent="0.2">
      <c r="H577" s="101"/>
      <c r="J577" s="98"/>
      <c r="L577" s="99"/>
      <c r="M577" s="101"/>
      <c r="N577" s="101"/>
      <c r="O577" s="101"/>
      <c r="P577" s="101"/>
      <c r="Q577" s="101"/>
      <c r="R577" s="101"/>
      <c r="S577" s="101"/>
      <c r="T577" s="101"/>
      <c r="U577" s="101"/>
      <c r="V577" s="101"/>
      <c r="W577" s="101"/>
      <c r="X577" s="101"/>
      <c r="Y577" s="101"/>
      <c r="Z577" s="101"/>
      <c r="AA577" s="101"/>
      <c r="AB577" s="101"/>
      <c r="AC577" s="101"/>
      <c r="AD577" s="101"/>
      <c r="AE577" s="101"/>
      <c r="AF577" s="101"/>
      <c r="AG577" s="101"/>
      <c r="AH577" s="101"/>
      <c r="AI577" s="101"/>
      <c r="AJ577" s="101"/>
      <c r="AK577" s="101"/>
      <c r="AL577" s="101"/>
      <c r="AM577" s="101"/>
      <c r="AN577" s="101"/>
      <c r="AO577" s="101"/>
    </row>
    <row r="578" spans="3:41" s="97" customFormat="1" ht="12.6" hidden="1" outlineLevel="1" x14ac:dyDescent="0.25">
      <c r="D578" s="32" t="s">
        <v>165</v>
      </c>
      <c r="H578" s="101"/>
      <c r="J578" s="98" t="s">
        <v>1205</v>
      </c>
      <c r="L578" s="99"/>
      <c r="N578" s="109"/>
      <c r="O578" s="109"/>
      <c r="P578" s="109"/>
      <c r="Q578" s="109"/>
      <c r="R578" s="101"/>
      <c r="S578" s="101">
        <f t="shared" ref="S578:AD578" si="273">S565-S576</f>
        <v>0</v>
      </c>
      <c r="T578" s="101">
        <f t="shared" si="273"/>
        <v>0</v>
      </c>
      <c r="U578" s="101">
        <f t="shared" si="273"/>
        <v>0</v>
      </c>
      <c r="V578" s="101">
        <f t="shared" si="273"/>
        <v>0</v>
      </c>
      <c r="W578" s="101">
        <f t="shared" si="273"/>
        <v>0</v>
      </c>
      <c r="X578" s="101">
        <f t="shared" si="273"/>
        <v>0</v>
      </c>
      <c r="Y578" s="101">
        <f t="shared" si="273"/>
        <v>0</v>
      </c>
      <c r="Z578" s="101">
        <f t="shared" si="273"/>
        <v>0</v>
      </c>
      <c r="AA578" s="101">
        <f t="shared" si="273"/>
        <v>0</v>
      </c>
      <c r="AB578" s="101">
        <f t="shared" si="273"/>
        <v>0</v>
      </c>
      <c r="AC578" s="101">
        <f t="shared" si="273"/>
        <v>0</v>
      </c>
      <c r="AD578" s="101">
        <f t="shared" si="273"/>
        <v>0</v>
      </c>
      <c r="AE578" s="109"/>
      <c r="AF578" s="109"/>
      <c r="AG578" s="109"/>
      <c r="AH578" s="109"/>
      <c r="AI578" s="109"/>
      <c r="AJ578" s="109"/>
      <c r="AK578" s="109"/>
      <c r="AL578" s="109"/>
      <c r="AM578" s="109"/>
      <c r="AN578" s="109"/>
      <c r="AO578" s="109"/>
    </row>
    <row r="579" spans="3:41" s="97" customFormat="1" hidden="1" outlineLevel="1" x14ac:dyDescent="0.2">
      <c r="H579" s="101"/>
      <c r="J579" s="98"/>
      <c r="L579" s="99"/>
      <c r="M579" s="101"/>
      <c r="N579" s="101"/>
      <c r="O579" s="101"/>
      <c r="P579" s="101"/>
      <c r="Q579" s="101"/>
      <c r="R579" s="101"/>
      <c r="S579" s="101"/>
      <c r="T579" s="101"/>
      <c r="U579" s="101"/>
      <c r="V579" s="101"/>
      <c r="W579" s="101"/>
      <c r="X579" s="101"/>
      <c r="Y579" s="101"/>
      <c r="Z579" s="101"/>
      <c r="AA579" s="101"/>
      <c r="AB579" s="101"/>
      <c r="AC579" s="101"/>
      <c r="AD579" s="101"/>
      <c r="AE579" s="101"/>
      <c r="AF579" s="101"/>
      <c r="AG579" s="101"/>
      <c r="AH579" s="101"/>
      <c r="AI579" s="101"/>
      <c r="AJ579" s="101"/>
      <c r="AK579" s="101"/>
      <c r="AL579" s="101"/>
      <c r="AM579" s="101"/>
      <c r="AN579" s="101"/>
      <c r="AO579" s="101"/>
    </row>
    <row r="580" spans="3:41" s="97" customFormat="1" ht="12.6" hidden="1" outlineLevel="1" x14ac:dyDescent="0.25">
      <c r="C580" s="32"/>
      <c r="D580" s="32" t="s">
        <v>164</v>
      </c>
      <c r="H580" s="101"/>
      <c r="J580" s="98"/>
      <c r="L580" s="99"/>
      <c r="N580" s="101"/>
      <c r="O580" s="101"/>
      <c r="P580" s="101"/>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row>
    <row r="581" spans="3:41" s="97" customFormat="1" ht="12.6" hidden="1" outlineLevel="1" x14ac:dyDescent="0.25">
      <c r="C581" s="20"/>
      <c r="D581" s="32"/>
      <c r="E581" s="97" t="s">
        <v>91</v>
      </c>
      <c r="H581" s="101"/>
      <c r="J581" s="98" t="s">
        <v>1205</v>
      </c>
      <c r="L581" s="99"/>
      <c r="M581" s="101"/>
      <c r="N581" s="101"/>
      <c r="O581" s="101"/>
      <c r="P581" s="84"/>
      <c r="Q581" s="101"/>
      <c r="R581" s="101"/>
      <c r="S581" s="101">
        <f t="shared" ref="S581:AD581" si="274">R593</f>
        <v>0</v>
      </c>
      <c r="T581" s="101" t="e">
        <f t="shared" si="274"/>
        <v>#NAME?</v>
      </c>
      <c r="U581" s="101" t="e">
        <f t="shared" si="274"/>
        <v>#NAME?</v>
      </c>
      <c r="V581" s="101" t="e">
        <f t="shared" si="274"/>
        <v>#NAME?</v>
      </c>
      <c r="W581" s="101" t="e">
        <f t="shared" si="274"/>
        <v>#NAME?</v>
      </c>
      <c r="X581" s="101" t="e">
        <f t="shared" si="274"/>
        <v>#NAME?</v>
      </c>
      <c r="Y581" s="101" t="e">
        <f t="shared" si="274"/>
        <v>#NAME?</v>
      </c>
      <c r="Z581" s="101" t="e">
        <f t="shared" si="274"/>
        <v>#NAME?</v>
      </c>
      <c r="AA581" s="101" t="e">
        <f t="shared" si="274"/>
        <v>#NAME?</v>
      </c>
      <c r="AB581" s="101" t="e">
        <f t="shared" si="274"/>
        <v>#NAME?</v>
      </c>
      <c r="AC581" s="101" t="e">
        <f t="shared" si="274"/>
        <v>#NAME?</v>
      </c>
      <c r="AD581" s="101" t="e">
        <f t="shared" si="274"/>
        <v>#NAME?</v>
      </c>
      <c r="AE581" s="101"/>
      <c r="AF581" s="101"/>
      <c r="AG581" s="101"/>
      <c r="AH581" s="101"/>
      <c r="AI581" s="101"/>
      <c r="AJ581" s="101"/>
      <c r="AK581" s="101"/>
      <c r="AL581" s="101"/>
      <c r="AM581" s="101"/>
      <c r="AN581" s="101"/>
      <c r="AO581" s="101"/>
    </row>
    <row r="582" spans="3:41" s="97" customFormat="1" hidden="1" outlineLevel="1" x14ac:dyDescent="0.2">
      <c r="E582" s="97" t="s">
        <v>163</v>
      </c>
      <c r="H582" s="101"/>
      <c r="J582" s="98" t="s">
        <v>1205</v>
      </c>
      <c r="L582" s="99" t="s">
        <v>418</v>
      </c>
      <c r="M582" s="101"/>
      <c r="N582" s="101"/>
      <c r="O582" s="101"/>
      <c r="P582" s="101"/>
      <c r="Q582" s="101">
        <f>Q593</f>
        <v>0</v>
      </c>
      <c r="R582" s="101"/>
      <c r="S582" s="101">
        <f t="shared" ref="S582:AD582" si="275">Inputs_TL11_Drawdown</f>
        <v>0</v>
      </c>
      <c r="T582" s="101">
        <f t="shared" si="275"/>
        <v>0</v>
      </c>
      <c r="U582" s="101">
        <f t="shared" si="275"/>
        <v>0</v>
      </c>
      <c r="V582" s="101">
        <f t="shared" si="275"/>
        <v>0</v>
      </c>
      <c r="W582" s="101">
        <f t="shared" si="275"/>
        <v>0</v>
      </c>
      <c r="X582" s="101">
        <f t="shared" si="275"/>
        <v>0</v>
      </c>
      <c r="Y582" s="101">
        <f t="shared" si="275"/>
        <v>0</v>
      </c>
      <c r="Z582" s="101">
        <f t="shared" si="275"/>
        <v>0</v>
      </c>
      <c r="AA582" s="101">
        <f t="shared" si="275"/>
        <v>0</v>
      </c>
      <c r="AB582" s="101">
        <f t="shared" si="275"/>
        <v>0</v>
      </c>
      <c r="AC582" s="101">
        <f t="shared" si="275"/>
        <v>0</v>
      </c>
      <c r="AD582" s="101">
        <f t="shared" si="275"/>
        <v>0</v>
      </c>
      <c r="AE582" s="101"/>
      <c r="AF582" s="101"/>
      <c r="AG582" s="101"/>
      <c r="AH582" s="101"/>
      <c r="AI582" s="101"/>
      <c r="AJ582" s="101"/>
      <c r="AK582" s="101"/>
      <c r="AL582" s="101"/>
      <c r="AM582" s="101"/>
      <c r="AN582" s="101"/>
      <c r="AO582" s="101"/>
    </row>
    <row r="583" spans="3:41" s="97" customFormat="1" ht="12.6" hidden="1" outlineLevel="1" x14ac:dyDescent="0.25">
      <c r="E583" s="27" t="s">
        <v>162</v>
      </c>
      <c r="F583" s="28"/>
      <c r="G583" s="28"/>
      <c r="H583" s="100"/>
      <c r="I583" s="28"/>
      <c r="J583" s="29" t="s">
        <v>1205</v>
      </c>
      <c r="K583" s="28"/>
      <c r="L583" s="30"/>
      <c r="M583" s="28"/>
      <c r="N583" s="87"/>
      <c r="O583" s="87"/>
      <c r="P583" s="87"/>
      <c r="Q583" s="87"/>
      <c r="R583" s="100"/>
      <c r="S583" s="100">
        <f t="shared" ref="S583:AD583" si="276">SUM(S581:S582)</f>
        <v>0</v>
      </c>
      <c r="T583" s="100" t="e">
        <f t="shared" si="276"/>
        <v>#NAME?</v>
      </c>
      <c r="U583" s="100" t="e">
        <f t="shared" si="276"/>
        <v>#NAME?</v>
      </c>
      <c r="V583" s="100" t="e">
        <f t="shared" si="276"/>
        <v>#NAME?</v>
      </c>
      <c r="W583" s="100" t="e">
        <f t="shared" si="276"/>
        <v>#NAME?</v>
      </c>
      <c r="X583" s="100" t="e">
        <f t="shared" si="276"/>
        <v>#NAME?</v>
      </c>
      <c r="Y583" s="100" t="e">
        <f t="shared" si="276"/>
        <v>#NAME?</v>
      </c>
      <c r="Z583" s="100" t="e">
        <f t="shared" si="276"/>
        <v>#NAME?</v>
      </c>
      <c r="AA583" s="100" t="e">
        <f t="shared" si="276"/>
        <v>#NAME?</v>
      </c>
      <c r="AB583" s="100" t="e">
        <f t="shared" si="276"/>
        <v>#NAME?</v>
      </c>
      <c r="AC583" s="100" t="e">
        <f t="shared" si="276"/>
        <v>#NAME?</v>
      </c>
      <c r="AD583" s="100" t="e">
        <f t="shared" si="276"/>
        <v>#NAME?</v>
      </c>
      <c r="AE583" s="109"/>
      <c r="AF583" s="109"/>
      <c r="AG583" s="109"/>
      <c r="AH583" s="109"/>
      <c r="AI583" s="109"/>
      <c r="AJ583" s="109"/>
      <c r="AK583" s="109"/>
      <c r="AL583" s="109"/>
      <c r="AM583" s="109"/>
      <c r="AN583" s="109"/>
      <c r="AO583" s="109"/>
    </row>
    <row r="584" spans="3:41" s="97" customFormat="1" hidden="1" outlineLevel="1" x14ac:dyDescent="0.2">
      <c r="H584" s="101"/>
      <c r="J584" s="98"/>
      <c r="L584" s="99"/>
      <c r="M584" s="101"/>
      <c r="N584" s="101"/>
      <c r="O584" s="101"/>
      <c r="P584" s="101"/>
      <c r="Q584" s="101"/>
      <c r="R584" s="101"/>
      <c r="S584" s="101"/>
      <c r="T584" s="101"/>
      <c r="U584" s="101"/>
      <c r="V584" s="101"/>
      <c r="W584" s="101"/>
      <c r="X584" s="101"/>
      <c r="Y584" s="101"/>
      <c r="Z584" s="101"/>
      <c r="AA584" s="101"/>
      <c r="AB584" s="101"/>
      <c r="AC584" s="101"/>
      <c r="AD584" s="101"/>
      <c r="AE584" s="101"/>
      <c r="AF584" s="101"/>
      <c r="AG584" s="101"/>
      <c r="AH584" s="101"/>
      <c r="AI584" s="101"/>
      <c r="AJ584" s="101"/>
      <c r="AK584" s="101"/>
      <c r="AL584" s="101"/>
      <c r="AM584" s="101"/>
      <c r="AN584" s="101"/>
      <c r="AO584" s="101"/>
    </row>
    <row r="585" spans="3:41" s="97" customFormat="1" ht="12.6" hidden="1" outlineLevel="1" x14ac:dyDescent="0.25">
      <c r="D585" s="32" t="s">
        <v>161</v>
      </c>
      <c r="H585" s="101"/>
      <c r="L585" s="99"/>
      <c r="N585" s="101"/>
      <c r="O585" s="101"/>
      <c r="P585" s="101"/>
      <c r="Q585" s="101"/>
      <c r="R585" s="101"/>
      <c r="S585" s="101"/>
      <c r="T585" s="101"/>
      <c r="U585" s="101"/>
      <c r="V585" s="101"/>
      <c r="W585" s="101"/>
      <c r="X585" s="101"/>
      <c r="Y585" s="101"/>
      <c r="Z585" s="101"/>
      <c r="AA585" s="101"/>
      <c r="AB585" s="101"/>
      <c r="AC585" s="101"/>
      <c r="AD585" s="101"/>
      <c r="AE585" s="101"/>
      <c r="AF585" s="101"/>
      <c r="AG585" s="101"/>
      <c r="AH585" s="101"/>
      <c r="AI585" s="101"/>
      <c r="AJ585" s="101"/>
      <c r="AK585" s="101"/>
      <c r="AL585" s="101"/>
      <c r="AM585" s="101"/>
      <c r="AN585" s="101"/>
      <c r="AO585" s="101"/>
    </row>
    <row r="586" spans="3:41" s="97" customFormat="1" ht="12.6" hidden="1" outlineLevel="1" x14ac:dyDescent="0.25">
      <c r="C586" s="20"/>
      <c r="D586" s="32"/>
      <c r="E586" s="97" t="s">
        <v>160</v>
      </c>
      <c r="H586" s="101"/>
      <c r="J586" s="98" t="s">
        <v>1205</v>
      </c>
      <c r="L586" s="99"/>
      <c r="M586" s="101"/>
      <c r="N586" s="101"/>
      <c r="O586" s="101"/>
      <c r="P586" s="84"/>
      <c r="Q586" s="101"/>
      <c r="R586" s="108"/>
      <c r="S586" s="108">
        <f t="shared" ref="S586:AD586" si="277">Inputs_TL11_Repayment_Principal</f>
        <v>0</v>
      </c>
      <c r="T586" s="108">
        <f t="shared" si="277"/>
        <v>0</v>
      </c>
      <c r="U586" s="108">
        <f t="shared" si="277"/>
        <v>0</v>
      </c>
      <c r="V586" s="108">
        <f t="shared" si="277"/>
        <v>0</v>
      </c>
      <c r="W586" s="108">
        <f t="shared" si="277"/>
        <v>0</v>
      </c>
      <c r="X586" s="108">
        <f t="shared" si="277"/>
        <v>1</v>
      </c>
      <c r="Y586" s="108">
        <f t="shared" si="277"/>
        <v>0</v>
      </c>
      <c r="Z586" s="108">
        <f t="shared" si="277"/>
        <v>0</v>
      </c>
      <c r="AA586" s="108">
        <f t="shared" si="277"/>
        <v>0</v>
      </c>
      <c r="AB586" s="108">
        <f t="shared" si="277"/>
        <v>0</v>
      </c>
      <c r="AC586" s="108">
        <f t="shared" si="277"/>
        <v>0</v>
      </c>
      <c r="AD586" s="108">
        <f t="shared" si="277"/>
        <v>0</v>
      </c>
      <c r="AE586" s="101"/>
      <c r="AF586" s="101"/>
      <c r="AG586" s="101"/>
      <c r="AH586" s="101"/>
      <c r="AI586" s="101"/>
      <c r="AJ586" s="101"/>
      <c r="AK586" s="101"/>
      <c r="AL586" s="101"/>
      <c r="AM586" s="101"/>
      <c r="AN586" s="101"/>
      <c r="AO586" s="101"/>
    </row>
    <row r="587" spans="3:41" s="97" customFormat="1" hidden="1" outlineLevel="1" x14ac:dyDescent="0.2">
      <c r="E587" s="97" t="s">
        <v>146</v>
      </c>
      <c r="H587" s="101"/>
      <c r="J587" s="98" t="s">
        <v>1205</v>
      </c>
      <c r="L587" s="99"/>
      <c r="M587" s="101"/>
      <c r="N587" s="101"/>
      <c r="O587" s="101"/>
      <c r="P587" s="101"/>
      <c r="Q587" s="101"/>
      <c r="R587" s="101"/>
      <c r="S587" s="101" t="e">
        <f t="shared" ref="S587:AD587" si="278">-Inputs_TL11_Repayment_Principal*Finance_TL11_Total</f>
        <v>#NAME?</v>
      </c>
      <c r="T587" s="101" t="e">
        <f t="shared" si="278"/>
        <v>#NAME?</v>
      </c>
      <c r="U587" s="101" t="e">
        <f t="shared" si="278"/>
        <v>#NAME?</v>
      </c>
      <c r="V587" s="101" t="e">
        <f t="shared" si="278"/>
        <v>#NAME?</v>
      </c>
      <c r="W587" s="101" t="e">
        <f t="shared" si="278"/>
        <v>#NAME?</v>
      </c>
      <c r="X587" s="101" t="e">
        <f t="shared" si="278"/>
        <v>#NAME?</v>
      </c>
      <c r="Y587" s="101" t="e">
        <f t="shared" si="278"/>
        <v>#NAME?</v>
      </c>
      <c r="Z587" s="101" t="e">
        <f t="shared" si="278"/>
        <v>#NAME?</v>
      </c>
      <c r="AA587" s="101" t="e">
        <f t="shared" si="278"/>
        <v>#NAME?</v>
      </c>
      <c r="AB587" s="101" t="e">
        <f t="shared" si="278"/>
        <v>#NAME?</v>
      </c>
      <c r="AC587" s="101" t="e">
        <f t="shared" si="278"/>
        <v>#NAME?</v>
      </c>
      <c r="AD587" s="101" t="e">
        <f t="shared" si="278"/>
        <v>#NAME?</v>
      </c>
      <c r="AE587" s="101"/>
      <c r="AF587" s="101"/>
      <c r="AG587" s="101"/>
      <c r="AH587" s="101"/>
      <c r="AI587" s="101"/>
      <c r="AJ587" s="101"/>
      <c r="AK587" s="101"/>
      <c r="AL587" s="101"/>
      <c r="AM587" s="101"/>
      <c r="AN587" s="101"/>
      <c r="AO587" s="101"/>
    </row>
    <row r="588" spans="3:41" s="97" customFormat="1" ht="12.6" hidden="1" outlineLevel="1" x14ac:dyDescent="0.25">
      <c r="E588" s="27" t="s">
        <v>159</v>
      </c>
      <c r="F588" s="28"/>
      <c r="G588" s="28"/>
      <c r="H588" s="100"/>
      <c r="I588" s="28"/>
      <c r="J588" s="29" t="s">
        <v>1205</v>
      </c>
      <c r="K588" s="28"/>
      <c r="L588" s="30" t="s">
        <v>419</v>
      </c>
      <c r="M588" s="28"/>
      <c r="N588" s="87"/>
      <c r="O588" s="87"/>
      <c r="P588" s="87"/>
      <c r="Q588" s="87"/>
      <c r="R588" s="100"/>
      <c r="S588" s="100" t="e">
        <f t="shared" ref="S588:AD588" si="279">IF(-S587&lt;S583,S587,-S583)</f>
        <v>#NAME?</v>
      </c>
      <c r="T588" s="100" t="e">
        <f t="shared" si="279"/>
        <v>#NAME?</v>
      </c>
      <c r="U588" s="100" t="e">
        <f t="shared" si="279"/>
        <v>#NAME?</v>
      </c>
      <c r="V588" s="100" t="e">
        <f t="shared" si="279"/>
        <v>#NAME?</v>
      </c>
      <c r="W588" s="100" t="e">
        <f t="shared" si="279"/>
        <v>#NAME?</v>
      </c>
      <c r="X588" s="100" t="e">
        <f t="shared" si="279"/>
        <v>#NAME?</v>
      </c>
      <c r="Y588" s="100" t="e">
        <f t="shared" si="279"/>
        <v>#NAME?</v>
      </c>
      <c r="Z588" s="100" t="e">
        <f t="shared" si="279"/>
        <v>#NAME?</v>
      </c>
      <c r="AA588" s="100" t="e">
        <f t="shared" si="279"/>
        <v>#NAME?</v>
      </c>
      <c r="AB588" s="100" t="e">
        <f t="shared" si="279"/>
        <v>#NAME?</v>
      </c>
      <c r="AC588" s="100" t="e">
        <f t="shared" si="279"/>
        <v>#NAME?</v>
      </c>
      <c r="AD588" s="100" t="e">
        <f t="shared" si="279"/>
        <v>#NAME?</v>
      </c>
      <c r="AE588" s="109"/>
      <c r="AF588" s="109"/>
      <c r="AG588" s="109"/>
      <c r="AH588" s="109"/>
      <c r="AI588" s="109"/>
      <c r="AJ588" s="109"/>
      <c r="AK588" s="109"/>
      <c r="AL588" s="109"/>
      <c r="AM588" s="109"/>
      <c r="AN588" s="109"/>
      <c r="AO588" s="109"/>
    </row>
    <row r="589" spans="3:41" s="97" customFormat="1" hidden="1" outlineLevel="1" x14ac:dyDescent="0.2">
      <c r="H589" s="101"/>
      <c r="J589" s="98"/>
      <c r="L589" s="99"/>
      <c r="M589" s="101"/>
      <c r="N589" s="101"/>
      <c r="O589" s="101"/>
      <c r="P589" s="101"/>
      <c r="Q589" s="101"/>
      <c r="R589" s="101"/>
      <c r="S589" s="101"/>
      <c r="T589" s="101"/>
      <c r="U589" s="101"/>
      <c r="V589" s="101"/>
      <c r="W589" s="101"/>
      <c r="X589" s="101"/>
      <c r="Y589" s="101"/>
      <c r="Z589" s="101"/>
      <c r="AA589" s="101"/>
      <c r="AB589" s="101"/>
      <c r="AC589" s="101"/>
      <c r="AD589" s="101"/>
      <c r="AE589" s="101"/>
      <c r="AF589" s="101"/>
      <c r="AG589" s="101"/>
      <c r="AH589" s="101"/>
      <c r="AI589" s="101"/>
      <c r="AJ589" s="101"/>
      <c r="AK589" s="101"/>
      <c r="AL589" s="101"/>
      <c r="AM589" s="101"/>
      <c r="AN589" s="101"/>
      <c r="AO589" s="101"/>
    </row>
    <row r="590" spans="3:41" s="97" customFormat="1" ht="12.6" hidden="1" outlineLevel="1" x14ac:dyDescent="0.25">
      <c r="D590" s="27" t="s">
        <v>158</v>
      </c>
      <c r="E590" s="28"/>
      <c r="F590" s="28"/>
      <c r="G590" s="28"/>
      <c r="H590" s="100"/>
      <c r="I590" s="28"/>
      <c r="J590" s="29" t="s">
        <v>1205</v>
      </c>
      <c r="K590" s="28"/>
      <c r="L590" s="30"/>
      <c r="M590" s="100"/>
      <c r="N590" s="100"/>
      <c r="O590" s="100"/>
      <c r="P590" s="100"/>
      <c r="Q590" s="100"/>
      <c r="R590" s="100"/>
      <c r="S590" s="100" t="e">
        <f t="shared" ref="S590:AD590" si="280">S583+S588</f>
        <v>#NAME?</v>
      </c>
      <c r="T590" s="100" t="e">
        <f t="shared" si="280"/>
        <v>#NAME?</v>
      </c>
      <c r="U590" s="100" t="e">
        <f t="shared" si="280"/>
        <v>#NAME?</v>
      </c>
      <c r="V590" s="100" t="e">
        <f t="shared" si="280"/>
        <v>#NAME?</v>
      </c>
      <c r="W590" s="100" t="e">
        <f t="shared" si="280"/>
        <v>#NAME?</v>
      </c>
      <c r="X590" s="100" t="e">
        <f t="shared" si="280"/>
        <v>#NAME?</v>
      </c>
      <c r="Y590" s="100" t="e">
        <f t="shared" si="280"/>
        <v>#NAME?</v>
      </c>
      <c r="Z590" s="100" t="e">
        <f t="shared" si="280"/>
        <v>#NAME?</v>
      </c>
      <c r="AA590" s="100" t="e">
        <f t="shared" si="280"/>
        <v>#NAME?</v>
      </c>
      <c r="AB590" s="100" t="e">
        <f t="shared" si="280"/>
        <v>#NAME?</v>
      </c>
      <c r="AC590" s="100" t="e">
        <f t="shared" si="280"/>
        <v>#NAME?</v>
      </c>
      <c r="AD590" s="100" t="e">
        <f t="shared" si="280"/>
        <v>#NAME?</v>
      </c>
      <c r="AE590" s="101"/>
      <c r="AF590" s="101"/>
      <c r="AG590" s="101"/>
      <c r="AH590" s="101"/>
      <c r="AI590" s="101"/>
      <c r="AJ590" s="101"/>
      <c r="AK590" s="101"/>
      <c r="AL590" s="101"/>
      <c r="AM590" s="101"/>
      <c r="AN590" s="101"/>
      <c r="AO590" s="101"/>
    </row>
    <row r="591" spans="3:41" s="97" customFormat="1" ht="12.6" hidden="1" outlineLevel="1" x14ac:dyDescent="0.25">
      <c r="D591" s="32"/>
      <c r="E591" s="32"/>
      <c r="F591" s="32"/>
      <c r="G591" s="32"/>
      <c r="H591" s="103"/>
      <c r="I591" s="32"/>
      <c r="J591" s="37"/>
      <c r="K591" s="32"/>
      <c r="L591" s="99"/>
      <c r="M591" s="103"/>
      <c r="N591" s="103"/>
      <c r="O591" s="103"/>
      <c r="P591" s="103"/>
      <c r="Q591" s="103"/>
      <c r="R591" s="103"/>
      <c r="S591" s="103"/>
      <c r="T591" s="103"/>
      <c r="U591" s="103"/>
      <c r="V591" s="103"/>
      <c r="W591" s="103"/>
      <c r="X591" s="103"/>
      <c r="Y591" s="103"/>
      <c r="Z591" s="103"/>
      <c r="AA591" s="103"/>
      <c r="AB591" s="103"/>
      <c r="AC591" s="103"/>
      <c r="AD591" s="103"/>
      <c r="AE591" s="103"/>
      <c r="AF591" s="103"/>
      <c r="AG591" s="103"/>
      <c r="AH591" s="103"/>
      <c r="AI591" s="103"/>
      <c r="AJ591" s="103"/>
      <c r="AK591" s="103"/>
      <c r="AL591" s="103"/>
      <c r="AM591" s="103"/>
      <c r="AN591" s="103"/>
      <c r="AO591" s="103"/>
    </row>
    <row r="592" spans="3:41" s="97" customFormat="1" hidden="1" outlineLevel="1" x14ac:dyDescent="0.2">
      <c r="E592" s="97" t="s">
        <v>157</v>
      </c>
      <c r="H592" s="101"/>
      <c r="J592" s="98"/>
      <c r="L592" s="99" t="s">
        <v>420</v>
      </c>
      <c r="M592" s="101"/>
      <c r="N592" s="101"/>
      <c r="O592" s="101"/>
      <c r="P592" s="101"/>
      <c r="Q592" s="101"/>
      <c r="R592" s="101"/>
      <c r="S592" s="101"/>
      <c r="T592" s="101"/>
      <c r="U592" s="101"/>
      <c r="V592" s="101"/>
      <c r="W592" s="101"/>
      <c r="X592" s="101"/>
      <c r="Y592" s="101"/>
      <c r="Z592" s="101"/>
      <c r="AA592" s="101"/>
      <c r="AB592" s="101"/>
      <c r="AC592" s="101"/>
      <c r="AD592" s="101"/>
      <c r="AE592" s="101"/>
      <c r="AF592" s="101"/>
      <c r="AG592" s="101"/>
      <c r="AH592" s="101"/>
      <c r="AI592" s="101"/>
      <c r="AJ592" s="101"/>
      <c r="AK592" s="101"/>
      <c r="AL592" s="101"/>
      <c r="AM592" s="101"/>
      <c r="AN592" s="101"/>
      <c r="AO592" s="101"/>
    </row>
    <row r="593" spans="1:41" s="97" customFormat="1" ht="13.2" hidden="1" outlineLevel="1" thickBot="1" x14ac:dyDescent="0.3">
      <c r="D593" s="36" t="s">
        <v>156</v>
      </c>
      <c r="E593" s="58"/>
      <c r="F593" s="58"/>
      <c r="G593" s="58"/>
      <c r="H593" s="105"/>
      <c r="I593" s="58"/>
      <c r="J593" s="59" t="s">
        <v>1205</v>
      </c>
      <c r="K593" s="58"/>
      <c r="L593" s="60" t="s">
        <v>421</v>
      </c>
      <c r="M593" s="105"/>
      <c r="N593" s="105"/>
      <c r="O593" s="182"/>
      <c r="P593" s="182"/>
      <c r="Q593" s="207">
        <v>0</v>
      </c>
      <c r="R593" s="105"/>
      <c r="S593" s="105" t="e">
        <f t="shared" ref="S593:AD593" si="281">S590-S592</f>
        <v>#NAME?</v>
      </c>
      <c r="T593" s="105" t="e">
        <f t="shared" si="281"/>
        <v>#NAME?</v>
      </c>
      <c r="U593" s="105" t="e">
        <f t="shared" si="281"/>
        <v>#NAME?</v>
      </c>
      <c r="V593" s="105" t="e">
        <f t="shared" si="281"/>
        <v>#NAME?</v>
      </c>
      <c r="W593" s="105" t="e">
        <f t="shared" si="281"/>
        <v>#NAME?</v>
      </c>
      <c r="X593" s="105" t="e">
        <f t="shared" si="281"/>
        <v>#NAME?</v>
      </c>
      <c r="Y593" s="105" t="e">
        <f t="shared" si="281"/>
        <v>#NAME?</v>
      </c>
      <c r="Z593" s="105" t="e">
        <f t="shared" si="281"/>
        <v>#NAME?</v>
      </c>
      <c r="AA593" s="105" t="e">
        <f t="shared" si="281"/>
        <v>#NAME?</v>
      </c>
      <c r="AB593" s="105" t="e">
        <f t="shared" si="281"/>
        <v>#NAME?</v>
      </c>
      <c r="AC593" s="105" t="e">
        <f t="shared" si="281"/>
        <v>#NAME?</v>
      </c>
      <c r="AD593" s="105" t="e">
        <f t="shared" si="281"/>
        <v>#NAME?</v>
      </c>
      <c r="AE593" s="34"/>
      <c r="AF593" s="34"/>
      <c r="AG593" s="34"/>
      <c r="AH593" s="34"/>
      <c r="AI593" s="34"/>
      <c r="AJ593" s="34"/>
      <c r="AK593" s="34"/>
      <c r="AL593" s="34"/>
      <c r="AM593" s="34"/>
      <c r="AN593" s="34"/>
      <c r="AO593" s="34"/>
    </row>
    <row r="594" spans="1:41" s="97" customFormat="1" hidden="1" outlineLevel="1" x14ac:dyDescent="0.2">
      <c r="H594" s="101"/>
      <c r="J594" s="98"/>
      <c r="L594" s="99"/>
      <c r="M594" s="101"/>
      <c r="N594" s="101"/>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row>
    <row r="595" spans="1:41" s="97" customFormat="1" ht="12.6" hidden="1" outlineLevel="1" x14ac:dyDescent="0.25">
      <c r="D595" s="32" t="s">
        <v>155</v>
      </c>
      <c r="H595" s="101"/>
      <c r="J595" s="98"/>
      <c r="L595" s="99"/>
      <c r="M595" s="101"/>
      <c r="N595" s="101"/>
      <c r="O595" s="101"/>
      <c r="P595" s="101"/>
      <c r="Q595" s="101"/>
      <c r="R595" s="101"/>
      <c r="S595" s="101"/>
      <c r="T595" s="101"/>
      <c r="U595" s="101"/>
      <c r="V595" s="101"/>
      <c r="W595" s="101"/>
      <c r="X595" s="101"/>
      <c r="Y595" s="101"/>
      <c r="Z595" s="101"/>
      <c r="AA595" s="101"/>
      <c r="AB595" s="101"/>
      <c r="AC595" s="101"/>
      <c r="AD595" s="101"/>
      <c r="AE595" s="101"/>
      <c r="AF595" s="101"/>
      <c r="AG595" s="101"/>
      <c r="AH595" s="101"/>
      <c r="AI595" s="101"/>
      <c r="AJ595" s="101"/>
      <c r="AK595" s="101"/>
      <c r="AL595" s="101"/>
      <c r="AM595" s="101"/>
      <c r="AN595" s="101"/>
      <c r="AO595" s="101"/>
    </row>
    <row r="596" spans="1:41" s="97" customFormat="1" hidden="1" outlineLevel="1" x14ac:dyDescent="0.2">
      <c r="B596" s="20"/>
      <c r="C596" s="20"/>
      <c r="D596" s="20"/>
      <c r="E596" s="97" t="s">
        <v>154</v>
      </c>
      <c r="J596" s="98" t="s">
        <v>1205</v>
      </c>
      <c r="L596" s="99" t="s">
        <v>422</v>
      </c>
      <c r="N596" s="21"/>
      <c r="O596" s="21"/>
      <c r="P596" s="21"/>
      <c r="Q596" s="101">
        <f>IF(Q593&gt;0,IF(((R588)*-1)&gt;Q583,Q583,0-(R588)),0)</f>
        <v>0</v>
      </c>
      <c r="R596" s="101"/>
      <c r="S596" s="101" t="e">
        <f t="shared" ref="S596:AD596" si="282">IF(S593&gt;0,IF(((T588)*-1)&gt;S583,S583,0-(T588)),0)</f>
        <v>#NAME?</v>
      </c>
      <c r="T596" s="101" t="e">
        <f t="shared" si="282"/>
        <v>#NAME?</v>
      </c>
      <c r="U596" s="101" t="e">
        <f t="shared" si="282"/>
        <v>#NAME?</v>
      </c>
      <c r="V596" s="101" t="e">
        <f t="shared" si="282"/>
        <v>#NAME?</v>
      </c>
      <c r="W596" s="101" t="e">
        <f t="shared" si="282"/>
        <v>#NAME?</v>
      </c>
      <c r="X596" s="101" t="e">
        <f t="shared" si="282"/>
        <v>#NAME?</v>
      </c>
      <c r="Y596" s="101" t="e">
        <f t="shared" si="282"/>
        <v>#NAME?</v>
      </c>
      <c r="Z596" s="101" t="e">
        <f t="shared" si="282"/>
        <v>#NAME?</v>
      </c>
      <c r="AA596" s="101" t="e">
        <f t="shared" si="282"/>
        <v>#NAME?</v>
      </c>
      <c r="AB596" s="101" t="e">
        <f t="shared" si="282"/>
        <v>#NAME?</v>
      </c>
      <c r="AC596" s="101" t="e">
        <f t="shared" si="282"/>
        <v>#NAME?</v>
      </c>
      <c r="AD596" s="21" t="e">
        <f t="shared" si="282"/>
        <v>#NAME?</v>
      </c>
      <c r="AE596" s="21"/>
      <c r="AF596" s="21"/>
      <c r="AG596" s="21"/>
      <c r="AH596" s="21"/>
      <c r="AI596" s="21"/>
      <c r="AJ596" s="21"/>
      <c r="AK596" s="21"/>
      <c r="AL596" s="21"/>
      <c r="AM596" s="21"/>
      <c r="AN596" s="21"/>
      <c r="AO596" s="21"/>
    </row>
    <row r="597" spans="1:41" s="97" customFormat="1" hidden="1" outlineLevel="1" x14ac:dyDescent="0.2">
      <c r="E597" s="97" t="s">
        <v>153</v>
      </c>
      <c r="H597" s="101"/>
      <c r="J597" s="98" t="s">
        <v>1205</v>
      </c>
      <c r="L597" s="99" t="s">
        <v>423</v>
      </c>
      <c r="M597" s="101"/>
      <c r="N597" s="101"/>
      <c r="O597" s="101"/>
      <c r="P597" s="101"/>
      <c r="Q597" s="101">
        <f>Q593-Q596</f>
        <v>0</v>
      </c>
      <c r="R597" s="101"/>
      <c r="S597" s="101" t="e">
        <f t="shared" ref="S597:AD597" si="283">S593-S596</f>
        <v>#NAME?</v>
      </c>
      <c r="T597" s="101" t="e">
        <f t="shared" si="283"/>
        <v>#NAME?</v>
      </c>
      <c r="U597" s="101" t="e">
        <f t="shared" si="283"/>
        <v>#NAME?</v>
      </c>
      <c r="V597" s="101" t="e">
        <f t="shared" si="283"/>
        <v>#NAME?</v>
      </c>
      <c r="W597" s="101" t="e">
        <f t="shared" si="283"/>
        <v>#NAME?</v>
      </c>
      <c r="X597" s="101" t="e">
        <f t="shared" si="283"/>
        <v>#NAME?</v>
      </c>
      <c r="Y597" s="101" t="e">
        <f t="shared" si="283"/>
        <v>#NAME?</v>
      </c>
      <c r="Z597" s="101" t="e">
        <f t="shared" si="283"/>
        <v>#NAME?</v>
      </c>
      <c r="AA597" s="101" t="e">
        <f t="shared" si="283"/>
        <v>#NAME?</v>
      </c>
      <c r="AB597" s="101" t="e">
        <f t="shared" si="283"/>
        <v>#NAME?</v>
      </c>
      <c r="AC597" s="101" t="e">
        <f t="shared" si="283"/>
        <v>#NAME?</v>
      </c>
      <c r="AD597" s="101" t="e">
        <f t="shared" si="283"/>
        <v>#NAME?</v>
      </c>
      <c r="AE597" s="101"/>
      <c r="AF597" s="101"/>
      <c r="AG597" s="101"/>
      <c r="AH597" s="101"/>
      <c r="AI597" s="101"/>
      <c r="AJ597" s="101"/>
      <c r="AK597" s="101"/>
      <c r="AL597" s="101"/>
      <c r="AM597" s="101"/>
      <c r="AN597" s="101"/>
      <c r="AO597" s="101"/>
    </row>
    <row r="598" spans="1:41" s="97" customFormat="1" hidden="1" outlineLevel="1" x14ac:dyDescent="0.2">
      <c r="H598" s="101"/>
      <c r="J598" s="98"/>
      <c r="L598" s="99"/>
      <c r="M598" s="101"/>
      <c r="N598" s="101"/>
      <c r="O598" s="101"/>
      <c r="P598" s="101"/>
      <c r="Q598" s="101"/>
      <c r="R598" s="101"/>
      <c r="S598" s="101"/>
      <c r="T598" s="101"/>
      <c r="U598" s="101"/>
      <c r="V598" s="101"/>
      <c r="W598" s="101"/>
      <c r="X598" s="101"/>
      <c r="Y598" s="101"/>
      <c r="Z598" s="101"/>
      <c r="AA598" s="101"/>
      <c r="AB598" s="101"/>
      <c r="AC598" s="101"/>
      <c r="AD598" s="101"/>
      <c r="AE598" s="101"/>
      <c r="AF598" s="101"/>
      <c r="AG598" s="101"/>
      <c r="AH598" s="101"/>
      <c r="AI598" s="101"/>
      <c r="AJ598" s="101"/>
      <c r="AK598" s="101"/>
      <c r="AL598" s="101"/>
      <c r="AM598" s="101"/>
      <c r="AN598" s="101"/>
      <c r="AO598" s="101"/>
    </row>
    <row r="599" spans="1:41" s="97" customFormat="1" ht="12.6" hidden="1" outlineLevel="1" x14ac:dyDescent="0.25">
      <c r="D599" s="32" t="s">
        <v>152</v>
      </c>
      <c r="H599" s="101"/>
      <c r="J599" s="98" t="s">
        <v>20</v>
      </c>
      <c r="L599" s="99"/>
      <c r="M599" s="101"/>
      <c r="N599" s="101"/>
      <c r="O599" s="101"/>
      <c r="P599" s="101"/>
      <c r="Q599" s="101"/>
      <c r="R599" s="101"/>
      <c r="S599" s="101">
        <f t="shared" ref="S599:AD599" si="284">Inputs_TL11_Months_Oustanding</f>
        <v>12</v>
      </c>
      <c r="T599" s="101">
        <f t="shared" si="284"/>
        <v>24</v>
      </c>
      <c r="U599" s="101">
        <f t="shared" si="284"/>
        <v>12</v>
      </c>
      <c r="V599" s="101">
        <f t="shared" si="284"/>
        <v>12</v>
      </c>
      <c r="W599" s="101">
        <f t="shared" si="284"/>
        <v>12</v>
      </c>
      <c r="X599" s="101">
        <f t="shared" si="284"/>
        <v>12</v>
      </c>
      <c r="Y599" s="101">
        <f t="shared" si="284"/>
        <v>12</v>
      </c>
      <c r="Z599" s="101">
        <f t="shared" si="284"/>
        <v>12</v>
      </c>
      <c r="AA599" s="101">
        <f t="shared" si="284"/>
        <v>12</v>
      </c>
      <c r="AB599" s="101">
        <f t="shared" si="284"/>
        <v>12</v>
      </c>
      <c r="AC599" s="101">
        <f t="shared" si="284"/>
        <v>12</v>
      </c>
      <c r="AD599" s="101">
        <f t="shared" si="284"/>
        <v>12</v>
      </c>
      <c r="AE599" s="108"/>
      <c r="AF599" s="108"/>
      <c r="AG599" s="108"/>
      <c r="AH599" s="108"/>
      <c r="AI599" s="108"/>
      <c r="AJ599" s="108"/>
      <c r="AK599" s="108"/>
      <c r="AL599" s="108"/>
      <c r="AM599" s="108"/>
      <c r="AN599" s="108"/>
      <c r="AO599" s="108"/>
    </row>
    <row r="600" spans="1:41" s="97" customFormat="1" hidden="1" outlineLevel="1" x14ac:dyDescent="0.2">
      <c r="H600" s="101"/>
      <c r="J600" s="98"/>
      <c r="L600" s="99"/>
      <c r="M600" s="101"/>
      <c r="N600" s="101"/>
      <c r="O600" s="101"/>
      <c r="P600" s="101"/>
      <c r="Q600" s="101"/>
      <c r="R600" s="101"/>
      <c r="S600" s="101"/>
      <c r="T600" s="101"/>
      <c r="U600" s="101"/>
      <c r="V600" s="101"/>
      <c r="W600" s="101"/>
      <c r="X600" s="101"/>
      <c r="Y600" s="101"/>
      <c r="Z600" s="101"/>
      <c r="AA600" s="101"/>
      <c r="AB600" s="101"/>
      <c r="AC600" s="101"/>
      <c r="AD600" s="101"/>
      <c r="AE600" s="101"/>
      <c r="AF600" s="101"/>
      <c r="AG600" s="101"/>
      <c r="AH600" s="101"/>
      <c r="AI600" s="101"/>
      <c r="AJ600" s="101"/>
      <c r="AK600" s="101"/>
      <c r="AL600" s="101"/>
      <c r="AM600" s="101"/>
      <c r="AN600" s="101"/>
      <c r="AO600" s="101"/>
    </row>
    <row r="601" spans="1:41" s="97" customFormat="1" ht="12.6" hidden="1" outlineLevel="1" x14ac:dyDescent="0.25">
      <c r="D601" s="32" t="s">
        <v>151</v>
      </c>
      <c r="H601" s="101"/>
      <c r="J601" s="98"/>
      <c r="L601" s="99"/>
      <c r="M601" s="101"/>
      <c r="N601" s="101"/>
      <c r="O601" s="101"/>
      <c r="P601" s="101"/>
      <c r="Q601" s="101"/>
      <c r="R601" s="101"/>
      <c r="S601" s="101"/>
      <c r="T601" s="101"/>
      <c r="U601" s="101"/>
      <c r="V601" s="101"/>
      <c r="W601" s="101"/>
      <c r="X601" s="101"/>
      <c r="Y601" s="101"/>
      <c r="Z601" s="101"/>
      <c r="AA601" s="101"/>
      <c r="AB601" s="101"/>
      <c r="AC601" s="101"/>
      <c r="AD601" s="101"/>
      <c r="AE601" s="101"/>
      <c r="AF601" s="101"/>
      <c r="AG601" s="101"/>
      <c r="AH601" s="101"/>
      <c r="AI601" s="101"/>
      <c r="AJ601" s="101"/>
      <c r="AK601" s="101"/>
      <c r="AL601" s="101"/>
      <c r="AM601" s="101"/>
      <c r="AN601" s="101"/>
      <c r="AO601" s="101"/>
    </row>
    <row r="602" spans="1:41" s="97" customFormat="1" hidden="1" outlineLevel="1" x14ac:dyDescent="0.2">
      <c r="E602" s="97" t="s">
        <v>150</v>
      </c>
      <c r="H602" s="101"/>
      <c r="J602" s="98" t="s">
        <v>1205</v>
      </c>
      <c r="L602" s="99" t="s">
        <v>424</v>
      </c>
      <c r="M602" s="101"/>
      <c r="N602" s="101"/>
      <c r="O602" s="101"/>
      <c r="P602" s="101"/>
      <c r="Q602" s="181"/>
      <c r="R602" s="21"/>
      <c r="S602" s="101">
        <f t="shared" ref="S602:AD602" si="285">IF(AND(Inputs_TL11_Availability_Start_Date&gt;R$5,Inputs_TL11_Availability_Start_Date&lt;S$5),-Inputs_TL11_Arrangement_Fee*Inputs_TL11_Maximum_Facility,0)</f>
        <v>0</v>
      </c>
      <c r="T602" s="101">
        <f t="shared" si="285"/>
        <v>0</v>
      </c>
      <c r="U602" s="101">
        <f t="shared" si="285"/>
        <v>0</v>
      </c>
      <c r="V602" s="101">
        <f t="shared" si="285"/>
        <v>0</v>
      </c>
      <c r="W602" s="101">
        <f t="shared" si="285"/>
        <v>0</v>
      </c>
      <c r="X602" s="101">
        <f t="shared" si="285"/>
        <v>0</v>
      </c>
      <c r="Y602" s="101">
        <f t="shared" si="285"/>
        <v>0</v>
      </c>
      <c r="Z602" s="101">
        <f t="shared" si="285"/>
        <v>0</v>
      </c>
      <c r="AA602" s="101">
        <f t="shared" si="285"/>
        <v>0</v>
      </c>
      <c r="AB602" s="101">
        <f t="shared" si="285"/>
        <v>0</v>
      </c>
      <c r="AC602" s="101">
        <f t="shared" si="285"/>
        <v>0</v>
      </c>
      <c r="AD602" s="101">
        <f t="shared" si="285"/>
        <v>0</v>
      </c>
      <c r="AE602" s="181"/>
      <c r="AF602" s="181"/>
      <c r="AG602" s="181"/>
      <c r="AH602" s="181"/>
      <c r="AI602" s="181"/>
      <c r="AJ602" s="181"/>
      <c r="AK602" s="181"/>
      <c r="AL602" s="181"/>
      <c r="AM602" s="181"/>
      <c r="AN602" s="181"/>
      <c r="AO602" s="181"/>
    </row>
    <row r="603" spans="1:41" s="97" customFormat="1" hidden="1" outlineLevel="1" x14ac:dyDescent="0.2">
      <c r="E603" s="97" t="s">
        <v>149</v>
      </c>
      <c r="H603" s="101"/>
      <c r="J603" s="98" t="s">
        <v>1205</v>
      </c>
      <c r="L603" s="99" t="s">
        <v>425</v>
      </c>
      <c r="M603" s="101"/>
      <c r="N603" s="101"/>
      <c r="O603" s="101"/>
      <c r="P603" s="101"/>
      <c r="Q603" s="101"/>
      <c r="R603" s="101"/>
      <c r="S603" s="101">
        <f>-((R578+S578)/2)*(S573*S599)</f>
        <v>0</v>
      </c>
      <c r="T603" s="101">
        <f t="shared" ref="T603:AD603" si="286">-((S578+T578)/2)*(T573*T599)</f>
        <v>0</v>
      </c>
      <c r="U603" s="101">
        <f t="shared" si="286"/>
        <v>0</v>
      </c>
      <c r="V603" s="101">
        <f t="shared" si="286"/>
        <v>0</v>
      </c>
      <c r="W603" s="101">
        <f t="shared" si="286"/>
        <v>0</v>
      </c>
      <c r="X603" s="101">
        <f t="shared" si="286"/>
        <v>0</v>
      </c>
      <c r="Y603" s="101">
        <f t="shared" si="286"/>
        <v>0</v>
      </c>
      <c r="Z603" s="101">
        <f t="shared" si="286"/>
        <v>0</v>
      </c>
      <c r="AA603" s="101">
        <f t="shared" si="286"/>
        <v>0</v>
      </c>
      <c r="AB603" s="101">
        <f t="shared" si="286"/>
        <v>0</v>
      </c>
      <c r="AC603" s="101">
        <f t="shared" si="286"/>
        <v>0</v>
      </c>
      <c r="AD603" s="101">
        <f t="shared" si="286"/>
        <v>0</v>
      </c>
      <c r="AE603" s="101"/>
      <c r="AF603" s="101"/>
      <c r="AG603" s="101"/>
      <c r="AH603" s="101"/>
      <c r="AI603" s="101"/>
      <c r="AJ603" s="101"/>
      <c r="AK603" s="101"/>
      <c r="AL603" s="101"/>
      <c r="AM603" s="101"/>
      <c r="AN603" s="101"/>
      <c r="AO603" s="101"/>
    </row>
    <row r="604" spans="1:41" s="97" customFormat="1" hidden="1" outlineLevel="1" x14ac:dyDescent="0.2">
      <c r="E604" s="28" t="s">
        <v>148</v>
      </c>
      <c r="F604" s="28"/>
      <c r="G604" s="28"/>
      <c r="H604" s="100"/>
      <c r="I604" s="28"/>
      <c r="J604" s="29" t="s">
        <v>1205</v>
      </c>
      <c r="K604" s="28"/>
      <c r="L604" s="30"/>
      <c r="M604" s="100"/>
      <c r="N604" s="100"/>
      <c r="O604" s="100"/>
      <c r="P604" s="100"/>
      <c r="Q604" s="100"/>
      <c r="R604" s="100"/>
      <c r="S604" s="100">
        <f t="shared" ref="S604:AD604" si="287">S602+S603</f>
        <v>0</v>
      </c>
      <c r="T604" s="100">
        <f t="shared" si="287"/>
        <v>0</v>
      </c>
      <c r="U604" s="100">
        <f t="shared" si="287"/>
        <v>0</v>
      </c>
      <c r="V604" s="100">
        <f t="shared" si="287"/>
        <v>0</v>
      </c>
      <c r="W604" s="100">
        <f t="shared" si="287"/>
        <v>0</v>
      </c>
      <c r="X604" s="100">
        <f t="shared" si="287"/>
        <v>0</v>
      </c>
      <c r="Y604" s="100">
        <f t="shared" si="287"/>
        <v>0</v>
      </c>
      <c r="Z604" s="100">
        <f t="shared" si="287"/>
        <v>0</v>
      </c>
      <c r="AA604" s="100">
        <f t="shared" si="287"/>
        <v>0</v>
      </c>
      <c r="AB604" s="100">
        <f t="shared" si="287"/>
        <v>0</v>
      </c>
      <c r="AC604" s="100">
        <f t="shared" si="287"/>
        <v>0</v>
      </c>
      <c r="AD604" s="100">
        <f t="shared" si="287"/>
        <v>0</v>
      </c>
      <c r="AE604" s="101"/>
      <c r="AF604" s="101"/>
      <c r="AG604" s="101"/>
      <c r="AH604" s="101"/>
      <c r="AI604" s="101"/>
      <c r="AJ604" s="101"/>
      <c r="AK604" s="101"/>
      <c r="AL604" s="101"/>
      <c r="AM604" s="101"/>
      <c r="AN604" s="101"/>
      <c r="AO604" s="101"/>
    </row>
    <row r="605" spans="1:41" s="97" customFormat="1" hidden="1" outlineLevel="1" x14ac:dyDescent="0.2">
      <c r="E605" s="20"/>
      <c r="H605" s="101"/>
      <c r="J605" s="98"/>
      <c r="L605" s="99"/>
      <c r="M605" s="101"/>
      <c r="N605" s="101"/>
      <c r="O605" s="101"/>
      <c r="P605" s="101"/>
      <c r="Q605" s="113"/>
      <c r="R605" s="113"/>
      <c r="S605" s="113"/>
      <c r="T605" s="113"/>
      <c r="U605" s="113"/>
      <c r="V605" s="113"/>
      <c r="W605" s="113"/>
      <c r="X605" s="113"/>
      <c r="Y605" s="113"/>
      <c r="Z605" s="113"/>
      <c r="AA605" s="113"/>
      <c r="AB605" s="113"/>
      <c r="AC605" s="113"/>
      <c r="AD605" s="113"/>
      <c r="AE605" s="113"/>
      <c r="AF605" s="113"/>
      <c r="AG605" s="113"/>
      <c r="AH605" s="113"/>
      <c r="AI605" s="113"/>
      <c r="AJ605" s="113"/>
      <c r="AK605" s="113"/>
      <c r="AL605" s="113"/>
      <c r="AM605" s="113"/>
      <c r="AN605" s="113"/>
      <c r="AO605" s="113"/>
    </row>
    <row r="606" spans="1:41" s="97" customFormat="1" ht="12.6" hidden="1" outlineLevel="1" x14ac:dyDescent="0.25">
      <c r="D606" s="27" t="s">
        <v>147</v>
      </c>
      <c r="E606" s="28"/>
      <c r="F606" s="28"/>
      <c r="G606" s="28"/>
      <c r="H606" s="100"/>
      <c r="I606" s="28"/>
      <c r="J606" s="29" t="s">
        <v>1205</v>
      </c>
      <c r="K606" s="28"/>
      <c r="L606" s="30" t="s">
        <v>426</v>
      </c>
      <c r="M606" s="100"/>
      <c r="N606" s="100"/>
      <c r="O606" s="100"/>
      <c r="P606" s="100"/>
      <c r="Q606" s="100"/>
      <c r="R606" s="100"/>
      <c r="S606" s="100" t="e">
        <f>-((S581+S583)/2)*(S571*S599)</f>
        <v>#NAME?</v>
      </c>
      <c r="T606" s="100" t="e">
        <f t="shared" ref="T606:AD606" si="288">-((T581+T583)/2)*(T571*T599)</f>
        <v>#NAME?</v>
      </c>
      <c r="U606" s="100" t="e">
        <f t="shared" si="288"/>
        <v>#NAME?</v>
      </c>
      <c r="V606" s="100" t="e">
        <f t="shared" si="288"/>
        <v>#NAME?</v>
      </c>
      <c r="W606" s="100" t="e">
        <f t="shared" si="288"/>
        <v>#NAME?</v>
      </c>
      <c r="X606" s="100" t="e">
        <f t="shared" si="288"/>
        <v>#NAME?</v>
      </c>
      <c r="Y606" s="100" t="e">
        <f t="shared" si="288"/>
        <v>#NAME?</v>
      </c>
      <c r="Z606" s="100" t="e">
        <f t="shared" si="288"/>
        <v>#NAME?</v>
      </c>
      <c r="AA606" s="100" t="e">
        <f t="shared" si="288"/>
        <v>#NAME?</v>
      </c>
      <c r="AB606" s="100" t="e">
        <f t="shared" si="288"/>
        <v>#NAME?</v>
      </c>
      <c r="AC606" s="100" t="e">
        <f t="shared" si="288"/>
        <v>#NAME?</v>
      </c>
      <c r="AD606" s="100" t="e">
        <f t="shared" si="288"/>
        <v>#NAME?</v>
      </c>
      <c r="AE606" s="101"/>
      <c r="AF606" s="101"/>
      <c r="AG606" s="101"/>
      <c r="AH606" s="101"/>
      <c r="AI606" s="101"/>
      <c r="AJ606" s="101"/>
      <c r="AK606" s="101"/>
      <c r="AL606" s="101"/>
      <c r="AM606" s="101"/>
      <c r="AN606" s="101"/>
      <c r="AO606" s="101"/>
    </row>
    <row r="607" spans="1:41" s="97" customFormat="1" ht="12.6" hidden="1" outlineLevel="1" x14ac:dyDescent="0.25">
      <c r="D607" s="32"/>
      <c r="H607" s="101"/>
      <c r="J607" s="98"/>
      <c r="L607" s="99"/>
      <c r="M607" s="101"/>
      <c r="N607" s="101"/>
      <c r="O607" s="101"/>
      <c r="P607" s="101"/>
      <c r="Q607" s="101"/>
      <c r="R607" s="101"/>
      <c r="S607" s="101"/>
      <c r="T607" s="101"/>
      <c r="U607" s="101"/>
      <c r="V607" s="101"/>
      <c r="W607" s="101"/>
      <c r="X607" s="101"/>
      <c r="Y607" s="101"/>
      <c r="Z607" s="101"/>
      <c r="AA607" s="101"/>
      <c r="AB607" s="101"/>
      <c r="AC607" s="101"/>
      <c r="AD607" s="101"/>
      <c r="AE607" s="101"/>
      <c r="AF607" s="101"/>
      <c r="AG607" s="101"/>
      <c r="AH607" s="101"/>
      <c r="AI607" s="101"/>
      <c r="AJ607" s="101"/>
      <c r="AK607" s="101"/>
      <c r="AL607" s="101"/>
      <c r="AM607" s="101"/>
      <c r="AN607" s="101"/>
      <c r="AO607" s="101"/>
    </row>
    <row r="608" spans="1:41" s="97" customFormat="1" ht="12.6" collapsed="1" thickBot="1" x14ac:dyDescent="0.25">
      <c r="A608" s="1"/>
      <c r="B608" s="1"/>
      <c r="H608" s="101"/>
      <c r="J608" s="98"/>
      <c r="L608" s="99"/>
      <c r="M608" s="101"/>
      <c r="N608" s="101"/>
      <c r="O608" s="101"/>
      <c r="P608" s="101"/>
      <c r="Q608" s="101"/>
      <c r="R608" s="101"/>
      <c r="S608" s="101"/>
      <c r="T608" s="101"/>
      <c r="U608" s="101"/>
      <c r="V608" s="101"/>
      <c r="W608" s="101"/>
      <c r="X608" s="101"/>
      <c r="Y608" s="101"/>
      <c r="Z608" s="101"/>
      <c r="AA608" s="101"/>
      <c r="AB608" s="101"/>
      <c r="AC608" s="101"/>
      <c r="AD608" s="101"/>
      <c r="AE608" s="101"/>
      <c r="AF608" s="101"/>
      <c r="AG608" s="101"/>
      <c r="AH608" s="101"/>
      <c r="AI608" s="101"/>
      <c r="AJ608" s="101"/>
      <c r="AK608" s="101"/>
      <c r="AL608" s="101"/>
      <c r="AM608" s="101"/>
      <c r="AN608" s="101"/>
      <c r="AO608" s="101"/>
    </row>
    <row r="609" spans="1:42" s="97" customFormat="1" ht="13.2" thickTop="1" x14ac:dyDescent="0.25">
      <c r="A609" s="1"/>
      <c r="B609" s="39" t="s">
        <v>15</v>
      </c>
      <c r="C609" s="63"/>
      <c r="D609" s="63"/>
      <c r="E609" s="63"/>
      <c r="F609" s="41"/>
      <c r="G609" s="63"/>
      <c r="H609" s="63"/>
      <c r="I609" s="64"/>
      <c r="J609" s="64"/>
      <c r="K609" s="63"/>
      <c r="L609" s="65"/>
      <c r="M609" s="63"/>
      <c r="N609" s="64"/>
      <c r="O609" s="64"/>
      <c r="P609" s="64"/>
      <c r="Q609" s="64"/>
      <c r="R609" s="64"/>
      <c r="S609" s="64"/>
      <c r="T609" s="64"/>
      <c r="U609" s="64"/>
      <c r="V609" s="64"/>
      <c r="W609" s="64"/>
      <c r="X609" s="64"/>
      <c r="Y609" s="64"/>
      <c r="Z609" s="64"/>
      <c r="AA609" s="64"/>
      <c r="AB609" s="64"/>
      <c r="AC609" s="64"/>
      <c r="AD609" s="64"/>
      <c r="AE609" s="21"/>
      <c r="AF609" s="21"/>
      <c r="AG609" s="21"/>
      <c r="AH609" s="21"/>
      <c r="AI609" s="21"/>
      <c r="AJ609" s="21"/>
      <c r="AK609" s="21"/>
      <c r="AL609" s="21"/>
      <c r="AM609" s="21"/>
      <c r="AN609" s="21"/>
      <c r="AO609" s="21"/>
      <c r="AP609" s="1"/>
    </row>
    <row r="610" spans="1:42" x14ac:dyDescent="0.2">
      <c r="A610" s="97"/>
      <c r="B610" s="97"/>
      <c r="C610" s="97"/>
      <c r="D610" s="97"/>
      <c r="E610" s="97"/>
      <c r="F610" s="97"/>
      <c r="N610" s="18"/>
    </row>
    <row r="611" spans="1:42" ht="12.6" x14ac:dyDescent="0.25">
      <c r="A611" s="97"/>
      <c r="B611" s="97"/>
      <c r="C611" s="97"/>
      <c r="D611" s="97"/>
      <c r="E611" s="97"/>
      <c r="F611" s="97"/>
      <c r="N611" s="18"/>
      <c r="S611" s="180"/>
      <c r="T611" s="25"/>
      <c r="U611" s="25"/>
      <c r="V611" s="25"/>
      <c r="W611" s="25"/>
      <c r="X611" s="25"/>
      <c r="Y611" s="25"/>
      <c r="Z611" s="25"/>
      <c r="AA611" s="25"/>
      <c r="AB611" s="25"/>
      <c r="AC611" s="25"/>
      <c r="AD611" s="25"/>
      <c r="AE611" s="25"/>
    </row>
    <row r="706" spans="1:46" s="18" customFormat="1" x14ac:dyDescent="0.2">
      <c r="A706" s="97"/>
      <c r="B706" s="97"/>
      <c r="C706" s="97"/>
      <c r="D706" s="97"/>
      <c r="E706" s="97"/>
      <c r="F706" s="97"/>
      <c r="G706" s="1"/>
      <c r="H706" s="1"/>
      <c r="I706" s="1"/>
      <c r="J706" s="2"/>
      <c r="K706" s="1"/>
      <c r="L706" s="3"/>
      <c r="M706" s="1"/>
      <c r="AP706" s="1"/>
      <c r="AQ706" s="1"/>
      <c r="AR706" s="1"/>
      <c r="AS706" s="1"/>
      <c r="AT706" s="1"/>
    </row>
    <row r="707" spans="1:46" s="18" customFormat="1" x14ac:dyDescent="0.2">
      <c r="A707" s="97"/>
      <c r="B707" s="97"/>
      <c r="C707" s="97"/>
      <c r="D707" s="97"/>
      <c r="E707" s="97"/>
      <c r="F707" s="97"/>
      <c r="G707" s="1"/>
      <c r="H707" s="1"/>
      <c r="I707" s="1"/>
      <c r="J707" s="2"/>
      <c r="K707" s="1"/>
      <c r="L707" s="3"/>
      <c r="M707" s="1"/>
      <c r="AP707" s="1"/>
      <c r="AQ707" s="1"/>
      <c r="AR707" s="1"/>
      <c r="AS707" s="1"/>
      <c r="AT707" s="1"/>
    </row>
    <row r="708" spans="1:46" s="18" customFormat="1" x14ac:dyDescent="0.2">
      <c r="A708" s="97"/>
      <c r="B708" s="97"/>
      <c r="C708" s="97"/>
      <c r="D708" s="97"/>
      <c r="E708" s="97"/>
      <c r="F708" s="97"/>
      <c r="G708" s="1"/>
      <c r="H708" s="1"/>
      <c r="I708" s="1"/>
      <c r="J708" s="2"/>
      <c r="K708" s="1"/>
      <c r="L708" s="3"/>
      <c r="M708" s="1"/>
      <c r="AP708" s="1"/>
      <c r="AQ708" s="1"/>
      <c r="AR708" s="1"/>
      <c r="AS708" s="1"/>
      <c r="AT708" s="1"/>
    </row>
    <row r="709" spans="1:46" s="18" customFormat="1" x14ac:dyDescent="0.2">
      <c r="A709" s="97"/>
      <c r="B709" s="97"/>
      <c r="C709" s="97"/>
      <c r="D709" s="97"/>
      <c r="E709" s="97"/>
      <c r="F709" s="97"/>
      <c r="G709" s="1"/>
      <c r="H709" s="1"/>
      <c r="I709" s="1"/>
      <c r="J709" s="2"/>
      <c r="K709" s="1"/>
      <c r="L709" s="3"/>
      <c r="M709" s="1"/>
      <c r="AP709" s="1"/>
      <c r="AQ709" s="1"/>
      <c r="AR709" s="1"/>
      <c r="AS709" s="1"/>
      <c r="AT709" s="1"/>
    </row>
    <row r="710" spans="1:46" s="18" customFormat="1" x14ac:dyDescent="0.2">
      <c r="A710" s="97"/>
      <c r="B710" s="97"/>
      <c r="C710" s="97"/>
      <c r="D710" s="97"/>
      <c r="E710" s="97"/>
      <c r="F710" s="97"/>
      <c r="G710" s="1"/>
      <c r="H710" s="1"/>
      <c r="I710" s="1"/>
      <c r="J710" s="2"/>
      <c r="K710" s="1"/>
      <c r="L710" s="3"/>
      <c r="M710" s="1"/>
      <c r="AP710" s="1"/>
      <c r="AQ710" s="1"/>
      <c r="AR710" s="1"/>
      <c r="AS710" s="1"/>
      <c r="AT710" s="1"/>
    </row>
    <row r="711" spans="1:46" s="18" customFormat="1" x14ac:dyDescent="0.2">
      <c r="A711" s="97"/>
      <c r="B711" s="97"/>
      <c r="C711" s="97"/>
      <c r="D711" s="97"/>
      <c r="E711" s="97"/>
      <c r="F711" s="97"/>
      <c r="G711" s="1"/>
      <c r="H711" s="1"/>
      <c r="I711" s="1"/>
      <c r="J711" s="2"/>
      <c r="K711" s="1"/>
      <c r="L711" s="3"/>
      <c r="M711" s="1"/>
      <c r="AP711" s="1"/>
      <c r="AQ711" s="1"/>
      <c r="AR711" s="1"/>
      <c r="AS711" s="1"/>
      <c r="AT711" s="1"/>
    </row>
    <row r="712" spans="1:46" s="18" customFormat="1" x14ac:dyDescent="0.2">
      <c r="A712" s="97"/>
      <c r="B712" s="97"/>
      <c r="C712" s="97"/>
      <c r="D712" s="97"/>
      <c r="E712" s="97"/>
      <c r="F712" s="97"/>
      <c r="G712" s="1"/>
      <c r="H712" s="1"/>
      <c r="I712" s="1"/>
      <c r="J712" s="2"/>
      <c r="K712" s="1"/>
      <c r="L712" s="3"/>
      <c r="M712" s="1"/>
      <c r="AP712" s="1"/>
      <c r="AQ712" s="1"/>
      <c r="AR712" s="1"/>
      <c r="AS712" s="1"/>
      <c r="AT712" s="1"/>
    </row>
    <row r="713" spans="1:46" s="18" customFormat="1" x14ac:dyDescent="0.2">
      <c r="A713" s="97"/>
      <c r="B713" s="97"/>
      <c r="C713" s="97"/>
      <c r="D713" s="97"/>
      <c r="E713" s="97"/>
      <c r="F713" s="97"/>
      <c r="G713" s="1"/>
      <c r="H713" s="1"/>
      <c r="I713" s="1"/>
      <c r="J713" s="2"/>
      <c r="K713" s="1"/>
      <c r="L713" s="3"/>
      <c r="M713" s="1"/>
      <c r="AP713" s="1"/>
      <c r="AQ713" s="1"/>
      <c r="AR713" s="1"/>
      <c r="AS713" s="1"/>
      <c r="AT713" s="1"/>
    </row>
    <row r="714" spans="1:46" s="18" customFormat="1" x14ac:dyDescent="0.2">
      <c r="A714" s="97"/>
      <c r="B714" s="97"/>
      <c r="C714" s="97"/>
      <c r="D714" s="97"/>
      <c r="E714" s="97"/>
      <c r="F714" s="97"/>
      <c r="G714" s="1"/>
      <c r="H714" s="1"/>
      <c r="I714" s="1"/>
      <c r="J714" s="2"/>
      <c r="K714" s="1"/>
      <c r="L714" s="3"/>
      <c r="M714" s="1"/>
      <c r="AP714" s="1"/>
      <c r="AQ714" s="1"/>
      <c r="AR714" s="1"/>
      <c r="AS714" s="1"/>
      <c r="AT714" s="1"/>
    </row>
    <row r="715" spans="1:46" s="18" customFormat="1" x14ac:dyDescent="0.2">
      <c r="A715" s="97"/>
      <c r="B715" s="97"/>
      <c r="C715" s="97"/>
      <c r="D715" s="97"/>
      <c r="E715" s="97"/>
      <c r="F715" s="97"/>
      <c r="G715" s="1"/>
      <c r="H715" s="1"/>
      <c r="I715" s="1"/>
      <c r="J715" s="2"/>
      <c r="K715" s="1"/>
      <c r="L715" s="3"/>
      <c r="M715" s="1"/>
      <c r="AP715" s="1"/>
      <c r="AQ715" s="1"/>
      <c r="AR715" s="1"/>
      <c r="AS715" s="1"/>
      <c r="AT715" s="1"/>
    </row>
    <row r="716" spans="1:46" s="18" customFormat="1" x14ac:dyDescent="0.2">
      <c r="A716" s="97"/>
      <c r="B716" s="97"/>
      <c r="C716" s="97"/>
      <c r="D716" s="97"/>
      <c r="E716" s="97"/>
      <c r="F716" s="97"/>
      <c r="G716" s="1"/>
      <c r="H716" s="1"/>
      <c r="I716" s="1"/>
      <c r="J716" s="2"/>
      <c r="K716" s="1"/>
      <c r="L716" s="3"/>
      <c r="M716" s="1"/>
      <c r="AP716" s="1"/>
      <c r="AQ716" s="1"/>
      <c r="AR716" s="1"/>
      <c r="AS716" s="1"/>
      <c r="AT716" s="1"/>
    </row>
    <row r="717" spans="1:46" s="18" customFormat="1" x14ac:dyDescent="0.2">
      <c r="A717" s="97"/>
      <c r="B717" s="97"/>
      <c r="C717" s="97"/>
      <c r="D717" s="97"/>
      <c r="E717" s="97"/>
      <c r="F717" s="97"/>
      <c r="G717" s="1"/>
      <c r="H717" s="1"/>
      <c r="I717" s="1"/>
      <c r="J717" s="2"/>
      <c r="K717" s="1"/>
      <c r="L717" s="3"/>
      <c r="M717" s="1"/>
      <c r="AP717" s="1"/>
      <c r="AQ717" s="1"/>
      <c r="AR717" s="1"/>
      <c r="AS717" s="1"/>
      <c r="AT717" s="1"/>
    </row>
    <row r="718" spans="1:46" s="18" customFormat="1" x14ac:dyDescent="0.2">
      <c r="A718" s="97"/>
      <c r="B718" s="97"/>
      <c r="C718" s="97"/>
      <c r="D718" s="97"/>
      <c r="E718" s="97"/>
      <c r="F718" s="97"/>
      <c r="G718" s="1"/>
      <c r="H718" s="1"/>
      <c r="I718" s="1"/>
      <c r="J718" s="2"/>
      <c r="K718" s="1"/>
      <c r="L718" s="3"/>
      <c r="M718" s="1"/>
      <c r="AP718" s="1"/>
      <c r="AQ718" s="1"/>
      <c r="AR718" s="1"/>
      <c r="AS718" s="1"/>
      <c r="AT718" s="1"/>
    </row>
    <row r="719" spans="1:46" s="18" customFormat="1" x14ac:dyDescent="0.2">
      <c r="A719" s="97"/>
      <c r="B719" s="97"/>
      <c r="C719" s="97"/>
      <c r="D719" s="97"/>
      <c r="E719" s="97"/>
      <c r="F719" s="97"/>
      <c r="G719" s="1"/>
      <c r="H719" s="1"/>
      <c r="I719" s="1"/>
      <c r="J719" s="2"/>
      <c r="K719" s="1"/>
      <c r="L719" s="3"/>
      <c r="M719" s="1"/>
      <c r="AP719" s="1"/>
      <c r="AQ719" s="1"/>
      <c r="AR719" s="1"/>
      <c r="AS719" s="1"/>
      <c r="AT719" s="1"/>
    </row>
    <row r="720" spans="1:46" s="18" customFormat="1" x14ac:dyDescent="0.2">
      <c r="A720" s="97"/>
      <c r="B720" s="97"/>
      <c r="C720" s="97"/>
      <c r="D720" s="97"/>
      <c r="E720" s="97"/>
      <c r="F720" s="97"/>
      <c r="G720" s="1"/>
      <c r="H720" s="1"/>
      <c r="I720" s="1"/>
      <c r="J720" s="2"/>
      <c r="K720" s="1"/>
      <c r="L720" s="3"/>
      <c r="M720" s="1"/>
      <c r="AP720" s="1"/>
      <c r="AQ720" s="1"/>
      <c r="AR720" s="1"/>
      <c r="AS720" s="1"/>
      <c r="AT720" s="1"/>
    </row>
    <row r="721" spans="1:46" s="18" customFormat="1" x14ac:dyDescent="0.2">
      <c r="A721" s="97"/>
      <c r="B721" s="97"/>
      <c r="C721" s="97"/>
      <c r="D721" s="97"/>
      <c r="E721" s="97"/>
      <c r="F721" s="97"/>
      <c r="G721" s="1"/>
      <c r="H721" s="1"/>
      <c r="I721" s="1"/>
      <c r="J721" s="2"/>
      <c r="K721" s="1"/>
      <c r="L721" s="3"/>
      <c r="M721" s="1"/>
      <c r="AP721" s="1"/>
      <c r="AQ721" s="1"/>
      <c r="AR721" s="1"/>
      <c r="AS721" s="1"/>
      <c r="AT721" s="1"/>
    </row>
    <row r="722" spans="1:46" s="18" customFormat="1" x14ac:dyDescent="0.2">
      <c r="A722" s="97"/>
      <c r="B722" s="97"/>
      <c r="C722" s="97"/>
      <c r="D722" s="97"/>
      <c r="E722" s="97"/>
      <c r="F722" s="97"/>
      <c r="G722" s="1"/>
      <c r="H722" s="1"/>
      <c r="I722" s="1"/>
      <c r="J722" s="2"/>
      <c r="K722" s="1"/>
      <c r="L722" s="3"/>
      <c r="M722" s="1"/>
      <c r="AP722" s="1"/>
      <c r="AQ722" s="1"/>
      <c r="AR722" s="1"/>
      <c r="AS722" s="1"/>
      <c r="AT722" s="1"/>
    </row>
    <row r="723" spans="1:46" s="18" customFormat="1" x14ac:dyDescent="0.2">
      <c r="A723" s="97"/>
      <c r="B723" s="97"/>
      <c r="C723" s="97"/>
      <c r="D723" s="97"/>
      <c r="E723" s="97"/>
      <c r="F723" s="97"/>
      <c r="G723" s="1"/>
      <c r="H723" s="1"/>
      <c r="I723" s="1"/>
      <c r="J723" s="2"/>
      <c r="K723" s="1"/>
      <c r="L723" s="3"/>
      <c r="M723" s="1"/>
      <c r="AP723" s="1"/>
      <c r="AQ723" s="1"/>
      <c r="AR723" s="1"/>
      <c r="AS723" s="1"/>
      <c r="AT723" s="1"/>
    </row>
    <row r="724" spans="1:46" s="18" customFormat="1" x14ac:dyDescent="0.2">
      <c r="A724" s="97"/>
      <c r="B724" s="97"/>
      <c r="C724" s="97"/>
      <c r="D724" s="97"/>
      <c r="E724" s="97"/>
      <c r="F724" s="97"/>
      <c r="G724" s="1"/>
      <c r="H724" s="1"/>
      <c r="I724" s="1"/>
      <c r="J724" s="2"/>
      <c r="K724" s="1"/>
      <c r="L724" s="3"/>
      <c r="M724" s="1"/>
      <c r="AP724" s="1"/>
      <c r="AQ724" s="1"/>
      <c r="AR724" s="1"/>
      <c r="AS724" s="1"/>
      <c r="AT724" s="1"/>
    </row>
    <row r="725" spans="1:46" s="18" customFormat="1" x14ac:dyDescent="0.2">
      <c r="A725" s="97"/>
      <c r="B725" s="97"/>
      <c r="C725" s="97"/>
      <c r="D725" s="97"/>
      <c r="E725" s="97"/>
      <c r="F725" s="97"/>
      <c r="G725" s="1"/>
      <c r="H725" s="1"/>
      <c r="I725" s="1"/>
      <c r="J725" s="2"/>
      <c r="K725" s="1"/>
      <c r="L725" s="3"/>
      <c r="M725" s="1"/>
      <c r="AP725" s="1"/>
      <c r="AQ725" s="1"/>
      <c r="AR725" s="1"/>
      <c r="AS725" s="1"/>
      <c r="AT725" s="1"/>
    </row>
    <row r="726" spans="1:46" s="18" customFormat="1" x14ac:dyDescent="0.2">
      <c r="A726" s="97"/>
      <c r="B726" s="97"/>
      <c r="C726" s="97"/>
      <c r="D726" s="97"/>
      <c r="E726" s="97"/>
      <c r="F726" s="97"/>
      <c r="G726" s="1"/>
      <c r="H726" s="1"/>
      <c r="I726" s="1"/>
      <c r="J726" s="2"/>
      <c r="K726" s="1"/>
      <c r="L726" s="3"/>
      <c r="M726" s="1"/>
      <c r="AP726" s="1"/>
      <c r="AQ726" s="1"/>
      <c r="AR726" s="1"/>
      <c r="AS726" s="1"/>
      <c r="AT726" s="1"/>
    </row>
    <row r="727" spans="1:46" s="18" customFormat="1" x14ac:dyDescent="0.2">
      <c r="A727" s="97"/>
      <c r="B727" s="97"/>
      <c r="C727" s="97"/>
      <c r="D727" s="97"/>
      <c r="E727" s="97"/>
      <c r="F727" s="97"/>
      <c r="G727" s="1"/>
      <c r="H727" s="1"/>
      <c r="I727" s="1"/>
      <c r="J727" s="2"/>
      <c r="K727" s="1"/>
      <c r="L727" s="3"/>
      <c r="M727" s="1"/>
      <c r="AP727" s="1"/>
      <c r="AQ727" s="1"/>
      <c r="AR727" s="1"/>
      <c r="AS727" s="1"/>
      <c r="AT727" s="1"/>
    </row>
    <row r="728" spans="1:46" s="18" customFormat="1" x14ac:dyDescent="0.2">
      <c r="A728" s="97"/>
      <c r="B728" s="97"/>
      <c r="C728" s="97"/>
      <c r="D728" s="97"/>
      <c r="E728" s="97"/>
      <c r="F728" s="97"/>
      <c r="G728" s="1"/>
      <c r="H728" s="1"/>
      <c r="I728" s="1"/>
      <c r="J728" s="2"/>
      <c r="K728" s="1"/>
      <c r="L728" s="3"/>
      <c r="M728" s="1"/>
      <c r="AP728" s="1"/>
      <c r="AQ728" s="1"/>
      <c r="AR728" s="1"/>
      <c r="AS728" s="1"/>
      <c r="AT728" s="1"/>
    </row>
    <row r="729" spans="1:46" s="18" customFormat="1" x14ac:dyDescent="0.2">
      <c r="A729" s="97"/>
      <c r="B729" s="97"/>
      <c r="C729" s="97"/>
      <c r="D729" s="97"/>
      <c r="E729" s="97"/>
      <c r="F729" s="97"/>
      <c r="G729" s="1"/>
      <c r="H729" s="1"/>
      <c r="I729" s="1"/>
      <c r="J729" s="2"/>
      <c r="K729" s="1"/>
      <c r="L729" s="3"/>
      <c r="M729" s="1"/>
      <c r="AP729" s="1"/>
      <c r="AQ729" s="1"/>
      <c r="AR729" s="1"/>
      <c r="AS729" s="1"/>
      <c r="AT729" s="1"/>
    </row>
    <row r="730" spans="1:46" s="18" customFormat="1" x14ac:dyDescent="0.2">
      <c r="A730" s="97"/>
      <c r="B730" s="97"/>
      <c r="C730" s="97"/>
      <c r="D730" s="97"/>
      <c r="E730" s="97"/>
      <c r="F730" s="97"/>
      <c r="G730" s="1"/>
      <c r="H730" s="1"/>
      <c r="I730" s="1"/>
      <c r="J730" s="2"/>
      <c r="K730" s="1"/>
      <c r="L730" s="3"/>
      <c r="M730" s="1"/>
      <c r="AP730" s="1"/>
      <c r="AQ730" s="1"/>
      <c r="AR730" s="1"/>
      <c r="AS730" s="1"/>
      <c r="AT730" s="1"/>
    </row>
    <row r="731" spans="1:46" s="18" customFormat="1" x14ac:dyDescent="0.2">
      <c r="A731" s="97"/>
      <c r="B731" s="97"/>
      <c r="C731" s="97"/>
      <c r="D731" s="97"/>
      <c r="E731" s="97"/>
      <c r="F731" s="97"/>
      <c r="G731" s="1"/>
      <c r="H731" s="1"/>
      <c r="I731" s="1"/>
      <c r="J731" s="2"/>
      <c r="K731" s="1"/>
      <c r="L731" s="3"/>
      <c r="M731" s="1"/>
      <c r="AP731" s="1"/>
      <c r="AQ731" s="1"/>
      <c r="AR731" s="1"/>
      <c r="AS731" s="1"/>
      <c r="AT731" s="1"/>
    </row>
    <row r="732" spans="1:46" s="18" customFormat="1" x14ac:dyDescent="0.2">
      <c r="A732" s="97"/>
      <c r="B732" s="97"/>
      <c r="C732" s="97"/>
      <c r="D732" s="97"/>
      <c r="E732" s="97"/>
      <c r="F732" s="97"/>
      <c r="G732" s="1"/>
      <c r="H732" s="1"/>
      <c r="I732" s="1"/>
      <c r="J732" s="2"/>
      <c r="K732" s="1"/>
      <c r="L732" s="3"/>
      <c r="M732" s="1"/>
      <c r="AP732" s="1"/>
      <c r="AQ732" s="1"/>
      <c r="AR732" s="1"/>
      <c r="AS732" s="1"/>
      <c r="AT732" s="1"/>
    </row>
    <row r="733" spans="1:46" s="18" customFormat="1" x14ac:dyDescent="0.2">
      <c r="A733" s="97"/>
      <c r="B733" s="97"/>
      <c r="C733" s="97"/>
      <c r="D733" s="97"/>
      <c r="E733" s="97"/>
      <c r="F733" s="97"/>
      <c r="G733" s="1"/>
      <c r="H733" s="1"/>
      <c r="I733" s="1"/>
      <c r="J733" s="2"/>
      <c r="K733" s="1"/>
      <c r="L733" s="3"/>
      <c r="M733" s="1"/>
      <c r="AP733" s="1"/>
      <c r="AQ733" s="1"/>
      <c r="AR733" s="1"/>
      <c r="AS733" s="1"/>
      <c r="AT733" s="1"/>
    </row>
    <row r="734" spans="1:46" s="18" customFormat="1" x14ac:dyDescent="0.2">
      <c r="A734" s="97"/>
      <c r="B734" s="97"/>
      <c r="C734" s="97"/>
      <c r="D734" s="97"/>
      <c r="E734" s="97"/>
      <c r="F734" s="97"/>
      <c r="G734" s="1"/>
      <c r="H734" s="1"/>
      <c r="I734" s="1"/>
      <c r="J734" s="2"/>
      <c r="K734" s="1"/>
      <c r="L734" s="3"/>
      <c r="M734" s="1"/>
      <c r="AP734" s="1"/>
      <c r="AQ734" s="1"/>
      <c r="AR734" s="1"/>
      <c r="AS734" s="1"/>
      <c r="AT734" s="1"/>
    </row>
    <row r="735" spans="1:46" s="18" customFormat="1" x14ac:dyDescent="0.2">
      <c r="A735" s="97"/>
      <c r="B735" s="97"/>
      <c r="C735" s="97"/>
      <c r="D735" s="97"/>
      <c r="E735" s="97"/>
      <c r="F735" s="97"/>
      <c r="G735" s="1"/>
      <c r="H735" s="1"/>
      <c r="I735" s="1"/>
      <c r="J735" s="2"/>
      <c r="K735" s="1"/>
      <c r="L735" s="3"/>
      <c r="M735" s="1"/>
      <c r="AP735" s="1"/>
      <c r="AQ735" s="1"/>
      <c r="AR735" s="1"/>
      <c r="AS735" s="1"/>
      <c r="AT735" s="1"/>
    </row>
    <row r="736" spans="1:46" s="18" customFormat="1" x14ac:dyDescent="0.2">
      <c r="A736" s="97"/>
      <c r="B736" s="97"/>
      <c r="C736" s="97"/>
      <c r="D736" s="97"/>
      <c r="E736" s="97"/>
      <c r="F736" s="97"/>
      <c r="G736" s="1"/>
      <c r="H736" s="1"/>
      <c r="I736" s="1"/>
      <c r="J736" s="2"/>
      <c r="K736" s="1"/>
      <c r="L736" s="3"/>
      <c r="M736" s="1"/>
      <c r="AP736" s="1"/>
      <c r="AQ736" s="1"/>
      <c r="AR736" s="1"/>
      <c r="AS736" s="1"/>
      <c r="AT736" s="1"/>
    </row>
    <row r="737" spans="1:46" s="18" customFormat="1" x14ac:dyDescent="0.2">
      <c r="A737" s="97"/>
      <c r="B737" s="97"/>
      <c r="C737" s="97"/>
      <c r="D737" s="97"/>
      <c r="E737" s="97"/>
      <c r="F737" s="97"/>
      <c r="G737" s="1"/>
      <c r="H737" s="1"/>
      <c r="I737" s="1"/>
      <c r="J737" s="2"/>
      <c r="K737" s="1"/>
      <c r="L737" s="3"/>
      <c r="M737" s="1"/>
      <c r="AP737" s="1"/>
      <c r="AQ737" s="1"/>
      <c r="AR737" s="1"/>
      <c r="AS737" s="1"/>
      <c r="AT737" s="1"/>
    </row>
    <row r="738" spans="1:46" s="18" customFormat="1" x14ac:dyDescent="0.2">
      <c r="A738" s="97"/>
      <c r="B738" s="97"/>
      <c r="C738" s="97"/>
      <c r="D738" s="97"/>
      <c r="E738" s="97"/>
      <c r="F738" s="97"/>
      <c r="G738" s="1"/>
      <c r="H738" s="1"/>
      <c r="I738" s="1"/>
      <c r="J738" s="2"/>
      <c r="K738" s="1"/>
      <c r="L738" s="3"/>
      <c r="M738" s="1"/>
      <c r="AP738" s="1"/>
      <c r="AQ738" s="1"/>
      <c r="AR738" s="1"/>
      <c r="AS738" s="1"/>
      <c r="AT738" s="1"/>
    </row>
    <row r="739" spans="1:46" s="18" customFormat="1" x14ac:dyDescent="0.2">
      <c r="A739" s="97"/>
      <c r="B739" s="97"/>
      <c r="C739" s="97"/>
      <c r="D739" s="97"/>
      <c r="E739" s="97"/>
      <c r="F739" s="97"/>
      <c r="G739" s="1"/>
      <c r="H739" s="1"/>
      <c r="I739" s="1"/>
      <c r="J739" s="2"/>
      <c r="K739" s="1"/>
      <c r="L739" s="3"/>
      <c r="M739" s="1"/>
      <c r="AP739" s="1"/>
      <c r="AQ739" s="1"/>
      <c r="AR739" s="1"/>
      <c r="AS739" s="1"/>
      <c r="AT739" s="1"/>
    </row>
    <row r="740" spans="1:46" s="18" customFormat="1" x14ac:dyDescent="0.2">
      <c r="A740" s="97"/>
      <c r="B740" s="97"/>
      <c r="C740" s="97"/>
      <c r="D740" s="97"/>
      <c r="E740" s="97"/>
      <c r="F740" s="97"/>
      <c r="G740" s="1"/>
      <c r="H740" s="1"/>
      <c r="I740" s="1"/>
      <c r="J740" s="2"/>
      <c r="K740" s="1"/>
      <c r="L740" s="3"/>
      <c r="M740" s="1"/>
      <c r="AP740" s="1"/>
      <c r="AQ740" s="1"/>
      <c r="AR740" s="1"/>
      <c r="AS740" s="1"/>
      <c r="AT740" s="1"/>
    </row>
    <row r="741" spans="1:46" s="18" customFormat="1" x14ac:dyDescent="0.2">
      <c r="A741" s="97"/>
      <c r="B741" s="97"/>
      <c r="C741" s="97"/>
      <c r="D741" s="97"/>
      <c r="E741" s="97"/>
      <c r="F741" s="97"/>
      <c r="G741" s="1"/>
      <c r="H741" s="1"/>
      <c r="I741" s="1"/>
      <c r="J741" s="2"/>
      <c r="K741" s="1"/>
      <c r="L741" s="3"/>
      <c r="M741" s="1"/>
      <c r="AP741" s="1"/>
      <c r="AQ741" s="1"/>
      <c r="AR741" s="1"/>
      <c r="AS741" s="1"/>
      <c r="AT741" s="1"/>
    </row>
    <row r="742" spans="1:46" s="18" customFormat="1" x14ac:dyDescent="0.2">
      <c r="A742" s="97"/>
      <c r="B742" s="97"/>
      <c r="C742" s="97"/>
      <c r="D742" s="97"/>
      <c r="E742" s="97"/>
      <c r="F742" s="97"/>
      <c r="G742" s="1"/>
      <c r="H742" s="1"/>
      <c r="I742" s="1"/>
      <c r="J742" s="2"/>
      <c r="K742" s="1"/>
      <c r="L742" s="3"/>
      <c r="M742" s="1"/>
      <c r="AP742" s="1"/>
      <c r="AQ742" s="1"/>
      <c r="AR742" s="1"/>
      <c r="AS742" s="1"/>
      <c r="AT742" s="1"/>
    </row>
    <row r="743" spans="1:46" s="18" customFormat="1" x14ac:dyDescent="0.2">
      <c r="A743" s="97"/>
      <c r="B743" s="97"/>
      <c r="C743" s="97"/>
      <c r="D743" s="97"/>
      <c r="E743" s="97"/>
      <c r="F743" s="97"/>
      <c r="G743" s="1"/>
      <c r="H743" s="1"/>
      <c r="I743" s="1"/>
      <c r="J743" s="2"/>
      <c r="K743" s="1"/>
      <c r="L743" s="3"/>
      <c r="M743" s="1"/>
      <c r="AP743" s="1"/>
      <c r="AQ743" s="1"/>
      <c r="AR743" s="1"/>
      <c r="AS743" s="1"/>
      <c r="AT743" s="1"/>
    </row>
    <row r="744" spans="1:46" s="18" customFormat="1" x14ac:dyDescent="0.2">
      <c r="A744" s="97"/>
      <c r="B744" s="97"/>
      <c r="C744" s="97"/>
      <c r="D744" s="97"/>
      <c r="E744" s="97"/>
      <c r="F744" s="97"/>
      <c r="G744" s="1"/>
      <c r="H744" s="1"/>
      <c r="I744" s="1"/>
      <c r="J744" s="2"/>
      <c r="K744" s="1"/>
      <c r="L744" s="3"/>
      <c r="M744" s="1"/>
      <c r="AP744" s="1"/>
      <c r="AQ744" s="1"/>
      <c r="AR744" s="1"/>
      <c r="AS744" s="1"/>
      <c r="AT744" s="1"/>
    </row>
    <row r="745" spans="1:46" s="18" customFormat="1" x14ac:dyDescent="0.2">
      <c r="A745" s="97"/>
      <c r="B745" s="97"/>
      <c r="C745" s="97"/>
      <c r="D745" s="97"/>
      <c r="E745" s="97"/>
      <c r="F745" s="97"/>
      <c r="G745" s="1"/>
      <c r="H745" s="1"/>
      <c r="I745" s="1"/>
      <c r="J745" s="2"/>
      <c r="K745" s="1"/>
      <c r="L745" s="3"/>
      <c r="M745" s="1"/>
      <c r="AP745" s="1"/>
      <c r="AQ745" s="1"/>
      <c r="AR745" s="1"/>
      <c r="AS745" s="1"/>
      <c r="AT745" s="1"/>
    </row>
    <row r="746" spans="1:46" s="18" customFormat="1" x14ac:dyDescent="0.2">
      <c r="A746" s="97"/>
      <c r="B746" s="97"/>
      <c r="C746" s="97"/>
      <c r="D746" s="97"/>
      <c r="E746" s="97"/>
      <c r="F746" s="97"/>
      <c r="G746" s="1"/>
      <c r="H746" s="1"/>
      <c r="I746" s="1"/>
      <c r="J746" s="2"/>
      <c r="K746" s="1"/>
      <c r="L746" s="3"/>
      <c r="M746" s="1"/>
      <c r="AP746" s="1"/>
      <c r="AQ746" s="1"/>
      <c r="AR746" s="1"/>
      <c r="AS746" s="1"/>
      <c r="AT746" s="1"/>
    </row>
    <row r="747" spans="1:46" s="18" customFormat="1" x14ac:dyDescent="0.2">
      <c r="A747" s="97"/>
      <c r="B747" s="97"/>
      <c r="C747" s="97"/>
      <c r="D747" s="97"/>
      <c r="E747" s="97"/>
      <c r="F747" s="97"/>
      <c r="G747" s="1"/>
      <c r="H747" s="1"/>
      <c r="I747" s="1"/>
      <c r="J747" s="2"/>
      <c r="K747" s="1"/>
      <c r="L747" s="3"/>
      <c r="M747" s="1"/>
      <c r="AP747" s="1"/>
      <c r="AQ747" s="1"/>
      <c r="AR747" s="1"/>
      <c r="AS747" s="1"/>
      <c r="AT747" s="1"/>
    </row>
    <row r="748" spans="1:46" s="18" customFormat="1" x14ac:dyDescent="0.2">
      <c r="A748" s="97"/>
      <c r="B748" s="97"/>
      <c r="C748" s="97"/>
      <c r="D748" s="97"/>
      <c r="E748" s="97"/>
      <c r="F748" s="97"/>
      <c r="G748" s="1"/>
      <c r="H748" s="1"/>
      <c r="I748" s="1"/>
      <c r="J748" s="2"/>
      <c r="K748" s="1"/>
      <c r="L748" s="3"/>
      <c r="M748" s="1"/>
      <c r="AP748" s="1"/>
      <c r="AQ748" s="1"/>
      <c r="AR748" s="1"/>
      <c r="AS748" s="1"/>
      <c r="AT748" s="1"/>
    </row>
    <row r="749" spans="1:46" s="18" customFormat="1" x14ac:dyDescent="0.2">
      <c r="A749" s="97"/>
      <c r="B749" s="97"/>
      <c r="C749" s="97"/>
      <c r="D749" s="97"/>
      <c r="E749" s="97"/>
      <c r="F749" s="97"/>
      <c r="G749" s="1"/>
      <c r="H749" s="1"/>
      <c r="I749" s="1"/>
      <c r="J749" s="2"/>
      <c r="K749" s="1"/>
      <c r="L749" s="3"/>
      <c r="M749" s="1"/>
      <c r="AP749" s="1"/>
      <c r="AQ749" s="1"/>
      <c r="AR749" s="1"/>
      <c r="AS749" s="1"/>
      <c r="AT749" s="1"/>
    </row>
    <row r="750" spans="1:46" s="18" customFormat="1" x14ac:dyDescent="0.2">
      <c r="A750" s="97"/>
      <c r="B750" s="97"/>
      <c r="C750" s="97"/>
      <c r="D750" s="97"/>
      <c r="E750" s="97"/>
      <c r="F750" s="97"/>
      <c r="G750" s="1"/>
      <c r="H750" s="1"/>
      <c r="I750" s="1"/>
      <c r="J750" s="2"/>
      <c r="K750" s="1"/>
      <c r="L750" s="3"/>
      <c r="M750" s="1"/>
      <c r="AP750" s="1"/>
      <c r="AQ750" s="1"/>
      <c r="AR750" s="1"/>
      <c r="AS750" s="1"/>
      <c r="AT750" s="1"/>
    </row>
    <row r="751" spans="1:46" s="18" customFormat="1" x14ac:dyDescent="0.2">
      <c r="A751" s="97"/>
      <c r="B751" s="97"/>
      <c r="C751" s="97"/>
      <c r="D751" s="97"/>
      <c r="E751" s="97"/>
      <c r="F751" s="97"/>
      <c r="G751" s="1"/>
      <c r="H751" s="1"/>
      <c r="I751" s="1"/>
      <c r="J751" s="2"/>
      <c r="K751" s="1"/>
      <c r="L751" s="3"/>
      <c r="M751" s="1"/>
      <c r="AP751" s="1"/>
      <c r="AQ751" s="1"/>
      <c r="AR751" s="1"/>
      <c r="AS751" s="1"/>
      <c r="AT751" s="1"/>
    </row>
    <row r="752" spans="1:46" s="18" customFormat="1" x14ac:dyDescent="0.2">
      <c r="A752" s="97"/>
      <c r="B752" s="97"/>
      <c r="C752" s="97"/>
      <c r="D752" s="97"/>
      <c r="E752" s="97"/>
      <c r="F752" s="97"/>
      <c r="G752" s="1"/>
      <c r="H752" s="1"/>
      <c r="I752" s="1"/>
      <c r="J752" s="2"/>
      <c r="K752" s="1"/>
      <c r="L752" s="3"/>
      <c r="M752" s="1"/>
      <c r="AP752" s="1"/>
      <c r="AQ752" s="1"/>
      <c r="AR752" s="1"/>
      <c r="AS752" s="1"/>
      <c r="AT752" s="1"/>
    </row>
    <row r="753" spans="1:46" s="18" customFormat="1" x14ac:dyDescent="0.2">
      <c r="A753" s="97"/>
      <c r="B753" s="97"/>
      <c r="C753" s="97"/>
      <c r="D753" s="97"/>
      <c r="E753" s="97"/>
      <c r="F753" s="97"/>
      <c r="G753" s="1"/>
      <c r="H753" s="1"/>
      <c r="I753" s="1"/>
      <c r="J753" s="2"/>
      <c r="K753" s="1"/>
      <c r="L753" s="3"/>
      <c r="M753" s="1"/>
      <c r="AP753" s="1"/>
      <c r="AQ753" s="1"/>
      <c r="AR753" s="1"/>
      <c r="AS753" s="1"/>
      <c r="AT753" s="1"/>
    </row>
    <row r="754" spans="1:46" s="18" customFormat="1" x14ac:dyDescent="0.2">
      <c r="A754" s="97"/>
      <c r="B754" s="97"/>
      <c r="C754" s="97"/>
      <c r="D754" s="97"/>
      <c r="E754" s="97"/>
      <c r="F754" s="97"/>
      <c r="G754" s="1"/>
      <c r="H754" s="1"/>
      <c r="I754" s="1"/>
      <c r="J754" s="2"/>
      <c r="K754" s="1"/>
      <c r="L754" s="3"/>
      <c r="M754" s="1"/>
      <c r="AP754" s="1"/>
      <c r="AQ754" s="1"/>
      <c r="AR754" s="1"/>
      <c r="AS754" s="1"/>
      <c r="AT754" s="1"/>
    </row>
    <row r="755" spans="1:46" s="18" customFormat="1" x14ac:dyDescent="0.2">
      <c r="A755" s="97"/>
      <c r="B755" s="97"/>
      <c r="C755" s="97"/>
      <c r="D755" s="97"/>
      <c r="E755" s="97"/>
      <c r="F755" s="97"/>
      <c r="G755" s="1"/>
      <c r="H755" s="1"/>
      <c r="I755" s="1"/>
      <c r="J755" s="2"/>
      <c r="K755" s="1"/>
      <c r="L755" s="3"/>
      <c r="M755" s="1"/>
      <c r="AP755" s="1"/>
      <c r="AQ755" s="1"/>
      <c r="AR755" s="1"/>
      <c r="AS755" s="1"/>
      <c r="AT755" s="1"/>
    </row>
    <row r="756" spans="1:46" s="18" customFormat="1" x14ac:dyDescent="0.2">
      <c r="A756" s="97"/>
      <c r="B756" s="97"/>
      <c r="C756" s="97"/>
      <c r="D756" s="97"/>
      <c r="E756" s="97"/>
      <c r="F756" s="97"/>
      <c r="G756" s="1"/>
      <c r="H756" s="1"/>
      <c r="I756" s="1"/>
      <c r="J756" s="2"/>
      <c r="K756" s="1"/>
      <c r="L756" s="3"/>
      <c r="M756" s="1"/>
      <c r="AP756" s="1"/>
      <c r="AQ756" s="1"/>
      <c r="AR756" s="1"/>
      <c r="AS756" s="1"/>
      <c r="AT756" s="1"/>
    </row>
    <row r="757" spans="1:46" s="18" customFormat="1" x14ac:dyDescent="0.2">
      <c r="A757" s="97"/>
      <c r="B757" s="97"/>
      <c r="C757" s="97"/>
      <c r="D757" s="97"/>
      <c r="E757" s="97"/>
      <c r="F757" s="97"/>
      <c r="G757" s="1"/>
      <c r="H757" s="1"/>
      <c r="I757" s="1"/>
      <c r="J757" s="2"/>
      <c r="K757" s="1"/>
      <c r="L757" s="3"/>
      <c r="M757" s="1"/>
      <c r="AP757" s="1"/>
      <c r="AQ757" s="1"/>
      <c r="AR757" s="1"/>
      <c r="AS757" s="1"/>
      <c r="AT757" s="1"/>
    </row>
    <row r="758" spans="1:46" s="18" customFormat="1" x14ac:dyDescent="0.2">
      <c r="A758" s="97"/>
      <c r="B758" s="97"/>
      <c r="C758" s="97"/>
      <c r="D758" s="97"/>
      <c r="E758" s="97"/>
      <c r="F758" s="97"/>
      <c r="G758" s="1"/>
      <c r="H758" s="1"/>
      <c r="I758" s="1"/>
      <c r="J758" s="2"/>
      <c r="K758" s="1"/>
      <c r="L758" s="3"/>
      <c r="M758" s="1"/>
      <c r="AP758" s="1"/>
      <c r="AQ758" s="1"/>
      <c r="AR758" s="1"/>
      <c r="AS758" s="1"/>
      <c r="AT758" s="1"/>
    </row>
    <row r="759" spans="1:46" s="18" customFormat="1" x14ac:dyDescent="0.2">
      <c r="A759" s="97"/>
      <c r="B759" s="97"/>
      <c r="C759" s="97"/>
      <c r="D759" s="97"/>
      <c r="E759" s="97"/>
      <c r="F759" s="97"/>
      <c r="G759" s="1"/>
      <c r="H759" s="1"/>
      <c r="I759" s="1"/>
      <c r="J759" s="2"/>
      <c r="K759" s="1"/>
      <c r="L759" s="3"/>
      <c r="M759" s="1"/>
      <c r="AP759" s="1"/>
      <c r="AQ759" s="1"/>
      <c r="AR759" s="1"/>
      <c r="AS759" s="1"/>
      <c r="AT759" s="1"/>
    </row>
    <row r="760" spans="1:46" s="18" customFormat="1" x14ac:dyDescent="0.2">
      <c r="A760" s="97"/>
      <c r="B760" s="97"/>
      <c r="C760" s="97"/>
      <c r="D760" s="97"/>
      <c r="E760" s="97"/>
      <c r="F760" s="97"/>
      <c r="G760" s="1"/>
      <c r="H760" s="1"/>
      <c r="I760" s="1"/>
      <c r="J760" s="2"/>
      <c r="K760" s="1"/>
      <c r="L760" s="3"/>
      <c r="M760" s="1"/>
      <c r="N760" s="1"/>
      <c r="AP760" s="1"/>
      <c r="AQ760" s="1"/>
      <c r="AR760" s="1"/>
      <c r="AS760" s="1"/>
      <c r="AT760" s="1"/>
    </row>
    <row r="761" spans="1:46" s="18" customFormat="1" x14ac:dyDescent="0.2">
      <c r="A761" s="97"/>
      <c r="B761" s="97"/>
      <c r="C761" s="97"/>
      <c r="D761" s="97"/>
      <c r="E761" s="97"/>
      <c r="F761" s="97"/>
      <c r="G761" s="1"/>
      <c r="H761" s="1"/>
      <c r="I761" s="1"/>
      <c r="J761" s="2"/>
      <c r="K761" s="1"/>
      <c r="L761" s="3"/>
      <c r="M761" s="1"/>
      <c r="N761" s="1"/>
      <c r="AP761" s="1"/>
      <c r="AQ761" s="1"/>
      <c r="AR761" s="1"/>
      <c r="AS761" s="1"/>
      <c r="AT761" s="1"/>
    </row>
  </sheetData>
  <conditionalFormatting sqref="N155:P155 N165:P165 N170:P170 P154 P159 P164 P169 N147:Q147 N175:Q180 P174:Q174 N46:Q46 Q63 Q80 Q97 N128:P129 N149:O154 O160:P160 M160 N238:Q239 N284:Q285 N330:Q331 N376:Q377 N561:Q562 Q149:Q173 Q197:Q219 Q243:Q265 Q289:Q311 Q335:Q357 N182:Q193 N47:O62 P48:P62 Q48:Q61 N13:O19 N21:Q29 Q13:AO13 P14:Q19 AE14:AO29 AE335:AO357 AE289:AO311 AE243:AO265 AE197:AO219 AE561:AO562 AE182:AO193 AE376:AO377 AE330:AO331 AE284:AO285 AE238:AO239 AE97:AO97 AE80:AO80 AE63:AO63 AE46:AO46 AE114:AO180 N64:O79 P65:P79 N81:O96 P82:P96 Q82:Q95 S82:AO88 N98:O113 P99:P113 N115:O127 Q114:Q130 N607:AO608 N378:AO378 S95:AO95 AE89:AO94">
    <cfRule type="cellIs" dxfId="245" priority="566" operator="lessThan">
      <formula>0</formula>
    </cfRule>
  </conditionalFormatting>
  <conditionalFormatting sqref="N63:P63">
    <cfRule type="cellIs" dxfId="244" priority="565" operator="lessThan">
      <formula>0</formula>
    </cfRule>
  </conditionalFormatting>
  <conditionalFormatting sqref="N80:P80">
    <cfRule type="cellIs" dxfId="243" priority="564" operator="lessThan">
      <formula>0</formula>
    </cfRule>
  </conditionalFormatting>
  <conditionalFormatting sqref="N97:P97">
    <cfRule type="cellIs" dxfId="242" priority="563" operator="lessThan">
      <formula>0</formula>
    </cfRule>
  </conditionalFormatting>
  <conditionalFormatting sqref="N114:P114">
    <cfRule type="cellIs" dxfId="241" priority="562" operator="lessThan">
      <formula>0</formula>
    </cfRule>
  </conditionalFormatting>
  <conditionalFormatting sqref="N130:P130">
    <cfRule type="cellIs" dxfId="240" priority="561" operator="lessThan">
      <formula>0</formula>
    </cfRule>
  </conditionalFormatting>
  <conditionalFormatting sqref="P152:P153">
    <cfRule type="cellIs" dxfId="239" priority="559" operator="lessThan">
      <formula>0</formula>
    </cfRule>
  </conditionalFormatting>
  <conditionalFormatting sqref="P157:P158 N156:O159">
    <cfRule type="cellIs" dxfId="238" priority="558" operator="lessThan">
      <formula>0</formula>
    </cfRule>
  </conditionalFormatting>
  <conditionalFormatting sqref="P162:P163 N161:O164">
    <cfRule type="cellIs" dxfId="237" priority="557" operator="lessThan">
      <formula>0</formula>
    </cfRule>
  </conditionalFormatting>
  <conditionalFormatting sqref="P167:P168 N166:O169">
    <cfRule type="cellIs" dxfId="236" priority="556" operator="lessThan">
      <formula>0</formula>
    </cfRule>
  </conditionalFormatting>
  <conditionalFormatting sqref="P172:P173 N171:O174">
    <cfRule type="cellIs" dxfId="235" priority="555" operator="lessThan">
      <formula>0</formula>
    </cfRule>
  </conditionalFormatting>
  <conditionalFormatting sqref="N30:O45 P31:P45 Q30:Q45 AE30:AO45">
    <cfRule type="cellIs" dxfId="234" priority="554" operator="lessThan">
      <formula>0</formula>
    </cfRule>
  </conditionalFormatting>
  <conditionalFormatting sqref="Q47 Q62 AE47:AO62">
    <cfRule type="cellIs" dxfId="233" priority="553" operator="lessThan">
      <formula>0</formula>
    </cfRule>
  </conditionalFormatting>
  <conditionalFormatting sqref="AE64:AO79 Q64:Q79">
    <cfRule type="cellIs" dxfId="232" priority="552" operator="lessThan">
      <formula>0</formula>
    </cfRule>
  </conditionalFormatting>
  <conditionalFormatting sqref="Q81 Q96 AE96:AO96 AE81:AO81">
    <cfRule type="cellIs" dxfId="231" priority="551" operator="lessThan">
      <formula>0</formula>
    </cfRule>
  </conditionalFormatting>
  <conditionalFormatting sqref="AE98:AO113 Q98:Q113">
    <cfRule type="cellIs" dxfId="230" priority="550" operator="lessThan">
      <formula>0</formula>
    </cfRule>
  </conditionalFormatting>
  <conditionalFormatting sqref="N144:P146 N131:O143 Q131:Q146">
    <cfRule type="cellIs" dxfId="229" priority="549" operator="lessThan">
      <formula>0</formula>
    </cfRule>
  </conditionalFormatting>
  <conditionalFormatting sqref="N201:P201 N211:P211 N216:P216 P200 P205 P210 P215 P220:Q220 N195:O200 O206:P206 M206 Q195:Q196 N221:Q226 N228:Q237 AE228:AO237 AE194:AO196 AE220:AO226">
    <cfRule type="cellIs" dxfId="228" priority="548" operator="lessThan">
      <formula>0</formula>
    </cfRule>
  </conditionalFormatting>
  <conditionalFormatting sqref="P198:P199">
    <cfRule type="cellIs" dxfId="227" priority="547" operator="lessThan">
      <formula>0</formula>
    </cfRule>
  </conditionalFormatting>
  <conditionalFormatting sqref="P203:P204 N202:O205">
    <cfRule type="cellIs" dxfId="226" priority="546" operator="lessThan">
      <formula>0</formula>
    </cfRule>
  </conditionalFormatting>
  <conditionalFormatting sqref="P208:P209 N207:O210">
    <cfRule type="cellIs" dxfId="225" priority="545" operator="lessThan">
      <formula>0</formula>
    </cfRule>
  </conditionalFormatting>
  <conditionalFormatting sqref="P213:P214 N212:O215">
    <cfRule type="cellIs" dxfId="224" priority="544" operator="lessThan">
      <formula>0</formula>
    </cfRule>
  </conditionalFormatting>
  <conditionalFormatting sqref="P218:P219 N217:O220">
    <cfRule type="cellIs" dxfId="223" priority="543" operator="lessThan">
      <formula>0</formula>
    </cfRule>
  </conditionalFormatting>
  <conditionalFormatting sqref="N247:P247 N257:P257 N262:P262 P246 P251 P256 P261 P266:Q266 N241:O246 O252:P252 M252 Q241:Q242 N267:Q272 N274:Q283 AE274:AO283 AE240:AO242 AE266:AO272">
    <cfRule type="cellIs" dxfId="222" priority="542" operator="lessThan">
      <formula>0</formula>
    </cfRule>
  </conditionalFormatting>
  <conditionalFormatting sqref="P244:P245">
    <cfRule type="cellIs" dxfId="221" priority="541" operator="lessThan">
      <formula>0</formula>
    </cfRule>
  </conditionalFormatting>
  <conditionalFormatting sqref="P249:P250 N248:O251">
    <cfRule type="cellIs" dxfId="220" priority="540" operator="lessThan">
      <formula>0</formula>
    </cfRule>
  </conditionalFormatting>
  <conditionalFormatting sqref="P254:P255 N253:O256">
    <cfRule type="cellIs" dxfId="219" priority="539" operator="lessThan">
      <formula>0</formula>
    </cfRule>
  </conditionalFormatting>
  <conditionalFormatting sqref="P259:P260 N258:O261">
    <cfRule type="cellIs" dxfId="218" priority="538" operator="lessThan">
      <formula>0</formula>
    </cfRule>
  </conditionalFormatting>
  <conditionalFormatting sqref="P264:P265 N263:O266">
    <cfRule type="cellIs" dxfId="217" priority="537" operator="lessThan">
      <formula>0</formula>
    </cfRule>
  </conditionalFormatting>
  <conditionalFormatting sqref="N293:P293 N303:P303 N308:P308 P292 P297 P302 P307 P312:Q312 N287:O292 O298:P298 M298 Q287:Q288 N313:Q318 N320:Q329 AE320:AO329 AE286:AO288 AE312:AO318">
    <cfRule type="cellIs" dxfId="216" priority="536" operator="lessThan">
      <formula>0</formula>
    </cfRule>
  </conditionalFormatting>
  <conditionalFormatting sqref="P290:P291">
    <cfRule type="cellIs" dxfId="215" priority="535" operator="lessThan">
      <formula>0</formula>
    </cfRule>
  </conditionalFormatting>
  <conditionalFormatting sqref="P295:P296 N294:O297">
    <cfRule type="cellIs" dxfId="214" priority="534" operator="lessThan">
      <formula>0</formula>
    </cfRule>
  </conditionalFormatting>
  <conditionalFormatting sqref="P300:P301 N299:O302">
    <cfRule type="cellIs" dxfId="213" priority="533" operator="lessThan">
      <formula>0</formula>
    </cfRule>
  </conditionalFormatting>
  <conditionalFormatting sqref="P305:P306 N304:O307">
    <cfRule type="cellIs" dxfId="212" priority="532" operator="lessThan">
      <formula>0</formula>
    </cfRule>
  </conditionalFormatting>
  <conditionalFormatting sqref="P310:P311 N309:O312">
    <cfRule type="cellIs" dxfId="211" priority="531" operator="lessThan">
      <formula>0</formula>
    </cfRule>
  </conditionalFormatting>
  <conditionalFormatting sqref="N339:P339 N349:P349 N354:P354 P338 P343 P348 P353 P358:Q358 N333:O338 O344:P344 M344 Q333:Q334 N359:Q364 N366:Q375 AE366:AO375 AE332:AO334 AE358:AO364">
    <cfRule type="cellIs" dxfId="210" priority="530" operator="lessThan">
      <formula>0</formula>
    </cfRule>
  </conditionalFormatting>
  <conditionalFormatting sqref="P336:P337">
    <cfRule type="cellIs" dxfId="209" priority="529" operator="lessThan">
      <formula>0</formula>
    </cfRule>
  </conditionalFormatting>
  <conditionalFormatting sqref="P341:P342 N340:O343">
    <cfRule type="cellIs" dxfId="208" priority="528" operator="lessThan">
      <formula>0</formula>
    </cfRule>
  </conditionalFormatting>
  <conditionalFormatting sqref="P346:P347 N345:O348">
    <cfRule type="cellIs" dxfId="207" priority="527" operator="lessThan">
      <formula>0</formula>
    </cfRule>
  </conditionalFormatting>
  <conditionalFormatting sqref="P351:P352 N350:O353">
    <cfRule type="cellIs" dxfId="206" priority="526" operator="lessThan">
      <formula>0</formula>
    </cfRule>
  </conditionalFormatting>
  <conditionalFormatting sqref="P356:P357 N355:O358">
    <cfRule type="cellIs" dxfId="205" priority="525" operator="lessThan">
      <formula>0</formula>
    </cfRule>
  </conditionalFormatting>
  <conditionalFormatting sqref="N424:Q424 AE424:AO424">
    <cfRule type="cellIs" dxfId="204" priority="443" operator="lessThan">
      <formula>0</formula>
    </cfRule>
  </conditionalFormatting>
  <conditionalFormatting sqref="N423:Q423 AE423:AO423">
    <cfRule type="cellIs" dxfId="203" priority="442" operator="lessThan">
      <formula>0</formula>
    </cfRule>
  </conditionalFormatting>
  <conditionalFormatting sqref="Q382:Q404 AE382:AO404">
    <cfRule type="cellIs" dxfId="202" priority="434" operator="lessThan">
      <formula>0</formula>
    </cfRule>
  </conditionalFormatting>
  <conditionalFormatting sqref="N386:P386 N396:P396 N401:P401 P385 P390 P395 P400 N406:Q411 P405:Q405 N380:O385 O391:P391 M391 Q380:Q381 N413:Q422 AE413:AO422 AE379:AO381 AE405:AO411">
    <cfRule type="cellIs" dxfId="201" priority="433" operator="lessThan">
      <formula>0</formula>
    </cfRule>
  </conditionalFormatting>
  <conditionalFormatting sqref="P383:P384">
    <cfRule type="cellIs" dxfId="200" priority="432" operator="lessThan">
      <formula>0</formula>
    </cfRule>
  </conditionalFormatting>
  <conditionalFormatting sqref="P388:P389 N387:O390">
    <cfRule type="cellIs" dxfId="199" priority="431" operator="lessThan">
      <formula>0</formula>
    </cfRule>
  </conditionalFormatting>
  <conditionalFormatting sqref="P393:P394 N392:O395">
    <cfRule type="cellIs" dxfId="198" priority="430" operator="lessThan">
      <formula>0</formula>
    </cfRule>
  </conditionalFormatting>
  <conditionalFormatting sqref="P398:P399 N397:O400">
    <cfRule type="cellIs" dxfId="197" priority="429" operator="lessThan">
      <formula>0</formula>
    </cfRule>
  </conditionalFormatting>
  <conditionalFormatting sqref="P403:P404 N402:O405">
    <cfRule type="cellIs" dxfId="196" priority="428" operator="lessThan">
      <formula>0</formula>
    </cfRule>
  </conditionalFormatting>
  <conditionalFormatting sqref="Q428:Q450 AE428:AO450">
    <cfRule type="cellIs" dxfId="195" priority="427" operator="lessThan">
      <formula>0</formula>
    </cfRule>
  </conditionalFormatting>
  <conditionalFormatting sqref="N432:P432 N442:P442 N447:P447 P431 P436 P441 P446 N452:Q457 P451:Q451 N426:O431 O437:P437 M437 Q426:Q427 N515:Q516 N459:Q470 AE459:AO470 AE515:AO516 AE425:AO427 AE451:AO457">
    <cfRule type="cellIs" dxfId="194" priority="426" operator="lessThan">
      <formula>0</formula>
    </cfRule>
  </conditionalFormatting>
  <conditionalFormatting sqref="P429:P430">
    <cfRule type="cellIs" dxfId="193" priority="425" operator="lessThan">
      <formula>0</formula>
    </cfRule>
  </conditionalFormatting>
  <conditionalFormatting sqref="P434:P435 N433:O436">
    <cfRule type="cellIs" dxfId="192" priority="424" operator="lessThan">
      <formula>0</formula>
    </cfRule>
  </conditionalFormatting>
  <conditionalFormatting sqref="P439:P440 N438:O441">
    <cfRule type="cellIs" dxfId="191" priority="423" operator="lessThan">
      <formula>0</formula>
    </cfRule>
  </conditionalFormatting>
  <conditionalFormatting sqref="P444:P445 N443:O446">
    <cfRule type="cellIs" dxfId="190" priority="422" operator="lessThan">
      <formula>0</formula>
    </cfRule>
  </conditionalFormatting>
  <conditionalFormatting sqref="P449:P450 N448:O451">
    <cfRule type="cellIs" dxfId="189" priority="421" operator="lessThan">
      <formula>0</formula>
    </cfRule>
  </conditionalFormatting>
  <conditionalFormatting sqref="Q474:Q496 AE474:AO496">
    <cfRule type="cellIs" dxfId="188" priority="411" operator="lessThan">
      <formula>0</formula>
    </cfRule>
  </conditionalFormatting>
  <conditionalFormatting sqref="N478:P478 N488:P488 N493:P493 P477 P482 P487 P492 N498:Q503 P497:Q497 N472:O477 O483:P483 M483 Q472:Q473 N505:Q514 AE505:AO514 AE471:AO473 AE497:AO503">
    <cfRule type="cellIs" dxfId="187" priority="410" operator="lessThan">
      <formula>0</formula>
    </cfRule>
  </conditionalFormatting>
  <conditionalFormatting sqref="P475:P476">
    <cfRule type="cellIs" dxfId="186" priority="409" operator="lessThan">
      <formula>0</formula>
    </cfRule>
  </conditionalFormatting>
  <conditionalFormatting sqref="P480:P481 N479:O482">
    <cfRule type="cellIs" dxfId="185" priority="408" operator="lessThan">
      <formula>0</formula>
    </cfRule>
  </conditionalFormatting>
  <conditionalFormatting sqref="P485:P486 N484:O487">
    <cfRule type="cellIs" dxfId="184" priority="407" operator="lessThan">
      <formula>0</formula>
    </cfRule>
  </conditionalFormatting>
  <conditionalFormatting sqref="P490:P491 N489:O492">
    <cfRule type="cellIs" dxfId="183" priority="406" operator="lessThan">
      <formula>0</formula>
    </cfRule>
  </conditionalFormatting>
  <conditionalFormatting sqref="P495:P496 N494:O497">
    <cfRule type="cellIs" dxfId="182" priority="405" operator="lessThan">
      <formula>0</formula>
    </cfRule>
  </conditionalFormatting>
  <conditionalFormatting sqref="Q520:Q542 AE520:AO542">
    <cfRule type="cellIs" dxfId="181" priority="400" operator="lessThan">
      <formula>0</formula>
    </cfRule>
  </conditionalFormatting>
  <conditionalFormatting sqref="N524:P524 N534:P534 N539:P539 P523 P528 P533 P538 N544:Q549 P543:Q543 N518:O523 O529:P529 M529 Q518:Q519 N551:Q560 AE551:AO560 AE517:AO519 AE543:AO549">
    <cfRule type="cellIs" dxfId="180" priority="399" operator="lessThan">
      <formula>0</formula>
    </cfRule>
  </conditionalFormatting>
  <conditionalFormatting sqref="P521:P522">
    <cfRule type="cellIs" dxfId="179" priority="398" operator="lessThan">
      <formula>0</formula>
    </cfRule>
  </conditionalFormatting>
  <conditionalFormatting sqref="P526:P527 N525:O528">
    <cfRule type="cellIs" dxfId="178" priority="397" operator="lessThan">
      <formula>0</formula>
    </cfRule>
  </conditionalFormatting>
  <conditionalFormatting sqref="P531:P532 N530:O533">
    <cfRule type="cellIs" dxfId="177" priority="396" operator="lessThan">
      <formula>0</formula>
    </cfRule>
  </conditionalFormatting>
  <conditionalFormatting sqref="P536:P537 N535:O538">
    <cfRule type="cellIs" dxfId="176" priority="395" operator="lessThan">
      <formula>0</formula>
    </cfRule>
  </conditionalFormatting>
  <conditionalFormatting sqref="P541:P542 N540:O543">
    <cfRule type="cellIs" dxfId="175" priority="394" operator="lessThan">
      <formula>0</formula>
    </cfRule>
  </conditionalFormatting>
  <conditionalFormatting sqref="N20:Q20">
    <cfRule type="cellIs" dxfId="174" priority="369" operator="lessThan">
      <formula>0</formula>
    </cfRule>
  </conditionalFormatting>
  <conditionalFormatting sqref="R147:AD147 R46:AD46 R63:AD63 R80:AD80 R97:AD97 R238:AD239 R284:AD285 R330:AD331 S334:AD334 R149:AD150 R196:AD196 R242:AD242 R288:AD288 R376:AD377 R188:AD193 S187:AD187 R561:AD562 R339:AD357 R182:AD186 R130:AD130 R129 R14:AD19 R21:AD29 R152:AD180 R198:AD219 R244:AD265 R290:AD311 S336:AD338 R114:AD128">
    <cfRule type="cellIs" dxfId="173" priority="155" operator="lessThan">
      <formula>0</formula>
    </cfRule>
  </conditionalFormatting>
  <conditionalFormatting sqref="R30:AD30 R45:AD45 S31:AD37">
    <cfRule type="cellIs" dxfId="172" priority="154" operator="lessThan">
      <formula>0</formula>
    </cfRule>
  </conditionalFormatting>
  <conditionalFormatting sqref="R47:AD47 R62:AD62 S48:AD54">
    <cfRule type="cellIs" dxfId="171" priority="153" operator="lessThan">
      <formula>0</formula>
    </cfRule>
  </conditionalFormatting>
  <conditionalFormatting sqref="R64:AD64 R79:AD79 S65:AD71 S78:AD78">
    <cfRule type="cellIs" dxfId="170" priority="152" operator="lessThan">
      <formula>0</formula>
    </cfRule>
  </conditionalFormatting>
  <conditionalFormatting sqref="R81:AD81 R96:AD96">
    <cfRule type="cellIs" dxfId="169" priority="151" operator="lessThan">
      <formula>0</formula>
    </cfRule>
  </conditionalFormatting>
  <conditionalFormatting sqref="S112:AD112 R113:AD113 R98:AD105 R106:R111">
    <cfRule type="cellIs" dxfId="168" priority="150" operator="lessThan">
      <formula>0</formula>
    </cfRule>
  </conditionalFormatting>
  <conditionalFormatting sqref="R146:AD146 S144:AD144 R145 R131:AD137 R138:R143">
    <cfRule type="cellIs" dxfId="167" priority="149" operator="lessThan">
      <formula>0</formula>
    </cfRule>
  </conditionalFormatting>
  <conditionalFormatting sqref="R220:AD223 R195:AD195 R228:AD229 R234:AD237 S233:AD233 R225:AD226 S224:AD224 R231:AD232">
    <cfRule type="cellIs" dxfId="166" priority="148" operator="lessThan">
      <formula>0</formula>
    </cfRule>
  </conditionalFormatting>
  <conditionalFormatting sqref="R266:AD269 R241:AD241 R274:AD275 R280:AD283 S279:AD279 R271:AD272 S270:AD270 R277:AD278">
    <cfRule type="cellIs" dxfId="165" priority="147" operator="lessThan">
      <formula>0</formula>
    </cfRule>
  </conditionalFormatting>
  <conditionalFormatting sqref="R312:AD315 R287:AD287 R326:AD329 S325:AD325 R317:AD318 S316:AD316 R320:AD321 R323:AD324 S322:AD322">
    <cfRule type="cellIs" dxfId="164" priority="146" operator="lessThan">
      <formula>0</formula>
    </cfRule>
  </conditionalFormatting>
  <conditionalFormatting sqref="R358:AD361 R333:AD333 R366:AD367 R363:AD364 S362:AD362 R369:AD375 S368:AD368">
    <cfRule type="cellIs" dxfId="163" priority="145" operator="lessThan">
      <formula>0</formula>
    </cfRule>
  </conditionalFormatting>
  <conditionalFormatting sqref="R31:R43">
    <cfRule type="cellIs" dxfId="162" priority="144" operator="lessThan">
      <formula>0</formula>
    </cfRule>
  </conditionalFormatting>
  <conditionalFormatting sqref="R48:R60">
    <cfRule type="cellIs" dxfId="161" priority="143" operator="lessThan">
      <formula>0</formula>
    </cfRule>
  </conditionalFormatting>
  <conditionalFormatting sqref="R65:R78">
    <cfRule type="cellIs" dxfId="160" priority="142" operator="lessThan">
      <formula>0</formula>
    </cfRule>
  </conditionalFormatting>
  <conditionalFormatting sqref="R82:R94">
    <cfRule type="cellIs" dxfId="159" priority="141" operator="lessThan">
      <formula>0</formula>
    </cfRule>
  </conditionalFormatting>
  <conditionalFormatting sqref="R95:AD95">
    <cfRule type="cellIs" dxfId="158" priority="140" operator="lessThan">
      <formula>0</formula>
    </cfRule>
  </conditionalFormatting>
  <conditionalFormatting sqref="R144:AD144">
    <cfRule type="cellIs" dxfId="157" priority="138" operator="lessThan">
      <formula>0</formula>
    </cfRule>
  </conditionalFormatting>
  <conditionalFormatting sqref="R112:AD112">
    <cfRule type="cellIs" dxfId="156" priority="139" operator="lessThan">
      <formula>0</formula>
    </cfRule>
  </conditionalFormatting>
  <conditionalFormatting sqref="T44:AD44">
    <cfRule type="cellIs" dxfId="155" priority="137" operator="lessThan">
      <formula>0</formula>
    </cfRule>
  </conditionalFormatting>
  <conditionalFormatting sqref="R44 T44:AD44">
    <cfRule type="cellIs" dxfId="154" priority="136" operator="lessThan">
      <formula>0</formula>
    </cfRule>
  </conditionalFormatting>
  <conditionalFormatting sqref="S61:AD61">
    <cfRule type="cellIs" dxfId="153" priority="135" operator="lessThan">
      <formula>0</formula>
    </cfRule>
  </conditionalFormatting>
  <conditionalFormatting sqref="R61:AD61">
    <cfRule type="cellIs" dxfId="152" priority="134" operator="lessThan">
      <formula>0</formula>
    </cfRule>
  </conditionalFormatting>
  <conditionalFormatting sqref="R336:R338 R334:AD334 S337:AD338">
    <cfRule type="cellIs" dxfId="151" priority="123" operator="lessThan">
      <formula>0</formula>
    </cfRule>
  </conditionalFormatting>
  <conditionalFormatting sqref="S279:AD279">
    <cfRule type="cellIs" dxfId="150" priority="122" operator="lessThan">
      <formula>0</formula>
    </cfRule>
  </conditionalFormatting>
  <conditionalFormatting sqref="R187:AD187">
    <cfRule type="cellIs" dxfId="149" priority="118" operator="lessThan">
      <formula>0</formula>
    </cfRule>
  </conditionalFormatting>
  <conditionalFormatting sqref="R325:AD325">
    <cfRule type="cellIs" dxfId="148" priority="121" operator="lessThan">
      <formula>0</formula>
    </cfRule>
  </conditionalFormatting>
  <conditionalFormatting sqref="R279:AD279">
    <cfRule type="cellIs" dxfId="147" priority="120" operator="lessThan">
      <formula>0</formula>
    </cfRule>
  </conditionalFormatting>
  <conditionalFormatting sqref="R233:AD233">
    <cfRule type="cellIs" dxfId="146" priority="119" operator="lessThan">
      <formula>0</formula>
    </cfRule>
  </conditionalFormatting>
  <conditionalFormatting sqref="R362">
    <cfRule type="cellIs" dxfId="145" priority="114" operator="lessThan">
      <formula>0</formula>
    </cfRule>
  </conditionalFormatting>
  <conditionalFormatting sqref="R424:AD424">
    <cfRule type="cellIs" dxfId="144" priority="109" operator="lessThan">
      <formula>0</formula>
    </cfRule>
  </conditionalFormatting>
  <conditionalFormatting sqref="R423:AD423">
    <cfRule type="cellIs" dxfId="143" priority="108" operator="lessThan">
      <formula>0</formula>
    </cfRule>
  </conditionalFormatting>
  <conditionalFormatting sqref="R381:AD381 R383:AD383 R384 T384:AD384 R385:AD404">
    <cfRule type="cellIs" dxfId="142" priority="105" operator="lessThan">
      <formula>0</formula>
    </cfRule>
  </conditionalFormatting>
  <conditionalFormatting sqref="R405:AD411 R380:AD380 R413:AD414 R415 T415:AD415 R416:AD417 R418:R422">
    <cfRule type="cellIs" dxfId="141" priority="104" operator="lessThan">
      <formula>0</formula>
    </cfRule>
  </conditionalFormatting>
  <conditionalFormatting sqref="R429:AD429 R427:AD427 R430 T430:AD430 R431:AD450">
    <cfRule type="cellIs" dxfId="140" priority="103" operator="lessThan">
      <formula>0</formula>
    </cfRule>
  </conditionalFormatting>
  <conditionalFormatting sqref="R451:AD457 R426:AD426 R515:AD516 R459:AD460 R461 T461:AD461 R462:AD470">
    <cfRule type="cellIs" dxfId="139" priority="102" operator="lessThan">
      <formula>0</formula>
    </cfRule>
  </conditionalFormatting>
  <conditionalFormatting sqref="S384:AD384">
    <cfRule type="cellIs" dxfId="138" priority="94" operator="lessThan">
      <formula>0</formula>
    </cfRule>
  </conditionalFormatting>
  <conditionalFormatting sqref="S384:AD384">
    <cfRule type="cellIs" dxfId="137" priority="93" operator="lessThan">
      <formula>0</formula>
    </cfRule>
  </conditionalFormatting>
  <conditionalFormatting sqref="R475:AD475 R476 T476:AD476 R473:AD473 R477:AD496">
    <cfRule type="cellIs" dxfId="136" priority="92" operator="lessThan">
      <formula>0</formula>
    </cfRule>
  </conditionalFormatting>
  <conditionalFormatting sqref="R497:AD503 R472:AD472 R505:AD506 R508:AD514 R507 T507:AD507">
    <cfRule type="cellIs" dxfId="135" priority="91" operator="lessThan">
      <formula>0</formula>
    </cfRule>
  </conditionalFormatting>
  <conditionalFormatting sqref="S476:AD476">
    <cfRule type="cellIs" dxfId="134" priority="90" operator="lessThan">
      <formula>0</formula>
    </cfRule>
  </conditionalFormatting>
  <conditionalFormatting sqref="S476:AD476">
    <cfRule type="cellIs" dxfId="133" priority="89" operator="lessThan">
      <formula>0</formula>
    </cfRule>
  </conditionalFormatting>
  <conditionalFormatting sqref="S430:AD430">
    <cfRule type="cellIs" dxfId="132" priority="88" operator="lessThan">
      <formula>0</formula>
    </cfRule>
  </conditionalFormatting>
  <conditionalFormatting sqref="S430:AD430">
    <cfRule type="cellIs" dxfId="131" priority="87" operator="lessThan">
      <formula>0</formula>
    </cfRule>
  </conditionalFormatting>
  <conditionalFormatting sqref="R521:AD521 R522 T522:AD522 R519:AD519 R523:AD542">
    <cfRule type="cellIs" dxfId="130" priority="86" operator="lessThan">
      <formula>0</formula>
    </cfRule>
  </conditionalFormatting>
  <conditionalFormatting sqref="R543:AD549 R518:AD518 R551:AD552 R553 T553:AD553 R554:AD560">
    <cfRule type="cellIs" dxfId="129" priority="85" operator="lessThan">
      <formula>0</formula>
    </cfRule>
  </conditionalFormatting>
  <conditionalFormatting sqref="S522:AD522">
    <cfRule type="cellIs" dxfId="128" priority="84" operator="lessThan">
      <formula>0</formula>
    </cfRule>
  </conditionalFormatting>
  <conditionalFormatting sqref="S522:AD522">
    <cfRule type="cellIs" dxfId="127" priority="83" operator="lessThan">
      <formula>0</formula>
    </cfRule>
  </conditionalFormatting>
  <conditionalFormatting sqref="S553:AD553">
    <cfRule type="cellIs" dxfId="126" priority="62" operator="lessThan">
      <formula>0</formula>
    </cfRule>
  </conditionalFormatting>
  <conditionalFormatting sqref="R230:AD230">
    <cfRule type="cellIs" dxfId="125" priority="81" operator="lessThan">
      <formula>0</formula>
    </cfRule>
  </conditionalFormatting>
  <conditionalFormatting sqref="R276:AD276">
    <cfRule type="cellIs" dxfId="124" priority="80" operator="lessThan">
      <formula>0</formula>
    </cfRule>
  </conditionalFormatting>
  <conditionalFormatting sqref="R322:AD322">
    <cfRule type="cellIs" dxfId="123" priority="79" operator="lessThan">
      <formula>0</formula>
    </cfRule>
  </conditionalFormatting>
  <conditionalFormatting sqref="R368:AD368">
    <cfRule type="cellIs" dxfId="122" priority="78" operator="lessThan">
      <formula>0</formula>
    </cfRule>
  </conditionalFormatting>
  <conditionalFormatting sqref="R368:AD368">
    <cfRule type="cellIs" dxfId="121" priority="77" operator="lessThan">
      <formula>0</formula>
    </cfRule>
  </conditionalFormatting>
  <conditionalFormatting sqref="S415:AD415">
    <cfRule type="cellIs" dxfId="120" priority="73" operator="lessThan">
      <formula>0</formula>
    </cfRule>
  </conditionalFormatting>
  <conditionalFormatting sqref="S415:AD415">
    <cfRule type="cellIs" dxfId="119" priority="72" operator="lessThan">
      <formula>0</formula>
    </cfRule>
  </conditionalFormatting>
  <conditionalFormatting sqref="S415:AD415">
    <cfRule type="cellIs" dxfId="118" priority="71" operator="lessThan">
      <formula>0</formula>
    </cfRule>
  </conditionalFormatting>
  <conditionalFormatting sqref="S461:AD461">
    <cfRule type="cellIs" dxfId="117" priority="70" operator="lessThan">
      <formula>0</formula>
    </cfRule>
  </conditionalFormatting>
  <conditionalFormatting sqref="S461:AD461">
    <cfRule type="cellIs" dxfId="116" priority="69" operator="lessThan">
      <formula>0</formula>
    </cfRule>
  </conditionalFormatting>
  <conditionalFormatting sqref="S461:AD461">
    <cfRule type="cellIs" dxfId="115" priority="68" operator="lessThan">
      <formula>0</formula>
    </cfRule>
  </conditionalFormatting>
  <conditionalFormatting sqref="S507:AD507">
    <cfRule type="cellIs" dxfId="114" priority="67" operator="lessThan">
      <formula>0</formula>
    </cfRule>
  </conditionalFormatting>
  <conditionalFormatting sqref="S507:AD507">
    <cfRule type="cellIs" dxfId="113" priority="66" operator="lessThan">
      <formula>0</formula>
    </cfRule>
  </conditionalFormatting>
  <conditionalFormatting sqref="S507:AD507">
    <cfRule type="cellIs" dxfId="112" priority="65" operator="lessThan">
      <formula>0</formula>
    </cfRule>
  </conditionalFormatting>
  <conditionalFormatting sqref="S553:AD553">
    <cfRule type="cellIs" dxfId="111" priority="64" operator="lessThan">
      <formula>0</formula>
    </cfRule>
  </conditionalFormatting>
  <conditionalFormatting sqref="S553:AD553">
    <cfRule type="cellIs" dxfId="110" priority="63" operator="lessThan">
      <formula>0</formula>
    </cfRule>
  </conditionalFormatting>
  <conditionalFormatting sqref="R20:AD20">
    <cfRule type="cellIs" dxfId="109" priority="61" operator="lessThan">
      <formula>0</formula>
    </cfRule>
  </conditionalFormatting>
  <conditionalFormatting sqref="S44:AD44">
    <cfRule type="cellIs" dxfId="108" priority="60" operator="lessThan">
      <formula>0</formula>
    </cfRule>
  </conditionalFormatting>
  <conditionalFormatting sqref="S129:AD129">
    <cfRule type="cellIs" dxfId="107" priority="59" operator="lessThan">
      <formula>0</formula>
    </cfRule>
  </conditionalFormatting>
  <conditionalFormatting sqref="S145:AD145">
    <cfRule type="cellIs" dxfId="106" priority="58" operator="lessThan">
      <formula>0</formula>
    </cfRule>
  </conditionalFormatting>
  <conditionalFormatting sqref="Q566:Q588 AE566:AO588">
    <cfRule type="cellIs" dxfId="105" priority="47" operator="lessThan">
      <formula>0</formula>
    </cfRule>
  </conditionalFormatting>
  <conditionalFormatting sqref="N570:P570 N580:P580 N585:P585 P569 P574 P579 P584 N590:Q595 P589:Q589 N564:O569 O575:P575 M575 Q564:Q565 N597:Q606 AE597:AO606 AE563:AO565 AE589:AO595">
    <cfRule type="cellIs" dxfId="104" priority="46" operator="lessThan">
      <formula>0</formula>
    </cfRule>
  </conditionalFormatting>
  <conditionalFormatting sqref="P567:P568">
    <cfRule type="cellIs" dxfId="103" priority="45" operator="lessThan">
      <formula>0</formula>
    </cfRule>
  </conditionalFormatting>
  <conditionalFormatting sqref="P572:P573 N571:O574">
    <cfRule type="cellIs" dxfId="102" priority="44" operator="lessThan">
      <formula>0</formula>
    </cfRule>
  </conditionalFormatting>
  <conditionalFormatting sqref="P577:P578 N576:O579">
    <cfRule type="cellIs" dxfId="101" priority="43" operator="lessThan">
      <formula>0</formula>
    </cfRule>
  </conditionalFormatting>
  <conditionalFormatting sqref="P582:P583 N581:O584">
    <cfRule type="cellIs" dxfId="100" priority="42" operator="lessThan">
      <formula>0</formula>
    </cfRule>
  </conditionalFormatting>
  <conditionalFormatting sqref="P587:P588 N586:O589">
    <cfRule type="cellIs" dxfId="99" priority="41" operator="lessThan">
      <formula>0</formula>
    </cfRule>
  </conditionalFormatting>
  <conditionalFormatting sqref="R567:AD567 R568 T568:AD568 R565:AD565 R569:AD588">
    <cfRule type="cellIs" dxfId="98" priority="40" operator="lessThan">
      <formula>0</formula>
    </cfRule>
  </conditionalFormatting>
  <conditionalFormatting sqref="R589:AD595 R564:AD564 R597:AD598 R599 T599:AD599 R600:AD606">
    <cfRule type="cellIs" dxfId="97" priority="39" operator="lessThan">
      <formula>0</formula>
    </cfRule>
  </conditionalFormatting>
  <conditionalFormatting sqref="S568:AD568">
    <cfRule type="cellIs" dxfId="96" priority="38" operator="lessThan">
      <formula>0</formula>
    </cfRule>
  </conditionalFormatting>
  <conditionalFormatting sqref="S568:AD568">
    <cfRule type="cellIs" dxfId="95" priority="37" operator="lessThan">
      <formula>0</formula>
    </cfRule>
  </conditionalFormatting>
  <conditionalFormatting sqref="S599:AD599">
    <cfRule type="cellIs" dxfId="94" priority="34" operator="lessThan">
      <formula>0</formula>
    </cfRule>
  </conditionalFormatting>
  <conditionalFormatting sqref="S599:AD599">
    <cfRule type="cellIs" dxfId="93" priority="36" operator="lessThan">
      <formula>0</formula>
    </cfRule>
  </conditionalFormatting>
  <conditionalFormatting sqref="S599:AD599">
    <cfRule type="cellIs" dxfId="92" priority="35" operator="lessThan">
      <formula>0</formula>
    </cfRule>
  </conditionalFormatting>
  <conditionalFormatting sqref="S422:AD422">
    <cfRule type="cellIs" dxfId="91" priority="15" operator="lessThan">
      <formula>0</formula>
    </cfRule>
  </conditionalFormatting>
  <conditionalFormatting sqref="S421:AD421">
    <cfRule type="cellIs" dxfId="90" priority="18" operator="lessThan">
      <formula>0</formula>
    </cfRule>
  </conditionalFormatting>
  <conditionalFormatting sqref="S418:AD420">
    <cfRule type="cellIs" dxfId="89" priority="17" operator="lessThan">
      <formula>0</formula>
    </cfRule>
  </conditionalFormatting>
  <conditionalFormatting sqref="S418:AD418">
    <cfRule type="cellIs" dxfId="88" priority="16" operator="lessThan">
      <formula>0</formula>
    </cfRule>
  </conditionalFormatting>
  <conditionalFormatting sqref="R224">
    <cfRule type="cellIs" dxfId="87" priority="14" operator="lessThan">
      <formula>0</formula>
    </cfRule>
  </conditionalFormatting>
  <conditionalFormatting sqref="R270">
    <cfRule type="cellIs" dxfId="86" priority="13" operator="lessThan">
      <formula>0</formula>
    </cfRule>
  </conditionalFormatting>
  <conditionalFormatting sqref="R316">
    <cfRule type="cellIs" dxfId="85" priority="12" operator="lessThan">
      <formula>0</formula>
    </cfRule>
  </conditionalFormatting>
  <conditionalFormatting sqref="S38:AD43">
    <cfRule type="cellIs" dxfId="84" priority="6" operator="lessThan">
      <formula>0</formula>
    </cfRule>
  </conditionalFormatting>
  <conditionalFormatting sqref="S55:AD60">
    <cfRule type="cellIs" dxfId="83" priority="5" operator="lessThan">
      <formula>0</formula>
    </cfRule>
  </conditionalFormatting>
  <conditionalFormatting sqref="S72:AD77">
    <cfRule type="cellIs" dxfId="82" priority="4" operator="lessThan">
      <formula>0</formula>
    </cfRule>
  </conditionalFormatting>
  <conditionalFormatting sqref="S89:AD94">
    <cfRule type="cellIs" dxfId="81" priority="3" operator="lessThan">
      <formula>0</formula>
    </cfRule>
  </conditionalFormatting>
  <conditionalFormatting sqref="S106:AD111">
    <cfRule type="cellIs" dxfId="80" priority="2" operator="lessThan">
      <formula>0</formula>
    </cfRule>
  </conditionalFormatting>
  <conditionalFormatting sqref="S138:AD143">
    <cfRule type="cellIs" dxfId="79" priority="1" operator="lessThan">
      <formula>0</formula>
    </cfRule>
  </conditionalFormatting>
  <pageMargins left="0.7" right="0.7" top="0.75" bottom="0.75" header="0.3" footer="0.3"/>
  <pageSetup orientation="portrait" horizontalDpi="4294967295"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A233"/>
  <sheetViews>
    <sheetView tabSelected="1" zoomScale="85" zoomScaleNormal="85" workbookViewId="0">
      <pane xSplit="12" ySplit="6" topLeftCell="M7" activePane="bottomRight" state="frozen"/>
      <selection activeCell="N24" sqref="N24"/>
      <selection pane="topRight" activeCell="N24" sqref="N24"/>
      <selection pane="bottomLeft" activeCell="N24" sqref="N24"/>
      <selection pane="bottomRight" activeCell="S4" sqref="S4"/>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464</v>
      </c>
      <c r="N3" s="110"/>
      <c r="O3" s="110" t="s">
        <v>0</v>
      </c>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186" t="str">
        <f t="shared" si="0"/>
        <v>Actual</v>
      </c>
      <c r="Q4" s="187" t="str">
        <f t="shared" si="0"/>
        <v>Actual</v>
      </c>
      <c r="R4" s="7" t="s">
        <v>1</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Support_Date</f>
        <v>42582</v>
      </c>
      <c r="O5" s="9">
        <f>Support_Date</f>
        <v>42947</v>
      </c>
      <c r="P5" s="9">
        <f t="shared" ref="P5:AD5" si="1">Support_Date</f>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Adjusted Consolidated of Income Statement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R9" s="101"/>
    </row>
    <row r="10" spans="1:43" ht="12.6" thickBot="1" x14ac:dyDescent="0.25">
      <c r="N10" s="18"/>
    </row>
    <row r="11" spans="1:43" ht="12.6" thickTop="1" x14ac:dyDescent="0.2">
      <c r="B11" s="20"/>
      <c r="C11" s="320" t="s">
        <v>806</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20"/>
      <c r="C12" s="20"/>
      <c r="D12" s="20"/>
      <c r="E12" s="97"/>
      <c r="F12" s="97"/>
      <c r="G12" s="97"/>
      <c r="H12" s="97"/>
      <c r="I12" s="97"/>
      <c r="J12" s="98"/>
      <c r="K12" s="97"/>
      <c r="L12" s="99"/>
      <c r="M12" s="97"/>
      <c r="N12" s="21"/>
      <c r="O12" s="21"/>
      <c r="P12" s="24"/>
      <c r="Q12" s="24"/>
      <c r="R12" s="97"/>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x14ac:dyDescent="0.2">
      <c r="B13" s="20"/>
      <c r="C13" s="20"/>
      <c r="D13" s="20"/>
      <c r="E13" s="20" t="s">
        <v>62</v>
      </c>
      <c r="F13" s="97"/>
      <c r="G13" s="97"/>
      <c r="H13" s="97"/>
      <c r="I13" s="97"/>
      <c r="J13" s="201" t="s">
        <v>1205</v>
      </c>
      <c r="K13" s="97"/>
      <c r="L13" s="3" t="s">
        <v>41</v>
      </c>
      <c r="M13" s="97"/>
      <c r="N13" s="21"/>
      <c r="O13" s="21"/>
      <c r="P13" s="104">
        <v>70913</v>
      </c>
      <c r="Q13" s="104">
        <v>446437</v>
      </c>
      <c r="R13" s="104">
        <v>500924</v>
      </c>
      <c r="S13" s="21"/>
      <c r="T13" s="21"/>
      <c r="U13" s="21"/>
      <c r="V13" s="21"/>
      <c r="W13" s="21"/>
      <c r="X13" s="21"/>
      <c r="Y13" s="21"/>
      <c r="Z13" s="21"/>
      <c r="AA13" s="21"/>
      <c r="AB13" s="21"/>
      <c r="AC13" s="21"/>
      <c r="AD13" s="21"/>
      <c r="AE13" s="21"/>
      <c r="AF13" s="21"/>
      <c r="AG13" s="21"/>
      <c r="AH13" s="21"/>
      <c r="AI13" s="21"/>
      <c r="AJ13" s="21"/>
      <c r="AK13" s="21"/>
      <c r="AL13" s="21"/>
      <c r="AM13" s="21"/>
      <c r="AN13" s="21"/>
      <c r="AO13" s="21"/>
    </row>
    <row r="14" spans="1:43" x14ac:dyDescent="0.2">
      <c r="B14" s="20"/>
      <c r="C14" s="20"/>
      <c r="D14" s="20"/>
      <c r="E14" s="20" t="s">
        <v>438</v>
      </c>
      <c r="F14" s="97"/>
      <c r="G14" s="97"/>
      <c r="H14" s="97"/>
      <c r="I14" s="97"/>
      <c r="J14" s="201" t="s">
        <v>1205</v>
      </c>
      <c r="K14" s="97"/>
      <c r="L14" s="99" t="s">
        <v>807</v>
      </c>
      <c r="M14" s="97"/>
      <c r="N14" s="21"/>
      <c r="O14" s="21"/>
      <c r="P14" s="101">
        <f>-60881+1215</f>
        <v>-59666</v>
      </c>
      <c r="Q14" s="101">
        <f>-313546+(-Q26)+(-Q27)</f>
        <v>-264741</v>
      </c>
      <c r="R14" s="101">
        <f>-375181+(-R26)+(-R27)</f>
        <v>-319123</v>
      </c>
      <c r="S14" s="21"/>
      <c r="T14" s="21"/>
      <c r="U14" s="21"/>
      <c r="V14" s="21"/>
      <c r="W14" s="21"/>
      <c r="X14" s="21"/>
      <c r="Y14" s="21"/>
      <c r="Z14" s="21"/>
      <c r="AA14" s="21"/>
      <c r="AB14" s="21"/>
      <c r="AC14" s="21"/>
      <c r="AD14" s="21"/>
      <c r="AE14" s="21"/>
      <c r="AF14" s="21"/>
      <c r="AG14" s="21"/>
      <c r="AH14" s="21"/>
      <c r="AI14" s="21"/>
      <c r="AJ14" s="21"/>
      <c r="AK14" s="21"/>
      <c r="AL14" s="21"/>
      <c r="AM14" s="21"/>
      <c r="AN14" s="21"/>
      <c r="AO14" s="21"/>
    </row>
    <row r="15" spans="1:43" x14ac:dyDescent="0.2">
      <c r="B15" s="20"/>
      <c r="C15" s="20"/>
      <c r="D15" s="20"/>
      <c r="E15" s="646" t="s">
        <v>693</v>
      </c>
      <c r="F15" s="92"/>
      <c r="G15" s="92"/>
      <c r="H15" s="92"/>
      <c r="I15" s="92"/>
      <c r="J15" s="647" t="s">
        <v>1205</v>
      </c>
      <c r="K15" s="92"/>
      <c r="L15" s="95" t="s">
        <v>465</v>
      </c>
      <c r="M15" s="92"/>
      <c r="N15" s="178"/>
      <c r="O15" s="178"/>
      <c r="P15" s="93">
        <f>SUM(P13:P14)</f>
        <v>11247</v>
      </c>
      <c r="Q15" s="93">
        <f>SUM(Q13:Q14)</f>
        <v>181696</v>
      </c>
      <c r="R15" s="93">
        <f t="shared" ref="R15" si="2">SUM(R13:R14)</f>
        <v>181801</v>
      </c>
      <c r="S15" s="178"/>
      <c r="T15" s="178"/>
      <c r="U15" s="178"/>
      <c r="V15" s="178"/>
      <c r="W15" s="178"/>
      <c r="X15" s="178"/>
      <c r="Y15" s="178"/>
      <c r="Z15" s="178"/>
      <c r="AA15" s="178"/>
      <c r="AB15" s="178"/>
      <c r="AC15" s="178"/>
      <c r="AD15" s="178"/>
      <c r="AE15" s="21"/>
      <c r="AF15" s="21"/>
      <c r="AG15" s="21"/>
      <c r="AH15" s="21"/>
      <c r="AI15" s="21"/>
      <c r="AJ15" s="21"/>
      <c r="AK15" s="21"/>
      <c r="AL15" s="21"/>
      <c r="AM15" s="21"/>
      <c r="AN15" s="21"/>
      <c r="AO15" s="21"/>
    </row>
    <row r="16" spans="1:43" x14ac:dyDescent="0.2">
      <c r="B16" s="20"/>
      <c r="C16" s="20"/>
      <c r="D16" s="20"/>
      <c r="E16" s="20"/>
      <c r="F16" s="97"/>
      <c r="G16" s="97"/>
      <c r="H16" s="97"/>
      <c r="I16" s="97"/>
      <c r="J16" s="201"/>
      <c r="K16" s="97"/>
      <c r="L16" s="99"/>
      <c r="M16" s="97"/>
      <c r="N16" s="21"/>
      <c r="O16" s="21"/>
      <c r="P16" s="101"/>
      <c r="Q16" s="101"/>
      <c r="R16" s="101"/>
      <c r="S16" s="21"/>
      <c r="T16" s="21"/>
      <c r="U16" s="21"/>
      <c r="V16" s="21"/>
      <c r="W16" s="21"/>
      <c r="X16" s="21"/>
      <c r="Y16" s="21"/>
      <c r="Z16" s="21"/>
      <c r="AA16" s="21"/>
      <c r="AB16" s="21"/>
      <c r="AC16" s="21"/>
      <c r="AD16" s="21"/>
      <c r="AE16" s="21"/>
      <c r="AF16" s="21"/>
      <c r="AG16" s="21"/>
      <c r="AH16" s="21"/>
      <c r="AI16" s="21"/>
      <c r="AJ16" s="21"/>
      <c r="AK16" s="21"/>
      <c r="AL16" s="21"/>
      <c r="AM16" s="21"/>
      <c r="AN16" s="21"/>
      <c r="AO16" s="21"/>
    </row>
    <row r="17" spans="2:41" x14ac:dyDescent="0.2">
      <c r="B17" s="20"/>
      <c r="C17" s="20"/>
      <c r="D17" s="20"/>
      <c r="E17" s="20" t="s">
        <v>779</v>
      </c>
      <c r="F17" s="97"/>
      <c r="G17" s="97"/>
      <c r="H17" s="97"/>
      <c r="I17" s="97"/>
      <c r="J17" s="201"/>
      <c r="K17" s="97"/>
      <c r="L17" s="99"/>
      <c r="M17" s="97"/>
      <c r="N17" s="21"/>
      <c r="O17" s="21"/>
      <c r="P17" s="101"/>
      <c r="Q17" s="101"/>
      <c r="R17" s="101"/>
      <c r="S17" s="21"/>
      <c r="T17" s="21"/>
      <c r="U17" s="21"/>
      <c r="V17" s="21"/>
      <c r="W17" s="21"/>
      <c r="X17" s="21"/>
      <c r="Y17" s="21"/>
      <c r="Z17" s="21"/>
      <c r="AA17" s="21"/>
      <c r="AB17" s="21"/>
      <c r="AC17" s="21"/>
      <c r="AD17" s="21"/>
      <c r="AE17" s="21"/>
      <c r="AF17" s="21"/>
      <c r="AG17" s="21"/>
      <c r="AH17" s="21"/>
      <c r="AI17" s="21"/>
      <c r="AJ17" s="21"/>
      <c r="AK17" s="21"/>
      <c r="AL17" s="21"/>
      <c r="AM17" s="21"/>
      <c r="AN17" s="21"/>
      <c r="AO17" s="21"/>
    </row>
    <row r="18" spans="2:41" x14ac:dyDescent="0.2">
      <c r="B18" s="20"/>
      <c r="C18" s="20"/>
      <c r="D18" s="20"/>
      <c r="E18" s="357" t="s">
        <v>783</v>
      </c>
      <c r="F18" s="97"/>
      <c r="G18" s="97"/>
      <c r="H18" s="97"/>
      <c r="I18" s="97"/>
      <c r="J18" s="201" t="s">
        <v>1205</v>
      </c>
      <c r="K18" s="97"/>
      <c r="L18" s="99" t="s">
        <v>826</v>
      </c>
      <c r="M18" s="97"/>
      <c r="N18" s="21"/>
      <c r="O18" s="21"/>
      <c r="P18" s="101">
        <v>0</v>
      </c>
      <c r="Q18" s="101">
        <v>-58432</v>
      </c>
      <c r="R18" s="101">
        <v>-63945</v>
      </c>
      <c r="S18" s="21"/>
      <c r="T18" s="21"/>
      <c r="U18" s="21"/>
      <c r="V18" s="21"/>
      <c r="W18" s="21"/>
      <c r="X18" s="21"/>
      <c r="Y18" s="21"/>
      <c r="Z18" s="21"/>
      <c r="AA18" s="21"/>
      <c r="AB18" s="21"/>
      <c r="AC18" s="21"/>
      <c r="AD18" s="21"/>
      <c r="AE18" s="21"/>
      <c r="AF18" s="21"/>
      <c r="AG18" s="21"/>
      <c r="AH18" s="21"/>
      <c r="AI18" s="21"/>
      <c r="AJ18" s="21"/>
      <c r="AK18" s="21"/>
      <c r="AL18" s="21"/>
      <c r="AM18" s="21"/>
      <c r="AN18" s="21"/>
      <c r="AO18" s="21"/>
    </row>
    <row r="19" spans="2:41" x14ac:dyDescent="0.2">
      <c r="B19" s="20"/>
      <c r="C19" s="20"/>
      <c r="D19" s="20"/>
      <c r="E19" s="357" t="s">
        <v>780</v>
      </c>
      <c r="F19" s="97"/>
      <c r="G19" s="97"/>
      <c r="H19" s="97"/>
      <c r="I19" s="97"/>
      <c r="J19" s="201" t="s">
        <v>1205</v>
      </c>
      <c r="K19" s="97"/>
      <c r="L19" s="99" t="s">
        <v>784</v>
      </c>
      <c r="M19" s="97"/>
      <c r="N19" s="21"/>
      <c r="O19" s="21"/>
      <c r="P19" s="101">
        <v>0</v>
      </c>
      <c r="Q19" s="101">
        <v>-66546</v>
      </c>
      <c r="R19" s="101">
        <v>-77238</v>
      </c>
      <c r="S19" s="21"/>
      <c r="T19" s="21"/>
      <c r="U19" s="21"/>
      <c r="V19" s="21"/>
      <c r="W19" s="21"/>
      <c r="X19" s="21"/>
      <c r="Y19" s="21"/>
      <c r="Z19" s="21"/>
      <c r="AA19" s="21"/>
      <c r="AB19" s="21"/>
      <c r="AC19" s="21"/>
      <c r="AD19" s="21"/>
      <c r="AE19" s="21"/>
      <c r="AF19" s="21"/>
      <c r="AG19" s="21"/>
      <c r="AH19" s="21"/>
      <c r="AI19" s="21"/>
      <c r="AJ19" s="21"/>
      <c r="AK19" s="21"/>
      <c r="AL19" s="21"/>
      <c r="AM19" s="21"/>
      <c r="AN19" s="21"/>
      <c r="AO19" s="21"/>
    </row>
    <row r="21" spans="2:41" x14ac:dyDescent="0.2">
      <c r="B21" s="20"/>
      <c r="C21" s="20"/>
      <c r="D21" s="20"/>
      <c r="E21" s="357" t="s">
        <v>776</v>
      </c>
      <c r="F21" s="97"/>
      <c r="G21" s="97"/>
      <c r="H21" s="97"/>
      <c r="I21" s="97"/>
      <c r="J21" s="201" t="s">
        <v>1205</v>
      </c>
      <c r="K21" s="97"/>
      <c r="L21" s="99" t="s">
        <v>466</v>
      </c>
      <c r="M21" s="97"/>
      <c r="N21" s="21"/>
      <c r="O21" s="21"/>
      <c r="P21" s="25">
        <v>1158</v>
      </c>
      <c r="Q21" s="25">
        <v>76498</v>
      </c>
      <c r="R21" s="25">
        <v>72175</v>
      </c>
      <c r="S21" s="21"/>
      <c r="T21" s="21"/>
      <c r="U21" s="21"/>
      <c r="V21" s="21"/>
      <c r="W21" s="21"/>
      <c r="X21" s="21"/>
      <c r="Y21" s="21"/>
      <c r="Z21" s="21"/>
      <c r="AA21" s="21"/>
      <c r="AB21" s="21"/>
      <c r="AC21" s="21"/>
      <c r="AD21" s="21"/>
      <c r="AE21" s="21"/>
      <c r="AF21" s="21"/>
      <c r="AG21" s="21"/>
      <c r="AH21" s="21"/>
      <c r="AI21" s="21"/>
      <c r="AJ21" s="21"/>
      <c r="AK21" s="21"/>
      <c r="AL21" s="21"/>
      <c r="AM21" s="21"/>
      <c r="AN21" s="21"/>
      <c r="AO21" s="21"/>
    </row>
    <row r="22" spans="2:41" x14ac:dyDescent="0.2">
      <c r="B22" s="20"/>
      <c r="C22" s="20"/>
      <c r="D22" s="20"/>
      <c r="E22" s="357" t="s">
        <v>782</v>
      </c>
      <c r="F22" s="97"/>
      <c r="G22" s="97"/>
      <c r="H22" s="97"/>
      <c r="I22" s="97"/>
      <c r="J22" s="201" t="s">
        <v>1205</v>
      </c>
      <c r="K22" s="97"/>
      <c r="L22" s="99" t="s">
        <v>787</v>
      </c>
      <c r="M22" s="97"/>
      <c r="N22" s="21"/>
      <c r="O22" s="21"/>
      <c r="P22" s="25">
        <f>-5023</f>
        <v>-5023</v>
      </c>
      <c r="Q22" s="25">
        <v>-9898</v>
      </c>
      <c r="R22" s="25">
        <v>-4968</v>
      </c>
      <c r="S22" s="21"/>
      <c r="T22" s="21"/>
      <c r="U22" s="21"/>
      <c r="V22" s="21"/>
      <c r="W22" s="21"/>
      <c r="X22" s="21"/>
      <c r="Y22" s="21"/>
      <c r="Z22" s="21"/>
      <c r="AA22" s="21"/>
      <c r="AB22" s="21"/>
      <c r="AC22" s="21"/>
      <c r="AD22" s="21"/>
      <c r="AE22" s="21"/>
      <c r="AF22" s="21"/>
      <c r="AG22" s="21"/>
      <c r="AH22" s="21"/>
      <c r="AI22" s="21"/>
      <c r="AJ22" s="21"/>
      <c r="AK22" s="21"/>
      <c r="AL22" s="21"/>
      <c r="AM22" s="21"/>
      <c r="AN22" s="21"/>
      <c r="AO22" s="21"/>
    </row>
    <row r="23" spans="2:41" x14ac:dyDescent="0.2">
      <c r="B23" s="20"/>
      <c r="C23" s="20"/>
      <c r="D23" s="20"/>
      <c r="E23" s="357"/>
      <c r="F23" s="97"/>
      <c r="G23" s="97"/>
      <c r="H23" s="97"/>
      <c r="I23" s="97"/>
      <c r="J23" s="201"/>
      <c r="K23" s="97"/>
      <c r="L23" s="99"/>
      <c r="M23" s="97"/>
      <c r="N23" s="21"/>
      <c r="O23" s="21"/>
      <c r="P23" s="25"/>
      <c r="Q23" s="25"/>
      <c r="R23" s="25"/>
      <c r="S23" s="21"/>
      <c r="T23" s="21"/>
      <c r="U23" s="21"/>
      <c r="V23" s="21"/>
      <c r="W23" s="21"/>
      <c r="X23" s="21"/>
      <c r="Y23" s="21"/>
      <c r="Z23" s="21"/>
      <c r="AA23" s="21"/>
      <c r="AB23" s="21"/>
      <c r="AC23" s="21"/>
      <c r="AD23" s="21"/>
      <c r="AE23" s="21"/>
      <c r="AF23" s="21"/>
      <c r="AG23" s="21"/>
      <c r="AH23" s="21"/>
      <c r="AI23" s="21"/>
      <c r="AJ23" s="21"/>
      <c r="AK23" s="21"/>
      <c r="AL23" s="21"/>
      <c r="AM23" s="21"/>
      <c r="AN23" s="21"/>
      <c r="AO23" s="21"/>
    </row>
    <row r="24" spans="2:41" ht="12.6" x14ac:dyDescent="0.25">
      <c r="B24" s="20"/>
      <c r="C24" s="20"/>
      <c r="D24" s="20"/>
      <c r="E24" s="62" t="s">
        <v>12</v>
      </c>
      <c r="F24" s="28"/>
      <c r="G24" s="28"/>
      <c r="H24" s="28"/>
      <c r="I24" s="28"/>
      <c r="J24" s="202" t="s">
        <v>1205</v>
      </c>
      <c r="K24" s="28"/>
      <c r="L24" s="30" t="s">
        <v>42</v>
      </c>
      <c r="M24" s="28"/>
      <c r="N24" s="130"/>
      <c r="O24" s="130"/>
      <c r="P24" s="325">
        <f>P15+SUM(P18:P22)</f>
        <v>7382</v>
      </c>
      <c r="Q24" s="325">
        <f t="shared" ref="Q24:AD24" si="3">Q15+SUM(Q18:Q22)</f>
        <v>123318</v>
      </c>
      <c r="R24" s="325">
        <f t="shared" ref="R24" si="4">R15+SUM(R18:R22)</f>
        <v>107825</v>
      </c>
      <c r="S24" s="325">
        <f t="shared" si="3"/>
        <v>0</v>
      </c>
      <c r="T24" s="325">
        <f t="shared" si="3"/>
        <v>0</v>
      </c>
      <c r="U24" s="325">
        <f t="shared" si="3"/>
        <v>0</v>
      </c>
      <c r="V24" s="325">
        <f t="shared" si="3"/>
        <v>0</v>
      </c>
      <c r="W24" s="325">
        <f t="shared" si="3"/>
        <v>0</v>
      </c>
      <c r="X24" s="325">
        <f t="shared" si="3"/>
        <v>0</v>
      </c>
      <c r="Y24" s="325">
        <f t="shared" si="3"/>
        <v>0</v>
      </c>
      <c r="Z24" s="325">
        <f t="shared" si="3"/>
        <v>0</v>
      </c>
      <c r="AA24" s="325">
        <f t="shared" si="3"/>
        <v>0</v>
      </c>
      <c r="AB24" s="325">
        <f t="shared" si="3"/>
        <v>0</v>
      </c>
      <c r="AC24" s="325">
        <f t="shared" si="3"/>
        <v>0</v>
      </c>
      <c r="AD24" s="325">
        <f t="shared" si="3"/>
        <v>0</v>
      </c>
      <c r="AE24" s="21"/>
      <c r="AF24" s="21"/>
      <c r="AG24" s="21"/>
      <c r="AH24" s="21"/>
      <c r="AI24" s="21"/>
      <c r="AJ24" s="21"/>
      <c r="AK24" s="21"/>
      <c r="AL24" s="21"/>
      <c r="AM24" s="21"/>
      <c r="AN24" s="21"/>
      <c r="AO24" s="21"/>
    </row>
    <row r="25" spans="2:41" x14ac:dyDescent="0.2">
      <c r="B25" s="20"/>
      <c r="C25" s="20"/>
      <c r="D25" s="20"/>
      <c r="E25" s="47"/>
      <c r="F25" s="97"/>
      <c r="G25" s="97"/>
      <c r="H25" s="97"/>
      <c r="I25" s="97"/>
      <c r="J25" s="201"/>
      <c r="K25" s="97"/>
      <c r="L25" s="99"/>
      <c r="M25" s="97"/>
      <c r="N25" s="21"/>
      <c r="O25" s="21"/>
      <c r="P25" s="89"/>
      <c r="Q25" s="89"/>
      <c r="R25" s="89"/>
      <c r="S25" s="21"/>
      <c r="T25" s="21"/>
      <c r="U25" s="21"/>
      <c r="V25" s="21"/>
      <c r="W25" s="21"/>
      <c r="X25" s="21"/>
      <c r="Y25" s="21"/>
      <c r="Z25" s="21"/>
      <c r="AA25" s="21"/>
      <c r="AB25" s="21"/>
      <c r="AC25" s="21"/>
      <c r="AD25" s="21"/>
      <c r="AE25" s="21"/>
      <c r="AF25" s="21"/>
      <c r="AG25" s="21"/>
      <c r="AH25" s="21"/>
      <c r="AI25" s="21"/>
      <c r="AJ25" s="21"/>
      <c r="AK25" s="21"/>
      <c r="AL25" s="21"/>
      <c r="AM25" s="21"/>
      <c r="AN25" s="21"/>
      <c r="AO25" s="21"/>
    </row>
    <row r="26" spans="2:41" x14ac:dyDescent="0.2">
      <c r="B26" s="20"/>
      <c r="C26" s="20"/>
      <c r="D26" s="20"/>
      <c r="E26" s="97" t="s">
        <v>792</v>
      </c>
      <c r="F26" s="97"/>
      <c r="G26" s="97"/>
      <c r="H26" s="97"/>
      <c r="I26" s="97"/>
      <c r="J26" s="201" t="s">
        <v>1205</v>
      </c>
      <c r="K26" s="97"/>
      <c r="L26" s="99" t="s">
        <v>795</v>
      </c>
      <c r="M26" s="97"/>
      <c r="N26" s="21"/>
      <c r="O26" s="21"/>
      <c r="P26" s="101">
        <v>-1215</v>
      </c>
      <c r="Q26" s="101">
        <v>-36456</v>
      </c>
      <c r="R26" s="101">
        <v>-42122</v>
      </c>
      <c r="S26" s="21"/>
      <c r="T26" s="21"/>
      <c r="U26" s="21"/>
      <c r="V26" s="21"/>
      <c r="W26" s="21"/>
      <c r="X26" s="21"/>
      <c r="Y26" s="21"/>
      <c r="Z26" s="21"/>
      <c r="AA26" s="21"/>
      <c r="AB26" s="21"/>
      <c r="AC26" s="21"/>
      <c r="AD26" s="21"/>
      <c r="AE26" s="21"/>
      <c r="AF26" s="21"/>
      <c r="AG26" s="21"/>
      <c r="AH26" s="21"/>
      <c r="AI26" s="21"/>
      <c r="AJ26" s="21"/>
      <c r="AK26" s="21"/>
      <c r="AL26" s="21"/>
      <c r="AM26" s="21"/>
      <c r="AN26" s="21"/>
      <c r="AO26" s="21"/>
    </row>
    <row r="27" spans="2:41" x14ac:dyDescent="0.2">
      <c r="B27" s="20"/>
      <c r="C27" s="20"/>
      <c r="D27" s="20"/>
      <c r="E27" s="97" t="s">
        <v>793</v>
      </c>
      <c r="F27" s="97"/>
      <c r="G27" s="97"/>
      <c r="H27" s="97"/>
      <c r="I27" s="97"/>
      <c r="J27" s="201" t="s">
        <v>1205</v>
      </c>
      <c r="K27" s="97"/>
      <c r="L27" s="99" t="s">
        <v>791</v>
      </c>
      <c r="M27" s="97"/>
      <c r="N27" s="21"/>
      <c r="O27" s="21"/>
      <c r="P27" s="101">
        <v>-281</v>
      </c>
      <c r="Q27" s="101">
        <v>-12349</v>
      </c>
      <c r="R27" s="101">
        <v>-13936</v>
      </c>
      <c r="S27" s="21"/>
      <c r="T27" s="21"/>
      <c r="U27" s="21"/>
      <c r="V27" s="21"/>
      <c r="W27" s="21"/>
      <c r="X27" s="21"/>
      <c r="Y27" s="21"/>
      <c r="Z27" s="21"/>
      <c r="AA27" s="21"/>
      <c r="AB27" s="21"/>
      <c r="AC27" s="21"/>
      <c r="AD27" s="21"/>
      <c r="AE27" s="21"/>
      <c r="AF27" s="21"/>
      <c r="AG27" s="21"/>
      <c r="AH27" s="21"/>
      <c r="AI27" s="21"/>
      <c r="AJ27" s="21"/>
      <c r="AK27" s="21"/>
      <c r="AL27" s="21"/>
      <c r="AM27" s="21"/>
      <c r="AN27" s="21"/>
      <c r="AO27" s="21"/>
    </row>
    <row r="28" spans="2:41" x14ac:dyDescent="0.2">
      <c r="B28" s="20"/>
      <c r="C28" s="20"/>
      <c r="D28" s="20"/>
      <c r="E28" s="97"/>
      <c r="F28" s="97"/>
      <c r="G28" s="97"/>
      <c r="H28" s="97"/>
      <c r="I28" s="97"/>
      <c r="J28" s="201"/>
      <c r="K28" s="97"/>
      <c r="L28" s="99"/>
      <c r="M28" s="97"/>
      <c r="N28" s="21"/>
      <c r="O28" s="21"/>
      <c r="P28" s="101"/>
      <c r="Q28" s="101"/>
      <c r="R28" s="101"/>
      <c r="S28" s="21"/>
      <c r="T28" s="21"/>
      <c r="U28" s="21"/>
      <c r="V28" s="21"/>
      <c r="W28" s="21"/>
      <c r="X28" s="21"/>
      <c r="Y28" s="21"/>
      <c r="Z28" s="21"/>
      <c r="AA28" s="21"/>
      <c r="AB28" s="21"/>
      <c r="AC28" s="21"/>
      <c r="AD28" s="21"/>
      <c r="AE28" s="21"/>
      <c r="AF28" s="21"/>
      <c r="AG28" s="21"/>
      <c r="AH28" s="21"/>
      <c r="AI28" s="21"/>
      <c r="AJ28" s="21"/>
      <c r="AK28" s="21"/>
      <c r="AL28" s="21"/>
      <c r="AM28" s="21"/>
      <c r="AN28" s="21"/>
      <c r="AO28" s="21"/>
    </row>
    <row r="29" spans="2:41" x14ac:dyDescent="0.2">
      <c r="B29" s="20"/>
      <c r="C29" s="20"/>
      <c r="D29" s="20"/>
      <c r="E29" s="97" t="s">
        <v>785</v>
      </c>
      <c r="F29" s="97"/>
      <c r="G29" s="97"/>
      <c r="H29" s="97"/>
      <c r="I29" s="97"/>
      <c r="J29" s="201" t="s">
        <v>1205</v>
      </c>
      <c r="K29" s="97"/>
      <c r="L29" s="99" t="s">
        <v>794</v>
      </c>
      <c r="M29" s="97"/>
      <c r="N29" s="21"/>
      <c r="O29" s="21"/>
      <c r="P29" s="26">
        <v>0</v>
      </c>
      <c r="Q29" s="26">
        <f>-10272-1647</f>
        <v>-11919</v>
      </c>
      <c r="R29" s="26">
        <v>-3244</v>
      </c>
      <c r="S29" s="21"/>
      <c r="T29" s="21"/>
      <c r="U29" s="21"/>
      <c r="V29" s="21"/>
      <c r="W29" s="21"/>
      <c r="X29" s="21"/>
      <c r="Y29" s="21"/>
      <c r="Z29" s="21"/>
      <c r="AA29" s="21"/>
      <c r="AB29" s="21"/>
      <c r="AC29" s="21"/>
      <c r="AD29" s="21"/>
      <c r="AE29" s="21"/>
      <c r="AF29" s="21"/>
      <c r="AG29" s="21"/>
      <c r="AH29" s="21"/>
      <c r="AI29" s="21"/>
      <c r="AJ29" s="21"/>
      <c r="AK29" s="21"/>
      <c r="AL29" s="21"/>
      <c r="AM29" s="21"/>
      <c r="AN29" s="21"/>
      <c r="AO29" s="21"/>
    </row>
    <row r="30" spans="2:41" x14ac:dyDescent="0.2">
      <c r="B30" s="20"/>
      <c r="C30" s="20"/>
      <c r="D30" s="20"/>
      <c r="E30" s="97" t="s">
        <v>789</v>
      </c>
      <c r="F30" s="97"/>
      <c r="G30" s="97"/>
      <c r="H30" s="97"/>
      <c r="I30" s="97"/>
      <c r="J30" s="201" t="s">
        <v>1205</v>
      </c>
      <c r="K30" s="97"/>
      <c r="L30" s="99" t="s">
        <v>467</v>
      </c>
      <c r="M30" s="97"/>
      <c r="N30" s="21"/>
      <c r="O30" s="21"/>
      <c r="P30" s="101">
        <v>0</v>
      </c>
      <c r="Q30" s="101">
        <v>2232</v>
      </c>
      <c r="R30" s="101">
        <v>1339</v>
      </c>
      <c r="S30" s="21"/>
      <c r="T30" s="21"/>
      <c r="U30" s="21"/>
      <c r="V30" s="21"/>
      <c r="W30" s="21"/>
      <c r="X30" s="21"/>
      <c r="Y30" s="21"/>
      <c r="Z30" s="21"/>
      <c r="AA30" s="21"/>
      <c r="AB30" s="21"/>
      <c r="AC30" s="21"/>
      <c r="AD30" s="21"/>
      <c r="AE30" s="21"/>
      <c r="AF30" s="21"/>
      <c r="AG30" s="21"/>
      <c r="AH30" s="21"/>
      <c r="AI30" s="21"/>
      <c r="AJ30" s="21"/>
      <c r="AK30" s="21"/>
      <c r="AL30" s="21"/>
      <c r="AM30" s="21"/>
      <c r="AN30" s="21"/>
      <c r="AO30" s="21"/>
    </row>
    <row r="31" spans="2:41" x14ac:dyDescent="0.2">
      <c r="C31" s="17"/>
      <c r="D31" s="17"/>
      <c r="E31" s="1" t="s">
        <v>788</v>
      </c>
      <c r="H31" s="25"/>
      <c r="J31" s="107" t="s">
        <v>1205</v>
      </c>
      <c r="L31" s="3" t="s">
        <v>796</v>
      </c>
      <c r="M31" s="25"/>
      <c r="N31" s="25"/>
      <c r="O31" s="25"/>
      <c r="P31" s="25">
        <v>0</v>
      </c>
      <c r="Q31" s="25">
        <v>-7456</v>
      </c>
      <c r="R31" s="25">
        <v>-8465</v>
      </c>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spans="2:41" x14ac:dyDescent="0.2">
      <c r="C32" s="17"/>
      <c r="D32" s="17"/>
      <c r="E32" s="1" t="s">
        <v>790</v>
      </c>
      <c r="H32" s="25"/>
      <c r="J32" s="107" t="s">
        <v>1205</v>
      </c>
      <c r="L32" s="3" t="s">
        <v>797</v>
      </c>
      <c r="M32" s="25"/>
      <c r="N32" s="25"/>
      <c r="O32" s="25"/>
      <c r="P32" s="25">
        <v>0</v>
      </c>
      <c r="Q32" s="25">
        <v>80</v>
      </c>
      <c r="R32" s="25">
        <v>1500</v>
      </c>
      <c r="S32" s="25"/>
      <c r="T32" s="25"/>
      <c r="U32" s="25"/>
      <c r="V32" s="25"/>
      <c r="W32" s="25"/>
      <c r="X32" s="25"/>
      <c r="Y32" s="25"/>
      <c r="Z32" s="25"/>
      <c r="AA32" s="25"/>
      <c r="AB32" s="25"/>
      <c r="AC32" s="25"/>
      <c r="AD32" s="25"/>
      <c r="AE32" s="25"/>
      <c r="AF32" s="25"/>
      <c r="AG32" s="25"/>
      <c r="AH32" s="25"/>
      <c r="AI32" s="25"/>
      <c r="AJ32" s="25"/>
      <c r="AK32" s="25"/>
      <c r="AL32" s="25"/>
      <c r="AM32" s="25"/>
      <c r="AN32" s="25"/>
      <c r="AO32" s="25"/>
    </row>
    <row r="33" spans="1:46" x14ac:dyDescent="0.2">
      <c r="C33" s="17"/>
      <c r="D33" s="17"/>
      <c r="E33" s="1" t="s">
        <v>798</v>
      </c>
      <c r="H33" s="25"/>
      <c r="J33" s="107" t="s">
        <v>1205</v>
      </c>
      <c r="L33" s="3" t="s">
        <v>799</v>
      </c>
      <c r="M33" s="25"/>
      <c r="N33" s="25"/>
      <c r="O33" s="25"/>
      <c r="P33" s="25">
        <v>0</v>
      </c>
      <c r="Q33" s="25">
        <v>-2210</v>
      </c>
      <c r="R33" s="25">
        <v>-10434</v>
      </c>
      <c r="S33" s="25"/>
      <c r="T33" s="25"/>
      <c r="U33" s="25"/>
      <c r="V33" s="25"/>
      <c r="W33" s="25"/>
      <c r="X33" s="25"/>
      <c r="Y33" s="25"/>
      <c r="Z33" s="25"/>
      <c r="AA33" s="25"/>
      <c r="AB33" s="25"/>
      <c r="AC33" s="25"/>
      <c r="AD33" s="25"/>
      <c r="AE33" s="25"/>
      <c r="AF33" s="25"/>
      <c r="AG33" s="25"/>
      <c r="AH33" s="25"/>
      <c r="AI33" s="25"/>
      <c r="AJ33" s="25"/>
      <c r="AK33" s="25"/>
      <c r="AL33" s="25"/>
      <c r="AM33" s="25"/>
      <c r="AN33" s="25"/>
      <c r="AO33" s="25"/>
    </row>
    <row r="34" spans="1:46" x14ac:dyDescent="0.2">
      <c r="C34" s="17"/>
      <c r="D34" s="17"/>
      <c r="E34" s="1" t="s">
        <v>800</v>
      </c>
      <c r="H34" s="25"/>
      <c r="J34" s="107" t="s">
        <v>1205</v>
      </c>
      <c r="L34" s="3" t="s">
        <v>801</v>
      </c>
      <c r="M34" s="25"/>
      <c r="N34" s="25"/>
      <c r="O34" s="25"/>
      <c r="P34" s="25">
        <v>0</v>
      </c>
      <c r="Q34" s="25">
        <v>32</v>
      </c>
      <c r="R34" s="25">
        <f>70-43</f>
        <v>27</v>
      </c>
      <c r="S34" s="25"/>
      <c r="T34" s="25"/>
      <c r="U34" s="25"/>
      <c r="V34" s="25"/>
      <c r="W34" s="25"/>
      <c r="X34" s="25"/>
      <c r="Y34" s="25"/>
      <c r="Z34" s="25"/>
      <c r="AA34" s="25"/>
      <c r="AB34" s="25"/>
      <c r="AC34" s="25"/>
      <c r="AD34" s="25"/>
      <c r="AE34" s="25"/>
      <c r="AF34" s="25"/>
      <c r="AG34" s="25"/>
      <c r="AH34" s="25"/>
      <c r="AI34" s="25"/>
      <c r="AJ34" s="25"/>
      <c r="AK34" s="25"/>
      <c r="AL34" s="25"/>
      <c r="AM34" s="25"/>
      <c r="AN34" s="25"/>
      <c r="AO34" s="25"/>
    </row>
    <row r="35" spans="1:46" x14ac:dyDescent="0.2">
      <c r="C35" s="17"/>
      <c r="D35" s="17"/>
      <c r="E35" s="1" t="s">
        <v>802</v>
      </c>
      <c r="H35" s="25"/>
      <c r="J35" s="107" t="s">
        <v>1205</v>
      </c>
      <c r="L35" s="3" t="s">
        <v>803</v>
      </c>
      <c r="M35" s="25"/>
      <c r="N35" s="25"/>
      <c r="O35" s="25"/>
      <c r="P35" s="25">
        <v>0</v>
      </c>
      <c r="Q35" s="25">
        <v>1220</v>
      </c>
      <c r="R35" s="25">
        <v>-6935</v>
      </c>
      <c r="S35" s="25"/>
      <c r="T35" s="25"/>
      <c r="U35" s="25"/>
      <c r="V35" s="25"/>
      <c r="W35" s="25"/>
      <c r="X35" s="25"/>
      <c r="Y35" s="25"/>
      <c r="Z35" s="25"/>
      <c r="AA35" s="25"/>
      <c r="AB35" s="25"/>
      <c r="AC35" s="25"/>
      <c r="AD35" s="25"/>
      <c r="AE35" s="25"/>
      <c r="AF35" s="25"/>
      <c r="AG35" s="25"/>
      <c r="AH35" s="25"/>
      <c r="AI35" s="25"/>
      <c r="AJ35" s="25"/>
      <c r="AK35" s="25"/>
      <c r="AL35" s="25"/>
      <c r="AM35" s="25"/>
      <c r="AN35" s="25"/>
      <c r="AO35" s="25"/>
    </row>
    <row r="36" spans="1:46" x14ac:dyDescent="0.2">
      <c r="C36" s="17"/>
      <c r="D36" s="17"/>
      <c r="E36" s="1" t="s">
        <v>804</v>
      </c>
      <c r="H36" s="25"/>
      <c r="J36" s="107" t="s">
        <v>1205</v>
      </c>
      <c r="L36" s="3" t="s">
        <v>805</v>
      </c>
      <c r="M36" s="25"/>
      <c r="N36" s="25"/>
      <c r="O36" s="25"/>
      <c r="P36" s="25">
        <v>0</v>
      </c>
      <c r="Q36" s="25">
        <f>234-164</f>
        <v>70</v>
      </c>
      <c r="R36" s="25">
        <f>683-431</f>
        <v>252</v>
      </c>
      <c r="S36" s="25"/>
      <c r="T36" s="25"/>
      <c r="U36" s="25"/>
      <c r="V36" s="25"/>
      <c r="W36" s="25"/>
      <c r="X36" s="25"/>
      <c r="Y36" s="25"/>
      <c r="Z36" s="25"/>
      <c r="AA36" s="25"/>
      <c r="AB36" s="25"/>
      <c r="AC36" s="25"/>
      <c r="AD36" s="25"/>
      <c r="AE36" s="25"/>
      <c r="AF36" s="25"/>
      <c r="AG36" s="25"/>
      <c r="AH36" s="25"/>
      <c r="AI36" s="25"/>
      <c r="AJ36" s="25"/>
      <c r="AK36" s="25"/>
      <c r="AL36" s="25"/>
      <c r="AM36" s="25"/>
      <c r="AN36" s="25"/>
      <c r="AO36" s="25"/>
    </row>
    <row r="37" spans="1:46" x14ac:dyDescent="0.2">
      <c r="B37" s="20"/>
      <c r="C37" s="20"/>
      <c r="D37" s="20"/>
      <c r="E37" s="77" t="s">
        <v>781</v>
      </c>
      <c r="F37" s="20"/>
      <c r="G37" s="20"/>
      <c r="H37" s="20"/>
      <c r="I37" s="20"/>
      <c r="J37" s="201" t="s">
        <v>1205</v>
      </c>
      <c r="K37" s="20"/>
      <c r="L37" s="99" t="s">
        <v>786</v>
      </c>
      <c r="M37" s="20"/>
      <c r="N37" s="645"/>
      <c r="O37" s="645"/>
      <c r="P37" s="104">
        <v>0</v>
      </c>
      <c r="Q37" s="104">
        <v>0</v>
      </c>
      <c r="R37" s="104">
        <v>0</v>
      </c>
      <c r="S37" s="645"/>
      <c r="T37" s="645"/>
      <c r="U37" s="645"/>
      <c r="V37" s="645"/>
      <c r="W37" s="645"/>
      <c r="X37" s="645"/>
      <c r="Y37" s="645"/>
      <c r="Z37" s="645"/>
      <c r="AA37" s="645"/>
      <c r="AB37" s="645"/>
      <c r="AC37" s="645"/>
      <c r="AD37" s="645"/>
      <c r="AE37" s="645"/>
      <c r="AF37" s="21"/>
      <c r="AG37" s="21"/>
      <c r="AH37" s="21"/>
      <c r="AI37" s="21"/>
      <c r="AJ37" s="21"/>
      <c r="AK37" s="21"/>
      <c r="AL37" s="21"/>
      <c r="AM37" s="21"/>
      <c r="AN37" s="21"/>
      <c r="AO37" s="21"/>
    </row>
    <row r="38" spans="1:46" x14ac:dyDescent="0.2">
      <c r="B38" s="20"/>
      <c r="C38" s="20"/>
      <c r="D38" s="20"/>
      <c r="E38" s="357"/>
      <c r="F38" s="20"/>
      <c r="G38" s="20"/>
      <c r="H38" s="20"/>
      <c r="I38" s="20"/>
      <c r="J38" s="201"/>
      <c r="K38" s="20"/>
      <c r="L38" s="99"/>
      <c r="M38" s="20"/>
      <c r="N38" s="645"/>
      <c r="O38" s="645"/>
      <c r="P38" s="104"/>
      <c r="Q38" s="104"/>
      <c r="R38" s="104"/>
      <c r="S38" s="645"/>
      <c r="T38" s="645"/>
      <c r="U38" s="645"/>
      <c r="V38" s="645"/>
      <c r="W38" s="645"/>
      <c r="X38" s="645"/>
      <c r="Y38" s="645"/>
      <c r="Z38" s="645"/>
      <c r="AA38" s="645"/>
      <c r="AB38" s="645"/>
      <c r="AC38" s="645"/>
      <c r="AD38" s="645"/>
      <c r="AE38" s="645"/>
      <c r="AF38" s="21"/>
      <c r="AG38" s="21"/>
      <c r="AH38" s="21"/>
      <c r="AI38" s="21"/>
      <c r="AJ38" s="21"/>
      <c r="AK38" s="21"/>
      <c r="AL38" s="21"/>
      <c r="AM38" s="21"/>
      <c r="AN38" s="21"/>
      <c r="AO38" s="21"/>
    </row>
    <row r="39" spans="1:46" x14ac:dyDescent="0.2">
      <c r="B39" s="20"/>
      <c r="C39" s="20"/>
      <c r="D39" s="20"/>
      <c r="E39" s="648" t="s">
        <v>808</v>
      </c>
      <c r="F39" s="649"/>
      <c r="G39" s="649"/>
      <c r="H39" s="649"/>
      <c r="I39" s="649"/>
      <c r="J39" s="29" t="s">
        <v>1205</v>
      </c>
      <c r="K39" s="649"/>
      <c r="L39" s="30" t="s">
        <v>809</v>
      </c>
      <c r="M39" s="649"/>
      <c r="N39" s="650"/>
      <c r="O39" s="650"/>
      <c r="P39" s="100">
        <f>P24+SUM(P26:P37)</f>
        <v>5886</v>
      </c>
      <c r="Q39" s="100">
        <f t="shared" ref="Q39:R39" si="5">Q24+SUM(Q26:Q37)</f>
        <v>56562</v>
      </c>
      <c r="R39" s="100">
        <f t="shared" si="5"/>
        <v>25807</v>
      </c>
      <c r="S39" s="650"/>
      <c r="T39" s="650"/>
      <c r="U39" s="650"/>
      <c r="V39" s="650"/>
      <c r="W39" s="650"/>
      <c r="X39" s="650"/>
      <c r="Y39" s="650"/>
      <c r="Z39" s="650"/>
      <c r="AA39" s="650"/>
      <c r="AB39" s="650"/>
      <c r="AC39" s="650"/>
      <c r="AD39" s="650"/>
      <c r="AE39" s="645"/>
      <c r="AF39" s="21"/>
      <c r="AG39" s="21"/>
      <c r="AH39" s="21"/>
      <c r="AI39" s="21"/>
      <c r="AJ39" s="21"/>
      <c r="AK39" s="21"/>
      <c r="AL39" s="21"/>
      <c r="AM39" s="21"/>
      <c r="AN39" s="21"/>
      <c r="AO39" s="21"/>
    </row>
    <row r="40" spans="1:46" x14ac:dyDescent="0.2">
      <c r="B40" s="20"/>
      <c r="C40" s="20"/>
      <c r="D40" s="20"/>
      <c r="E40" s="357"/>
      <c r="F40" s="20"/>
      <c r="G40" s="20"/>
      <c r="H40" s="20"/>
      <c r="I40" s="20"/>
      <c r="J40" s="201"/>
      <c r="K40" s="20"/>
      <c r="L40" s="99"/>
      <c r="M40" s="20"/>
      <c r="N40" s="645"/>
      <c r="O40" s="645"/>
      <c r="P40" s="113"/>
      <c r="Q40" s="113"/>
      <c r="R40" s="113"/>
      <c r="S40" s="645"/>
      <c r="T40" s="645"/>
      <c r="U40" s="645"/>
      <c r="V40" s="645"/>
      <c r="W40" s="645"/>
      <c r="X40" s="645"/>
      <c r="Y40" s="645"/>
      <c r="Z40" s="645"/>
      <c r="AA40" s="645"/>
      <c r="AB40" s="645"/>
      <c r="AC40" s="645"/>
      <c r="AD40" s="645"/>
      <c r="AE40" s="645"/>
      <c r="AF40" s="21"/>
      <c r="AG40" s="21"/>
      <c r="AH40" s="21"/>
      <c r="AI40" s="21"/>
      <c r="AJ40" s="21"/>
      <c r="AK40" s="21"/>
      <c r="AL40" s="21"/>
      <c r="AM40" s="21"/>
      <c r="AN40" s="21"/>
      <c r="AO40" s="21"/>
    </row>
    <row r="41" spans="1:46" x14ac:dyDescent="0.2">
      <c r="E41" s="243" t="s">
        <v>777</v>
      </c>
      <c r="H41" s="25"/>
      <c r="J41" s="2" t="s">
        <v>1205</v>
      </c>
      <c r="L41" s="3" t="s">
        <v>778</v>
      </c>
      <c r="M41" s="25"/>
      <c r="N41" s="25"/>
      <c r="O41" s="25"/>
      <c r="P41" s="25">
        <v>-65</v>
      </c>
      <c r="Q41" s="25">
        <v>-19334</v>
      </c>
      <c r="R41" s="25">
        <v>-19555</v>
      </c>
      <c r="S41" s="25"/>
      <c r="T41" s="25"/>
      <c r="U41" s="25"/>
      <c r="V41" s="25"/>
      <c r="W41" s="25"/>
      <c r="X41" s="25"/>
      <c r="Y41" s="25"/>
      <c r="Z41" s="25"/>
      <c r="AA41" s="25"/>
      <c r="AB41" s="25"/>
      <c r="AC41" s="25"/>
      <c r="AD41" s="25"/>
      <c r="AE41" s="25"/>
      <c r="AF41" s="25"/>
      <c r="AG41" s="25"/>
      <c r="AH41" s="25"/>
      <c r="AI41" s="25"/>
      <c r="AJ41" s="25"/>
      <c r="AK41" s="25"/>
      <c r="AL41" s="25"/>
      <c r="AM41" s="25"/>
      <c r="AN41" s="25"/>
      <c r="AO41" s="25"/>
    </row>
    <row r="42" spans="1:46" x14ac:dyDescent="0.2">
      <c r="E42" s="243"/>
      <c r="H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row>
    <row r="43" spans="1:46" ht="13.2" thickBot="1" x14ac:dyDescent="0.3">
      <c r="E43" s="118" t="s">
        <v>446</v>
      </c>
      <c r="F43" s="121"/>
      <c r="G43" s="121"/>
      <c r="H43" s="122"/>
      <c r="I43" s="121"/>
      <c r="J43" s="131" t="s">
        <v>1205</v>
      </c>
      <c r="K43" s="119"/>
      <c r="L43" s="162" t="s">
        <v>43</v>
      </c>
      <c r="M43" s="120"/>
      <c r="N43" s="120"/>
      <c r="O43" s="120"/>
      <c r="P43" s="122">
        <f>P39+P41</f>
        <v>5821</v>
      </c>
      <c r="Q43" s="122">
        <f>Q39+Q41</f>
        <v>37228</v>
      </c>
      <c r="R43" s="122">
        <f>R39+R41</f>
        <v>6252</v>
      </c>
      <c r="S43" s="120"/>
      <c r="T43" s="120"/>
      <c r="U43" s="120"/>
      <c r="V43" s="120"/>
      <c r="W43" s="120"/>
      <c r="X43" s="120"/>
      <c r="Y43" s="120"/>
      <c r="Z43" s="120"/>
      <c r="AA43" s="120"/>
      <c r="AB43" s="120"/>
      <c r="AC43" s="120"/>
      <c r="AD43" s="120"/>
      <c r="AE43" s="25"/>
      <c r="AF43" s="25"/>
      <c r="AG43" s="25"/>
      <c r="AH43" s="25"/>
      <c r="AI43" s="25"/>
      <c r="AJ43" s="25"/>
      <c r="AK43" s="25"/>
      <c r="AL43" s="25"/>
      <c r="AM43" s="25"/>
      <c r="AN43" s="25"/>
      <c r="AO43" s="25"/>
    </row>
    <row r="44" spans="1:46" ht="12.75" customHeight="1" x14ac:dyDescent="0.2">
      <c r="H44" s="25"/>
      <c r="M44" s="25"/>
      <c r="N44" s="25"/>
      <c r="O44" s="61"/>
      <c r="P44" s="205"/>
      <c r="Q44" s="205"/>
      <c r="R44" s="205"/>
      <c r="S44" s="25"/>
      <c r="T44" s="25"/>
      <c r="U44" s="25"/>
      <c r="V44" s="25"/>
      <c r="W44" s="25"/>
      <c r="X44" s="25"/>
      <c r="Y44" s="25"/>
      <c r="Z44" s="25"/>
      <c r="AA44" s="25"/>
      <c r="AB44" s="25"/>
      <c r="AC44" s="25"/>
      <c r="AD44" s="25"/>
      <c r="AE44" s="25"/>
      <c r="AF44" s="25"/>
      <c r="AG44" s="25"/>
      <c r="AH44" s="25"/>
      <c r="AI44" s="25"/>
      <c r="AJ44" s="25"/>
      <c r="AK44" s="25"/>
      <c r="AL44" s="25"/>
      <c r="AM44" s="25"/>
      <c r="AN44" s="25"/>
      <c r="AO44" s="25"/>
    </row>
    <row r="45" spans="1:46" s="32" customFormat="1" ht="13.2" thickBot="1" x14ac:dyDescent="0.3">
      <c r="A45" s="35"/>
      <c r="B45" s="35"/>
      <c r="H45" s="103"/>
      <c r="J45" s="37"/>
      <c r="L45" s="38"/>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row>
    <row r="46" spans="1:46" s="97" customFormat="1" ht="13.2" thickTop="1" x14ac:dyDescent="0.25">
      <c r="A46" s="1"/>
      <c r="B46" s="39" t="s">
        <v>15</v>
      </c>
      <c r="C46" s="40"/>
      <c r="D46" s="40"/>
      <c r="E46" s="40"/>
      <c r="F46" s="41"/>
      <c r="G46" s="40"/>
      <c r="H46" s="40"/>
      <c r="I46" s="42"/>
      <c r="J46" s="42"/>
      <c r="K46" s="40"/>
      <c r="L46" s="43"/>
      <c r="M46" s="40"/>
      <c r="N46" s="42"/>
      <c r="O46" s="42"/>
      <c r="P46" s="42"/>
      <c r="Q46" s="42"/>
      <c r="R46" s="42"/>
      <c r="S46" s="42"/>
      <c r="T46" s="42"/>
      <c r="U46" s="42"/>
      <c r="V46" s="42"/>
      <c r="W46" s="42"/>
      <c r="X46" s="42"/>
      <c r="Y46" s="42"/>
      <c r="Z46" s="42"/>
      <c r="AA46" s="42"/>
      <c r="AB46" s="42"/>
      <c r="AC46" s="42"/>
      <c r="AD46" s="42"/>
      <c r="AE46" s="16"/>
      <c r="AF46" s="16"/>
      <c r="AG46" s="16"/>
      <c r="AH46" s="16"/>
      <c r="AI46" s="16"/>
      <c r="AJ46" s="16"/>
      <c r="AK46" s="16"/>
      <c r="AL46" s="16"/>
      <c r="AM46" s="16"/>
      <c r="AN46" s="16"/>
      <c r="AO46" s="16"/>
      <c r="AP46" s="1"/>
    </row>
    <row r="47" spans="1:46" ht="12.75" customHeight="1" x14ac:dyDescent="0.2">
      <c r="H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row>
    <row r="48" spans="1:46" s="18" customFormat="1" x14ac:dyDescent="0.2">
      <c r="A48" s="10"/>
      <c r="B48" s="10"/>
      <c r="C48" s="10"/>
      <c r="D48" s="10"/>
      <c r="E48" s="10"/>
      <c r="F48" s="10"/>
      <c r="G48" s="1"/>
      <c r="H48" s="1"/>
      <c r="I48" s="1"/>
      <c r="J48" s="2"/>
      <c r="K48" s="1"/>
      <c r="L48" s="3"/>
      <c r="M48" s="1"/>
      <c r="AP48" s="1"/>
      <c r="AQ48" s="1"/>
      <c r="AR48" s="1"/>
      <c r="AS48" s="1"/>
      <c r="AT48" s="1"/>
    </row>
    <row r="49" spans="1:46" s="18" customFormat="1" x14ac:dyDescent="0.2">
      <c r="A49" s="10"/>
      <c r="B49" s="10"/>
      <c r="C49" s="10"/>
      <c r="D49" s="10"/>
      <c r="E49" s="10"/>
      <c r="F49" s="10"/>
      <c r="G49" s="1"/>
      <c r="H49" s="1"/>
      <c r="I49" s="1"/>
      <c r="J49" s="2"/>
      <c r="K49" s="1"/>
      <c r="L49" s="3"/>
      <c r="M49" s="1"/>
      <c r="AP49" s="1"/>
      <c r="AQ49" s="1"/>
      <c r="AR49" s="1"/>
      <c r="AS49" s="1"/>
      <c r="AT49" s="1"/>
    </row>
    <row r="50" spans="1:46" s="18" customFormat="1" x14ac:dyDescent="0.2">
      <c r="A50" s="10"/>
      <c r="B50" s="10"/>
      <c r="C50" s="10"/>
      <c r="D50" s="10"/>
      <c r="E50" s="10"/>
      <c r="F50" s="10"/>
      <c r="G50" s="1"/>
      <c r="H50" s="1"/>
      <c r="I50" s="1"/>
      <c r="J50" s="2"/>
      <c r="K50" s="1"/>
      <c r="L50" s="3"/>
      <c r="M50" s="1"/>
      <c r="AP50" s="1"/>
      <c r="AQ50" s="1"/>
      <c r="AR50" s="1"/>
      <c r="AS50" s="1"/>
      <c r="AT50" s="1"/>
    </row>
    <row r="51" spans="1:46" s="18" customFormat="1" x14ac:dyDescent="0.2">
      <c r="A51" s="10"/>
      <c r="B51" s="10"/>
      <c r="C51" s="10"/>
      <c r="D51" s="10"/>
      <c r="E51" s="10"/>
      <c r="F51" s="10"/>
      <c r="G51" s="1"/>
      <c r="H51" s="1"/>
      <c r="I51" s="1"/>
      <c r="J51" s="2"/>
      <c r="K51" s="1"/>
      <c r="L51" s="3"/>
      <c r="M51" s="1"/>
      <c r="AP51" s="1"/>
      <c r="AQ51" s="1"/>
      <c r="AR51" s="1"/>
      <c r="AS51" s="1"/>
      <c r="AT51" s="1"/>
    </row>
    <row r="52" spans="1:46" s="18" customFormat="1" x14ac:dyDescent="0.2">
      <c r="A52" s="10"/>
      <c r="B52" s="10"/>
      <c r="C52" s="10"/>
      <c r="D52" s="10"/>
      <c r="E52" s="10"/>
      <c r="F52" s="10"/>
      <c r="G52" s="1"/>
      <c r="H52" s="1"/>
      <c r="I52" s="1"/>
      <c r="J52" s="2"/>
      <c r="K52" s="1"/>
      <c r="L52" s="3"/>
      <c r="M52" s="1"/>
      <c r="AP52" s="1"/>
      <c r="AQ52" s="1"/>
      <c r="AR52" s="1"/>
      <c r="AS52" s="1"/>
      <c r="AT52" s="1"/>
    </row>
    <row r="53" spans="1:46" s="18" customFormat="1" x14ac:dyDescent="0.2">
      <c r="A53" s="10"/>
      <c r="B53" s="10"/>
      <c r="C53" s="10"/>
      <c r="D53" s="10"/>
      <c r="E53" s="10"/>
      <c r="F53" s="10"/>
      <c r="G53" s="1"/>
      <c r="H53" s="1"/>
      <c r="I53" s="1"/>
      <c r="J53" s="2"/>
      <c r="K53" s="1"/>
      <c r="L53" s="3"/>
      <c r="M53" s="1"/>
      <c r="AP53" s="1"/>
      <c r="AQ53" s="1"/>
      <c r="AR53" s="1"/>
      <c r="AS53" s="1"/>
      <c r="AT53" s="1"/>
    </row>
    <row r="54" spans="1:46" s="18" customFormat="1" x14ac:dyDescent="0.2">
      <c r="A54" s="10"/>
      <c r="B54" s="10"/>
      <c r="C54" s="10"/>
      <c r="D54" s="10"/>
      <c r="E54" s="10"/>
      <c r="F54" s="10"/>
      <c r="G54" s="1"/>
      <c r="H54" s="1"/>
      <c r="I54" s="1"/>
      <c r="J54" s="2"/>
      <c r="K54" s="1"/>
      <c r="L54" s="3"/>
      <c r="M54" s="1"/>
      <c r="AP54" s="1"/>
      <c r="AQ54" s="1"/>
      <c r="AR54" s="1"/>
      <c r="AS54" s="1"/>
      <c r="AT54" s="1"/>
    </row>
    <row r="55" spans="1:46" s="18" customFormat="1" x14ac:dyDescent="0.2">
      <c r="A55" s="10"/>
      <c r="B55" s="10"/>
      <c r="C55" s="10"/>
      <c r="D55" s="10"/>
      <c r="E55" s="10"/>
      <c r="F55" s="10"/>
      <c r="G55" s="1"/>
      <c r="H55" s="1"/>
      <c r="I55" s="1"/>
      <c r="J55" s="2"/>
      <c r="K55" s="1"/>
      <c r="L55" s="3"/>
      <c r="M55" s="1"/>
      <c r="AP55" s="1"/>
      <c r="AQ55" s="1"/>
      <c r="AR55" s="1"/>
      <c r="AS55" s="1"/>
      <c r="AT55" s="1"/>
    </row>
    <row r="56" spans="1:46" s="18" customFormat="1" x14ac:dyDescent="0.2">
      <c r="A56" s="10"/>
      <c r="B56" s="10"/>
      <c r="C56" s="10"/>
      <c r="D56" s="10"/>
      <c r="E56" s="10"/>
      <c r="F56" s="10"/>
      <c r="G56" s="1"/>
      <c r="H56" s="1"/>
      <c r="I56" s="1"/>
      <c r="J56" s="2"/>
      <c r="K56" s="1"/>
      <c r="L56" s="3"/>
      <c r="M56" s="1"/>
      <c r="AP56" s="1"/>
      <c r="AQ56" s="1"/>
      <c r="AR56" s="1"/>
      <c r="AS56" s="1"/>
      <c r="AT56" s="1"/>
    </row>
    <row r="57" spans="1:46" s="18" customFormat="1" x14ac:dyDescent="0.2">
      <c r="A57" s="10"/>
      <c r="B57" s="10"/>
      <c r="C57" s="10"/>
      <c r="D57" s="10"/>
      <c r="E57" s="10"/>
      <c r="F57" s="10"/>
      <c r="G57" s="1"/>
      <c r="H57" s="1"/>
      <c r="I57" s="1"/>
      <c r="J57" s="2"/>
      <c r="K57" s="1"/>
      <c r="L57" s="3"/>
      <c r="M57" s="1"/>
      <c r="AP57" s="1"/>
      <c r="AQ57" s="1"/>
      <c r="AR57" s="1"/>
      <c r="AS57" s="1"/>
      <c r="AT57" s="1"/>
    </row>
    <row r="58" spans="1:46" s="18" customFormat="1" x14ac:dyDescent="0.2">
      <c r="A58" s="10"/>
      <c r="B58" s="10"/>
      <c r="C58" s="10"/>
      <c r="D58" s="10"/>
      <c r="E58" s="10"/>
      <c r="F58" s="10"/>
      <c r="G58" s="1"/>
      <c r="H58" s="1"/>
      <c r="I58" s="1"/>
      <c r="J58" s="2"/>
      <c r="K58" s="1"/>
      <c r="L58" s="3"/>
      <c r="M58" s="1"/>
      <c r="AP58" s="1"/>
      <c r="AQ58" s="1"/>
      <c r="AR58" s="1"/>
      <c r="AS58" s="1"/>
      <c r="AT58" s="1"/>
    </row>
    <row r="59" spans="1:46" s="18" customFormat="1" x14ac:dyDescent="0.2">
      <c r="A59" s="10"/>
      <c r="B59" s="10"/>
      <c r="C59" s="10"/>
      <c r="D59" s="10"/>
      <c r="E59" s="10"/>
      <c r="F59" s="10"/>
      <c r="G59" s="1"/>
      <c r="H59" s="1"/>
      <c r="I59" s="1"/>
      <c r="J59" s="2"/>
      <c r="K59" s="1"/>
      <c r="L59" s="3"/>
      <c r="M59" s="1"/>
      <c r="AP59" s="1"/>
      <c r="AQ59" s="1"/>
      <c r="AR59" s="1"/>
      <c r="AS59" s="1"/>
      <c r="AT59" s="1"/>
    </row>
    <row r="60" spans="1:46" s="18" customFormat="1" x14ac:dyDescent="0.2">
      <c r="A60" s="10"/>
      <c r="B60" s="10"/>
      <c r="C60" s="10"/>
      <c r="D60" s="10"/>
      <c r="E60" s="10"/>
      <c r="F60" s="10"/>
      <c r="G60" s="1"/>
      <c r="H60" s="1"/>
      <c r="I60" s="1"/>
      <c r="J60" s="2"/>
      <c r="K60" s="1"/>
      <c r="L60" s="3"/>
      <c r="M60" s="1"/>
      <c r="AP60" s="1"/>
      <c r="AQ60" s="1"/>
      <c r="AR60" s="1"/>
      <c r="AS60" s="1"/>
      <c r="AT60" s="1"/>
    </row>
    <row r="61" spans="1:46" s="18" customFormat="1" x14ac:dyDescent="0.2">
      <c r="A61" s="10"/>
      <c r="B61" s="10"/>
      <c r="C61" s="10"/>
      <c r="D61" s="10"/>
      <c r="E61" s="10"/>
      <c r="F61" s="10"/>
      <c r="G61" s="1"/>
      <c r="H61" s="1"/>
      <c r="I61" s="1"/>
      <c r="J61" s="2"/>
      <c r="K61" s="1"/>
      <c r="L61" s="3"/>
      <c r="M61" s="1"/>
      <c r="AP61" s="1"/>
      <c r="AQ61" s="1"/>
      <c r="AR61" s="1"/>
      <c r="AS61" s="1"/>
      <c r="AT61" s="1"/>
    </row>
    <row r="62" spans="1:46" s="18" customFormat="1" x14ac:dyDescent="0.2">
      <c r="A62" s="10"/>
      <c r="B62" s="10"/>
      <c r="C62" s="10"/>
      <c r="D62" s="10"/>
      <c r="E62" s="10"/>
      <c r="F62" s="10"/>
      <c r="G62" s="1"/>
      <c r="H62" s="1"/>
      <c r="I62" s="1"/>
      <c r="J62" s="2"/>
      <c r="K62" s="1"/>
      <c r="L62" s="3"/>
      <c r="M62" s="1"/>
      <c r="AP62" s="1"/>
      <c r="AQ62" s="1"/>
      <c r="AR62" s="1"/>
      <c r="AS62" s="1"/>
      <c r="AT62" s="1"/>
    </row>
    <row r="63" spans="1:46" s="18" customFormat="1" x14ac:dyDescent="0.2">
      <c r="A63" s="10"/>
      <c r="B63" s="10"/>
      <c r="C63" s="10"/>
      <c r="D63" s="10"/>
      <c r="E63" s="10"/>
      <c r="F63" s="10"/>
      <c r="G63" s="1"/>
      <c r="H63" s="1"/>
      <c r="I63" s="1"/>
      <c r="J63" s="2"/>
      <c r="K63" s="1"/>
      <c r="L63" s="3"/>
      <c r="M63" s="1"/>
      <c r="AP63" s="1"/>
      <c r="AQ63" s="1"/>
      <c r="AR63" s="1"/>
      <c r="AS63" s="1"/>
      <c r="AT63" s="1"/>
    </row>
    <row r="64" spans="1:46" s="18" customFormat="1" x14ac:dyDescent="0.2">
      <c r="A64" s="10"/>
      <c r="B64" s="10"/>
      <c r="C64" s="10"/>
      <c r="D64" s="10"/>
      <c r="E64" s="10"/>
      <c r="F64" s="10"/>
      <c r="G64" s="1"/>
      <c r="H64" s="1"/>
      <c r="I64" s="1"/>
      <c r="J64" s="2"/>
      <c r="K64" s="1"/>
      <c r="L64" s="3"/>
      <c r="M64" s="1"/>
      <c r="AP64" s="1"/>
      <c r="AQ64" s="1"/>
      <c r="AR64" s="1"/>
      <c r="AS64" s="1"/>
      <c r="AT64" s="1"/>
    </row>
    <row r="65" spans="1:46" s="18" customFormat="1" x14ac:dyDescent="0.2">
      <c r="A65" s="10"/>
      <c r="B65" s="10"/>
      <c r="C65" s="10"/>
      <c r="D65" s="10"/>
      <c r="E65" s="10"/>
      <c r="F65" s="10"/>
      <c r="G65" s="1"/>
      <c r="H65" s="1"/>
      <c r="I65" s="1"/>
      <c r="J65" s="2"/>
      <c r="K65" s="1"/>
      <c r="L65" s="3"/>
      <c r="M65" s="1"/>
      <c r="AP65" s="1"/>
      <c r="AQ65" s="1"/>
      <c r="AR65" s="1"/>
      <c r="AS65" s="1"/>
      <c r="AT65" s="1"/>
    </row>
    <row r="66" spans="1:46" s="18" customFormat="1" x14ac:dyDescent="0.2">
      <c r="A66" s="10"/>
      <c r="B66" s="10"/>
      <c r="C66" s="10"/>
      <c r="D66" s="10"/>
      <c r="E66" s="10"/>
      <c r="F66" s="10"/>
      <c r="G66" s="1"/>
      <c r="H66" s="1"/>
      <c r="I66" s="1"/>
      <c r="J66" s="2"/>
      <c r="K66" s="1"/>
      <c r="L66" s="3"/>
      <c r="M66" s="1"/>
      <c r="AP66" s="1"/>
      <c r="AQ66" s="1"/>
      <c r="AR66" s="1"/>
      <c r="AS66" s="1"/>
      <c r="AT66" s="1"/>
    </row>
    <row r="67" spans="1:46" s="18" customFormat="1" x14ac:dyDescent="0.2">
      <c r="A67" s="10"/>
      <c r="B67" s="10"/>
      <c r="C67" s="10"/>
      <c r="D67" s="10"/>
      <c r="E67" s="10"/>
      <c r="F67" s="10"/>
      <c r="G67" s="1"/>
      <c r="H67" s="1"/>
      <c r="I67" s="1"/>
      <c r="J67" s="2"/>
      <c r="K67" s="1"/>
      <c r="L67" s="3"/>
      <c r="M67" s="1"/>
      <c r="AP67" s="1"/>
      <c r="AQ67" s="1"/>
      <c r="AR67" s="1"/>
      <c r="AS67" s="1"/>
      <c r="AT67" s="1"/>
    </row>
    <row r="68" spans="1:46" s="18" customFormat="1" x14ac:dyDescent="0.2">
      <c r="A68" s="10"/>
      <c r="B68" s="10"/>
      <c r="C68" s="10"/>
      <c r="D68" s="10"/>
      <c r="E68" s="10"/>
      <c r="F68" s="10"/>
      <c r="G68" s="1"/>
      <c r="H68" s="1"/>
      <c r="I68" s="1"/>
      <c r="J68" s="2"/>
      <c r="K68" s="1"/>
      <c r="L68" s="3"/>
      <c r="M68" s="1"/>
      <c r="AP68" s="1"/>
      <c r="AQ68" s="1"/>
      <c r="AR68" s="1"/>
      <c r="AS68" s="1"/>
      <c r="AT68" s="1"/>
    </row>
    <row r="69" spans="1:46" s="18" customFormat="1" x14ac:dyDescent="0.2">
      <c r="A69" s="10"/>
      <c r="B69" s="10"/>
      <c r="C69" s="10"/>
      <c r="D69" s="10"/>
      <c r="E69" s="10"/>
      <c r="F69" s="10"/>
      <c r="G69" s="1"/>
      <c r="H69" s="1"/>
      <c r="I69" s="1"/>
      <c r="J69" s="2"/>
      <c r="K69" s="1"/>
      <c r="L69" s="3"/>
      <c r="M69" s="1"/>
      <c r="AP69" s="1"/>
      <c r="AQ69" s="1"/>
      <c r="AR69" s="1"/>
      <c r="AS69" s="1"/>
      <c r="AT69" s="1"/>
    </row>
    <row r="70" spans="1:46" s="18" customFormat="1" x14ac:dyDescent="0.2">
      <c r="A70" s="10"/>
      <c r="B70" s="10"/>
      <c r="C70" s="10"/>
      <c r="D70" s="10"/>
      <c r="E70" s="10"/>
      <c r="F70" s="10"/>
      <c r="G70" s="1"/>
      <c r="H70" s="1"/>
      <c r="I70" s="1"/>
      <c r="J70" s="2"/>
      <c r="K70" s="1"/>
      <c r="L70" s="3"/>
      <c r="M70" s="1"/>
      <c r="AP70" s="1"/>
      <c r="AQ70" s="1"/>
      <c r="AR70" s="1"/>
      <c r="AS70" s="1"/>
      <c r="AT70" s="1"/>
    </row>
    <row r="71" spans="1:46" s="18" customFormat="1" x14ac:dyDescent="0.2">
      <c r="A71" s="10"/>
      <c r="B71" s="10"/>
      <c r="C71" s="10"/>
      <c r="D71" s="10"/>
      <c r="E71" s="10"/>
      <c r="F71" s="10"/>
      <c r="G71" s="1"/>
      <c r="H71" s="1"/>
      <c r="I71" s="1"/>
      <c r="J71" s="2"/>
      <c r="K71" s="1"/>
      <c r="L71" s="3"/>
      <c r="M71" s="1"/>
      <c r="AP71" s="1"/>
      <c r="AQ71" s="1"/>
      <c r="AR71" s="1"/>
      <c r="AS71" s="1"/>
      <c r="AT71" s="1"/>
    </row>
    <row r="72" spans="1:46" s="18" customFormat="1" x14ac:dyDescent="0.2">
      <c r="A72" s="10"/>
      <c r="B72" s="10"/>
      <c r="C72" s="10"/>
      <c r="D72" s="10"/>
      <c r="E72" s="10"/>
      <c r="F72" s="10"/>
      <c r="G72" s="1"/>
      <c r="H72" s="1"/>
      <c r="I72" s="1"/>
      <c r="J72" s="2"/>
      <c r="K72" s="1"/>
      <c r="L72" s="3"/>
      <c r="M72" s="1"/>
      <c r="AP72" s="1"/>
      <c r="AQ72" s="1"/>
      <c r="AR72" s="1"/>
      <c r="AS72" s="1"/>
      <c r="AT72" s="1"/>
    </row>
    <row r="73" spans="1:46" s="18" customFormat="1" x14ac:dyDescent="0.2">
      <c r="A73" s="10"/>
      <c r="B73" s="10"/>
      <c r="C73" s="10"/>
      <c r="D73" s="10"/>
      <c r="E73" s="10"/>
      <c r="F73" s="10"/>
      <c r="G73" s="1"/>
      <c r="H73" s="1"/>
      <c r="I73" s="1"/>
      <c r="J73" s="2"/>
      <c r="K73" s="1"/>
      <c r="L73" s="3"/>
      <c r="M73" s="1"/>
      <c r="AP73" s="1"/>
      <c r="AQ73" s="1"/>
      <c r="AR73" s="1"/>
      <c r="AS73" s="1"/>
      <c r="AT73" s="1"/>
    </row>
    <row r="74" spans="1:46" s="18" customFormat="1" x14ac:dyDescent="0.2">
      <c r="A74" s="10"/>
      <c r="B74" s="10"/>
      <c r="C74" s="10"/>
      <c r="D74" s="10"/>
      <c r="E74" s="10"/>
      <c r="F74" s="10"/>
      <c r="G74" s="1"/>
      <c r="H74" s="1"/>
      <c r="I74" s="1"/>
      <c r="J74" s="2"/>
      <c r="K74" s="1"/>
      <c r="L74" s="3"/>
      <c r="M74" s="1"/>
      <c r="AP74" s="1"/>
      <c r="AQ74" s="1"/>
      <c r="AR74" s="1"/>
      <c r="AS74" s="1"/>
      <c r="AT74" s="1"/>
    </row>
    <row r="75" spans="1:46" s="18" customFormat="1" x14ac:dyDescent="0.2">
      <c r="A75" s="10"/>
      <c r="B75" s="10"/>
      <c r="C75" s="10"/>
      <c r="D75" s="10"/>
      <c r="E75" s="10"/>
      <c r="F75" s="10"/>
      <c r="G75" s="1"/>
      <c r="H75" s="1"/>
      <c r="I75" s="1"/>
      <c r="J75" s="2"/>
      <c r="K75" s="1"/>
      <c r="L75" s="3"/>
      <c r="M75" s="1"/>
      <c r="AP75" s="1"/>
      <c r="AQ75" s="1"/>
      <c r="AR75" s="1"/>
      <c r="AS75" s="1"/>
      <c r="AT75" s="1"/>
    </row>
    <row r="76" spans="1:46" s="18" customFormat="1" x14ac:dyDescent="0.2">
      <c r="A76" s="10"/>
      <c r="B76" s="10"/>
      <c r="C76" s="10"/>
      <c r="D76" s="10"/>
      <c r="E76" s="10"/>
      <c r="F76" s="10"/>
      <c r="G76" s="1"/>
      <c r="H76" s="1"/>
      <c r="I76" s="1"/>
      <c r="J76" s="2"/>
      <c r="K76" s="1"/>
      <c r="L76" s="3"/>
      <c r="M76" s="1"/>
      <c r="AP76" s="1"/>
      <c r="AQ76" s="1"/>
      <c r="AR76" s="1"/>
      <c r="AS76" s="1"/>
      <c r="AT76" s="1"/>
    </row>
    <row r="77" spans="1:46" s="18" customFormat="1" x14ac:dyDescent="0.2">
      <c r="A77" s="10"/>
      <c r="B77" s="10"/>
      <c r="C77" s="10"/>
      <c r="D77" s="10"/>
      <c r="E77" s="10"/>
      <c r="F77" s="10"/>
      <c r="G77" s="1"/>
      <c r="H77" s="1"/>
      <c r="I77" s="1"/>
      <c r="J77" s="2"/>
      <c r="K77" s="1"/>
      <c r="L77" s="3"/>
      <c r="M77" s="1"/>
      <c r="AP77" s="1"/>
      <c r="AQ77" s="1"/>
      <c r="AR77" s="1"/>
      <c r="AS77" s="1"/>
      <c r="AT77" s="1"/>
    </row>
    <row r="78" spans="1:46" s="18" customFormat="1" x14ac:dyDescent="0.2">
      <c r="A78" s="10"/>
      <c r="B78" s="10"/>
      <c r="C78" s="10"/>
      <c r="D78" s="10"/>
      <c r="E78" s="10"/>
      <c r="F78" s="10"/>
      <c r="G78" s="1"/>
      <c r="H78" s="1"/>
      <c r="I78" s="1"/>
      <c r="J78" s="2"/>
      <c r="K78" s="1"/>
      <c r="L78" s="3"/>
      <c r="M78" s="1"/>
      <c r="AP78" s="1"/>
      <c r="AQ78" s="1"/>
      <c r="AR78" s="1"/>
      <c r="AS78" s="1"/>
      <c r="AT78" s="1"/>
    </row>
    <row r="79" spans="1:46" s="18" customFormat="1" x14ac:dyDescent="0.2">
      <c r="A79" s="10"/>
      <c r="B79" s="10"/>
      <c r="C79" s="10"/>
      <c r="D79" s="10"/>
      <c r="E79" s="10"/>
      <c r="F79" s="10"/>
      <c r="G79" s="1"/>
      <c r="H79" s="1"/>
      <c r="I79" s="1"/>
      <c r="J79" s="2"/>
      <c r="K79" s="1"/>
      <c r="L79" s="3"/>
      <c r="M79" s="1"/>
      <c r="AP79" s="1"/>
      <c r="AQ79" s="1"/>
      <c r="AR79" s="1"/>
      <c r="AS79" s="1"/>
      <c r="AT79" s="1"/>
    </row>
    <row r="80" spans="1:46" s="18" customFormat="1" x14ac:dyDescent="0.2">
      <c r="A80" s="10"/>
      <c r="B80" s="10"/>
      <c r="C80" s="10"/>
      <c r="D80" s="10"/>
      <c r="E80" s="10"/>
      <c r="F80" s="10"/>
      <c r="G80" s="1"/>
      <c r="H80" s="1"/>
      <c r="I80" s="1"/>
      <c r="J80" s="2"/>
      <c r="K80" s="1"/>
      <c r="L80" s="3"/>
      <c r="M80" s="1"/>
      <c r="AP80" s="1"/>
      <c r="AQ80" s="1"/>
      <c r="AR80" s="1"/>
      <c r="AS80" s="1"/>
      <c r="AT80" s="1"/>
    </row>
    <row r="81" spans="1:46" s="18" customFormat="1" x14ac:dyDescent="0.2">
      <c r="A81" s="10"/>
      <c r="B81" s="10"/>
      <c r="C81" s="10"/>
      <c r="D81" s="10"/>
      <c r="E81" s="10"/>
      <c r="F81" s="10"/>
      <c r="G81" s="1"/>
      <c r="H81" s="1"/>
      <c r="I81" s="1"/>
      <c r="J81" s="2"/>
      <c r="K81" s="1"/>
      <c r="L81" s="3"/>
      <c r="M81" s="1"/>
      <c r="AP81" s="1"/>
      <c r="AQ81" s="1"/>
      <c r="AR81" s="1"/>
      <c r="AS81" s="1"/>
      <c r="AT81" s="1"/>
    </row>
    <row r="82" spans="1:46" s="18" customFormat="1" x14ac:dyDescent="0.2">
      <c r="A82" s="10"/>
      <c r="B82" s="10"/>
      <c r="C82" s="10"/>
      <c r="D82" s="10"/>
      <c r="E82" s="10"/>
      <c r="F82" s="10"/>
      <c r="G82" s="1"/>
      <c r="H82" s="1"/>
      <c r="I82" s="1"/>
      <c r="J82" s="2"/>
      <c r="K82" s="1"/>
      <c r="L82" s="3"/>
      <c r="M82" s="1"/>
      <c r="AP82" s="1"/>
      <c r="AQ82" s="1"/>
      <c r="AR82" s="1"/>
      <c r="AS82" s="1"/>
      <c r="AT82" s="1"/>
    </row>
    <row r="83" spans="1:46" s="18" customFormat="1" x14ac:dyDescent="0.2">
      <c r="A83" s="10"/>
      <c r="B83" s="10"/>
      <c r="C83" s="10"/>
      <c r="D83" s="10"/>
      <c r="E83" s="10"/>
      <c r="F83" s="10"/>
      <c r="G83" s="1"/>
      <c r="H83" s="1"/>
      <c r="I83" s="1"/>
      <c r="J83" s="2"/>
      <c r="K83" s="1"/>
      <c r="L83" s="3"/>
      <c r="M83" s="1"/>
      <c r="AP83" s="1"/>
      <c r="AQ83" s="1"/>
      <c r="AR83" s="1"/>
      <c r="AS83" s="1"/>
      <c r="AT83" s="1"/>
    </row>
    <row r="84" spans="1:46" s="18" customFormat="1" x14ac:dyDescent="0.2">
      <c r="A84" s="10"/>
      <c r="B84" s="10"/>
      <c r="C84" s="10"/>
      <c r="D84" s="10"/>
      <c r="E84" s="10"/>
      <c r="F84" s="10"/>
      <c r="G84" s="1"/>
      <c r="H84" s="1"/>
      <c r="I84" s="1"/>
      <c r="J84" s="2"/>
      <c r="K84" s="1"/>
      <c r="L84" s="3"/>
      <c r="M84" s="1"/>
      <c r="AP84" s="1"/>
      <c r="AQ84" s="1"/>
      <c r="AR84" s="1"/>
      <c r="AS84" s="1"/>
      <c r="AT84" s="1"/>
    </row>
    <row r="85" spans="1:46" s="18" customFormat="1" x14ac:dyDescent="0.2">
      <c r="A85" s="10"/>
      <c r="B85" s="10"/>
      <c r="C85" s="10"/>
      <c r="D85" s="10"/>
      <c r="E85" s="10"/>
      <c r="F85" s="10"/>
      <c r="G85" s="1"/>
      <c r="H85" s="1"/>
      <c r="I85" s="1"/>
      <c r="J85" s="2"/>
      <c r="K85" s="1"/>
      <c r="L85" s="3"/>
      <c r="M85" s="1"/>
      <c r="AP85" s="1"/>
      <c r="AQ85" s="1"/>
      <c r="AR85" s="1"/>
      <c r="AS85" s="1"/>
      <c r="AT85" s="1"/>
    </row>
    <row r="86" spans="1:46" s="18" customFormat="1" x14ac:dyDescent="0.2">
      <c r="A86" s="10"/>
      <c r="B86" s="10"/>
      <c r="C86" s="10"/>
      <c r="D86" s="10"/>
      <c r="E86" s="10"/>
      <c r="F86" s="10"/>
      <c r="G86" s="1"/>
      <c r="H86" s="1"/>
      <c r="I86" s="1"/>
      <c r="J86" s="2"/>
      <c r="K86" s="1"/>
      <c r="L86" s="3"/>
      <c r="M86" s="1"/>
      <c r="AP86" s="1"/>
      <c r="AQ86" s="1"/>
      <c r="AR86" s="1"/>
      <c r="AS86" s="1"/>
      <c r="AT86" s="1"/>
    </row>
    <row r="87" spans="1:46" s="18" customFormat="1" x14ac:dyDescent="0.2">
      <c r="A87" s="10"/>
      <c r="B87" s="10"/>
      <c r="C87" s="10"/>
      <c r="D87" s="10"/>
      <c r="E87" s="10"/>
      <c r="F87" s="10"/>
      <c r="G87" s="1"/>
      <c r="H87" s="1"/>
      <c r="I87" s="1"/>
      <c r="J87" s="2"/>
      <c r="K87" s="1"/>
      <c r="L87" s="3"/>
      <c r="M87" s="1"/>
      <c r="AP87" s="1"/>
      <c r="AQ87" s="1"/>
      <c r="AR87" s="1"/>
      <c r="AS87" s="1"/>
      <c r="AT87" s="1"/>
    </row>
    <row r="88" spans="1:46" s="18" customFormat="1" x14ac:dyDescent="0.2">
      <c r="A88" s="10"/>
      <c r="B88" s="10"/>
      <c r="C88" s="10"/>
      <c r="D88" s="10"/>
      <c r="E88" s="10"/>
      <c r="F88" s="10"/>
      <c r="G88" s="1"/>
      <c r="H88" s="1"/>
      <c r="I88" s="1"/>
      <c r="J88" s="2"/>
      <c r="K88" s="1"/>
      <c r="L88" s="3"/>
      <c r="M88" s="1"/>
      <c r="AP88" s="1"/>
      <c r="AQ88" s="1"/>
      <c r="AR88" s="1"/>
      <c r="AS88" s="1"/>
      <c r="AT88" s="1"/>
    </row>
    <row r="89" spans="1:46" s="18" customFormat="1" x14ac:dyDescent="0.2">
      <c r="A89" s="10"/>
      <c r="B89" s="10"/>
      <c r="C89" s="10"/>
      <c r="D89" s="10"/>
      <c r="E89" s="10"/>
      <c r="F89" s="10"/>
      <c r="G89" s="1"/>
      <c r="H89" s="1"/>
      <c r="I89" s="1"/>
      <c r="J89" s="2"/>
      <c r="K89" s="1"/>
      <c r="L89" s="3"/>
      <c r="M89" s="1"/>
      <c r="AP89" s="1"/>
      <c r="AQ89" s="1"/>
      <c r="AR89" s="1"/>
      <c r="AS89" s="1"/>
      <c r="AT89" s="1"/>
    </row>
    <row r="90" spans="1:46" s="18" customFormat="1" x14ac:dyDescent="0.2">
      <c r="A90" s="10"/>
      <c r="B90" s="10"/>
      <c r="C90" s="10"/>
      <c r="D90" s="10"/>
      <c r="E90" s="10"/>
      <c r="F90" s="10"/>
      <c r="G90" s="1"/>
      <c r="H90" s="1"/>
      <c r="I90" s="1"/>
      <c r="J90" s="2"/>
      <c r="K90" s="1"/>
      <c r="L90" s="3"/>
      <c r="M90" s="1"/>
      <c r="AP90" s="1"/>
      <c r="AQ90" s="1"/>
      <c r="AR90" s="1"/>
      <c r="AS90" s="1"/>
      <c r="AT90" s="1"/>
    </row>
    <row r="91" spans="1:46" s="18" customFormat="1" x14ac:dyDescent="0.2">
      <c r="A91" s="10"/>
      <c r="B91" s="10"/>
      <c r="C91" s="10"/>
      <c r="D91" s="10"/>
      <c r="E91" s="10"/>
      <c r="F91" s="10"/>
      <c r="G91" s="1"/>
      <c r="H91" s="1"/>
      <c r="I91" s="1"/>
      <c r="J91" s="2"/>
      <c r="K91" s="1"/>
      <c r="L91" s="3"/>
      <c r="M91" s="1"/>
      <c r="AP91" s="1"/>
      <c r="AQ91" s="1"/>
      <c r="AR91" s="1"/>
      <c r="AS91" s="1"/>
      <c r="AT91" s="1"/>
    </row>
    <row r="92" spans="1:46" s="18" customFormat="1" x14ac:dyDescent="0.2">
      <c r="A92" s="10"/>
      <c r="B92" s="10"/>
      <c r="C92" s="10"/>
      <c r="D92" s="10"/>
      <c r="E92" s="10"/>
      <c r="F92" s="10"/>
      <c r="G92" s="1"/>
      <c r="H92" s="1"/>
      <c r="I92" s="1"/>
      <c r="J92" s="2"/>
      <c r="K92" s="1"/>
      <c r="L92" s="3"/>
      <c r="M92" s="1"/>
      <c r="AP92" s="1"/>
      <c r="AQ92" s="1"/>
      <c r="AR92" s="1"/>
      <c r="AS92" s="1"/>
      <c r="AT92" s="1"/>
    </row>
    <row r="93" spans="1:46" s="18" customFormat="1" x14ac:dyDescent="0.2">
      <c r="A93" s="10"/>
      <c r="B93" s="10"/>
      <c r="C93" s="10"/>
      <c r="D93" s="10"/>
      <c r="E93" s="10"/>
      <c r="F93" s="10"/>
      <c r="G93" s="1"/>
      <c r="H93" s="1"/>
      <c r="I93" s="1"/>
      <c r="J93" s="2"/>
      <c r="K93" s="1"/>
      <c r="L93" s="3"/>
      <c r="M93" s="1"/>
      <c r="AP93" s="1"/>
      <c r="AQ93" s="1"/>
      <c r="AR93" s="1"/>
      <c r="AS93" s="1"/>
      <c r="AT93" s="1"/>
    </row>
    <row r="94" spans="1:46" s="18" customFormat="1" x14ac:dyDescent="0.2">
      <c r="A94" s="10"/>
      <c r="B94" s="10"/>
      <c r="C94" s="10"/>
      <c r="D94" s="10"/>
      <c r="E94" s="10"/>
      <c r="F94" s="10"/>
      <c r="G94" s="1"/>
      <c r="H94" s="1"/>
      <c r="I94" s="1"/>
      <c r="J94" s="2"/>
      <c r="K94" s="1"/>
      <c r="L94" s="3"/>
      <c r="M94" s="1"/>
      <c r="AP94" s="1"/>
      <c r="AQ94" s="1"/>
      <c r="AR94" s="1"/>
      <c r="AS94" s="1"/>
      <c r="AT94" s="1"/>
    </row>
    <row r="95" spans="1:46" s="18" customFormat="1" x14ac:dyDescent="0.2">
      <c r="A95" s="10"/>
      <c r="B95" s="10"/>
      <c r="C95" s="10"/>
      <c r="D95" s="10"/>
      <c r="E95" s="10"/>
      <c r="F95" s="10"/>
      <c r="G95" s="1"/>
      <c r="H95" s="1"/>
      <c r="I95" s="1"/>
      <c r="J95" s="2"/>
      <c r="K95" s="1"/>
      <c r="L95" s="3"/>
      <c r="M95" s="1"/>
      <c r="AP95" s="1"/>
      <c r="AQ95" s="1"/>
      <c r="AR95" s="1"/>
      <c r="AS95" s="1"/>
      <c r="AT95" s="1"/>
    </row>
    <row r="96" spans="1:46" s="18" customFormat="1" x14ac:dyDescent="0.2">
      <c r="A96" s="10"/>
      <c r="B96" s="10"/>
      <c r="C96" s="10"/>
      <c r="D96" s="10"/>
      <c r="E96" s="10"/>
      <c r="F96" s="10"/>
      <c r="G96" s="1"/>
      <c r="H96" s="1"/>
      <c r="I96" s="1"/>
      <c r="J96" s="2"/>
      <c r="K96" s="1"/>
      <c r="L96" s="3"/>
      <c r="M96" s="1"/>
      <c r="AP96" s="1"/>
      <c r="AQ96" s="1"/>
      <c r="AR96" s="1"/>
      <c r="AS96" s="1"/>
      <c r="AT96" s="1"/>
    </row>
    <row r="97" spans="1:46" s="18" customFormat="1" x14ac:dyDescent="0.2">
      <c r="A97" s="10"/>
      <c r="B97" s="10"/>
      <c r="C97" s="10"/>
      <c r="D97" s="10"/>
      <c r="E97" s="10"/>
      <c r="F97" s="10"/>
      <c r="G97" s="1"/>
      <c r="H97" s="1"/>
      <c r="I97" s="1"/>
      <c r="J97" s="2"/>
      <c r="K97" s="1"/>
      <c r="L97" s="3"/>
      <c r="M97" s="1"/>
      <c r="AP97" s="1"/>
      <c r="AQ97" s="1"/>
      <c r="AR97" s="1"/>
      <c r="AS97" s="1"/>
      <c r="AT97" s="1"/>
    </row>
    <row r="98" spans="1:46" s="18" customFormat="1" x14ac:dyDescent="0.2">
      <c r="A98" s="10"/>
      <c r="B98" s="10"/>
      <c r="C98" s="10"/>
      <c r="D98" s="10"/>
      <c r="E98" s="10"/>
      <c r="F98" s="10"/>
      <c r="G98" s="1"/>
      <c r="H98" s="1"/>
      <c r="I98" s="1"/>
      <c r="J98" s="2"/>
      <c r="K98" s="1"/>
      <c r="L98" s="3"/>
      <c r="M98" s="1"/>
      <c r="AP98" s="1"/>
      <c r="AQ98" s="1"/>
      <c r="AR98" s="1"/>
      <c r="AS98" s="1"/>
      <c r="AT98" s="1"/>
    </row>
    <row r="99" spans="1:46" s="18" customFormat="1" x14ac:dyDescent="0.2">
      <c r="A99" s="10"/>
      <c r="B99" s="10"/>
      <c r="C99" s="10"/>
      <c r="D99" s="10"/>
      <c r="E99" s="10"/>
      <c r="F99" s="10"/>
      <c r="G99" s="1"/>
      <c r="H99" s="1"/>
      <c r="I99" s="1"/>
      <c r="J99" s="2"/>
      <c r="K99" s="1"/>
      <c r="L99" s="3"/>
      <c r="M99" s="1"/>
      <c r="AP99" s="1"/>
      <c r="AQ99" s="1"/>
      <c r="AR99" s="1"/>
      <c r="AS99" s="1"/>
      <c r="AT99" s="1"/>
    </row>
    <row r="100" spans="1:46" s="18" customFormat="1" x14ac:dyDescent="0.2">
      <c r="A100" s="10"/>
      <c r="B100" s="10"/>
      <c r="C100" s="10"/>
      <c r="D100" s="10"/>
      <c r="E100" s="10"/>
      <c r="F100" s="10"/>
      <c r="G100" s="1"/>
      <c r="H100" s="1"/>
      <c r="I100" s="1"/>
      <c r="J100" s="2"/>
      <c r="K100" s="1"/>
      <c r="L100" s="3"/>
      <c r="M100" s="1"/>
      <c r="AP100" s="1"/>
      <c r="AQ100" s="1"/>
      <c r="AR100" s="1"/>
      <c r="AS100" s="1"/>
      <c r="AT100" s="1"/>
    </row>
    <row r="101" spans="1:46" s="18" customFormat="1" x14ac:dyDescent="0.2">
      <c r="A101" s="10"/>
      <c r="B101" s="10"/>
      <c r="C101" s="10"/>
      <c r="D101" s="10"/>
      <c r="E101" s="10"/>
      <c r="F101" s="10"/>
      <c r="G101" s="1"/>
      <c r="H101" s="1"/>
      <c r="I101" s="1"/>
      <c r="J101" s="2"/>
      <c r="K101" s="1"/>
      <c r="L101" s="3"/>
      <c r="M101" s="1"/>
      <c r="AP101" s="1"/>
      <c r="AQ101" s="1"/>
      <c r="AR101" s="1"/>
      <c r="AS101" s="1"/>
      <c r="AT101" s="1"/>
    </row>
    <row r="102" spans="1:46" s="18" customFormat="1" x14ac:dyDescent="0.2">
      <c r="A102" s="10"/>
      <c r="B102" s="10"/>
      <c r="C102" s="10"/>
      <c r="D102" s="10"/>
      <c r="E102" s="10"/>
      <c r="F102" s="10"/>
      <c r="G102" s="1"/>
      <c r="H102" s="1"/>
      <c r="I102" s="1"/>
      <c r="J102" s="2"/>
      <c r="K102" s="1"/>
      <c r="L102" s="3"/>
      <c r="M102" s="1"/>
      <c r="AP102" s="1"/>
      <c r="AQ102" s="1"/>
      <c r="AR102" s="1"/>
      <c r="AS102" s="1"/>
      <c r="AT102" s="1"/>
    </row>
    <row r="103" spans="1:46" s="18" customFormat="1" x14ac:dyDescent="0.2">
      <c r="A103" s="10"/>
      <c r="B103" s="10"/>
      <c r="C103" s="10"/>
      <c r="D103" s="10"/>
      <c r="E103" s="10"/>
      <c r="F103" s="10"/>
      <c r="G103" s="1"/>
      <c r="H103" s="1"/>
      <c r="I103" s="1"/>
      <c r="J103" s="2"/>
      <c r="K103" s="1"/>
      <c r="L103" s="3"/>
      <c r="M103" s="1"/>
      <c r="AP103" s="1"/>
      <c r="AQ103" s="1"/>
      <c r="AR103" s="1"/>
      <c r="AS103" s="1"/>
      <c r="AT103" s="1"/>
    </row>
    <row r="104" spans="1:46" s="18" customFormat="1" x14ac:dyDescent="0.2">
      <c r="A104" s="10"/>
      <c r="B104" s="10"/>
      <c r="C104" s="10"/>
      <c r="D104" s="10"/>
      <c r="E104" s="10"/>
      <c r="F104" s="10"/>
      <c r="G104" s="1"/>
      <c r="H104" s="1"/>
      <c r="I104" s="1"/>
      <c r="J104" s="2"/>
      <c r="K104" s="1"/>
      <c r="L104" s="3"/>
      <c r="M104" s="1"/>
      <c r="AP104" s="1"/>
      <c r="AQ104" s="1"/>
      <c r="AR104" s="1"/>
      <c r="AS104" s="1"/>
      <c r="AT104" s="1"/>
    </row>
    <row r="105" spans="1:46" s="18" customFormat="1" x14ac:dyDescent="0.2">
      <c r="A105" s="10"/>
      <c r="B105" s="10"/>
      <c r="C105" s="10"/>
      <c r="D105" s="10"/>
      <c r="E105" s="10"/>
      <c r="F105" s="10"/>
      <c r="G105" s="1"/>
      <c r="H105" s="1"/>
      <c r="I105" s="1"/>
      <c r="J105" s="2"/>
      <c r="K105" s="1"/>
      <c r="L105" s="3"/>
      <c r="M105" s="1"/>
      <c r="AP105" s="1"/>
      <c r="AQ105" s="1"/>
      <c r="AR105" s="1"/>
      <c r="AS105" s="1"/>
      <c r="AT105" s="1"/>
    </row>
    <row r="106" spans="1:46" s="18" customFormat="1" x14ac:dyDescent="0.2">
      <c r="A106" s="10"/>
      <c r="B106" s="10"/>
      <c r="C106" s="10"/>
      <c r="D106" s="10"/>
      <c r="E106" s="10"/>
      <c r="F106" s="10"/>
      <c r="G106" s="1"/>
      <c r="H106" s="1"/>
      <c r="I106" s="1"/>
      <c r="J106" s="2"/>
      <c r="K106" s="1"/>
      <c r="L106" s="3"/>
      <c r="M106" s="1"/>
      <c r="AP106" s="1"/>
      <c r="AQ106" s="1"/>
      <c r="AR106" s="1"/>
      <c r="AS106" s="1"/>
      <c r="AT106" s="1"/>
    </row>
    <row r="107" spans="1:46" s="18" customFormat="1" x14ac:dyDescent="0.2">
      <c r="A107" s="10"/>
      <c r="B107" s="10"/>
      <c r="C107" s="10"/>
      <c r="D107" s="10"/>
      <c r="E107" s="10"/>
      <c r="F107" s="10"/>
      <c r="G107" s="1"/>
      <c r="H107" s="1"/>
      <c r="I107" s="1"/>
      <c r="J107" s="2"/>
      <c r="K107" s="1"/>
      <c r="L107" s="3"/>
      <c r="M107" s="1"/>
      <c r="AP107" s="1"/>
      <c r="AQ107" s="1"/>
      <c r="AR107" s="1"/>
      <c r="AS107" s="1"/>
      <c r="AT107" s="1"/>
    </row>
    <row r="108" spans="1:46" s="18" customFormat="1" x14ac:dyDescent="0.2">
      <c r="A108" s="10"/>
      <c r="B108" s="10"/>
      <c r="C108" s="10"/>
      <c r="D108" s="10"/>
      <c r="E108" s="10"/>
      <c r="F108" s="10"/>
      <c r="G108" s="1"/>
      <c r="H108" s="1"/>
      <c r="I108" s="1"/>
      <c r="J108" s="2"/>
      <c r="K108" s="1"/>
      <c r="L108" s="3"/>
      <c r="M108" s="1"/>
      <c r="AP108" s="1"/>
      <c r="AQ108" s="1"/>
      <c r="AR108" s="1"/>
      <c r="AS108" s="1"/>
      <c r="AT108" s="1"/>
    </row>
    <row r="109" spans="1:46" s="18" customFormat="1" x14ac:dyDescent="0.2">
      <c r="A109" s="10"/>
      <c r="B109" s="10"/>
      <c r="C109" s="10"/>
      <c r="D109" s="10"/>
      <c r="E109" s="10"/>
      <c r="F109" s="10"/>
      <c r="G109" s="1"/>
      <c r="H109" s="1"/>
      <c r="I109" s="1"/>
      <c r="J109" s="2"/>
      <c r="K109" s="1"/>
      <c r="L109" s="3"/>
      <c r="M109" s="1"/>
      <c r="AP109" s="1"/>
      <c r="AQ109" s="1"/>
      <c r="AR109" s="1"/>
      <c r="AS109" s="1"/>
      <c r="AT109" s="1"/>
    </row>
    <row r="110" spans="1:46" s="18" customFormat="1" x14ac:dyDescent="0.2">
      <c r="A110" s="10"/>
      <c r="B110" s="10"/>
      <c r="C110" s="10"/>
      <c r="D110" s="10"/>
      <c r="E110" s="10"/>
      <c r="F110" s="10"/>
      <c r="G110" s="1"/>
      <c r="H110" s="1"/>
      <c r="I110" s="1"/>
      <c r="J110" s="2"/>
      <c r="K110" s="1"/>
      <c r="L110" s="3"/>
      <c r="M110" s="1"/>
      <c r="AP110" s="1"/>
      <c r="AQ110" s="1"/>
      <c r="AR110" s="1"/>
      <c r="AS110" s="1"/>
      <c r="AT110" s="1"/>
    </row>
    <row r="111" spans="1:46" s="18" customFormat="1" x14ac:dyDescent="0.2">
      <c r="A111" s="10"/>
      <c r="B111" s="10"/>
      <c r="C111" s="10"/>
      <c r="D111" s="10"/>
      <c r="E111" s="10"/>
      <c r="F111" s="10"/>
      <c r="G111" s="1"/>
      <c r="H111" s="1"/>
      <c r="I111" s="1"/>
      <c r="J111" s="2"/>
      <c r="K111" s="1"/>
      <c r="L111" s="3"/>
      <c r="M111" s="1"/>
      <c r="AP111" s="1"/>
      <c r="AQ111" s="1"/>
      <c r="AR111" s="1"/>
      <c r="AS111" s="1"/>
      <c r="AT111" s="1"/>
    </row>
    <row r="112" spans="1:46" s="18" customFormat="1" x14ac:dyDescent="0.2">
      <c r="A112" s="10"/>
      <c r="B112" s="10"/>
      <c r="C112" s="10"/>
      <c r="D112" s="10"/>
      <c r="E112" s="10"/>
      <c r="F112" s="10"/>
      <c r="G112" s="1"/>
      <c r="H112" s="1"/>
      <c r="I112" s="1"/>
      <c r="J112" s="2"/>
      <c r="K112" s="1"/>
      <c r="L112" s="3"/>
      <c r="M112" s="1"/>
      <c r="AP112" s="1"/>
      <c r="AQ112" s="1"/>
      <c r="AR112" s="1"/>
      <c r="AS112" s="1"/>
      <c r="AT112" s="1"/>
    </row>
    <row r="113" spans="1:46" s="18" customFormat="1" x14ac:dyDescent="0.2">
      <c r="A113" s="10"/>
      <c r="B113" s="10"/>
      <c r="C113" s="10"/>
      <c r="D113" s="10"/>
      <c r="E113" s="10"/>
      <c r="F113" s="10"/>
      <c r="G113" s="1"/>
      <c r="H113" s="1"/>
      <c r="I113" s="1"/>
      <c r="J113" s="2"/>
      <c r="K113" s="1"/>
      <c r="L113" s="3"/>
      <c r="M113" s="1"/>
      <c r="AP113" s="1"/>
      <c r="AQ113" s="1"/>
      <c r="AR113" s="1"/>
      <c r="AS113" s="1"/>
      <c r="AT113" s="1"/>
    </row>
    <row r="114" spans="1:46" s="18" customFormat="1" x14ac:dyDescent="0.2">
      <c r="A114" s="10"/>
      <c r="B114" s="10"/>
      <c r="C114" s="10"/>
      <c r="D114" s="10"/>
      <c r="E114" s="10"/>
      <c r="F114" s="10"/>
      <c r="G114" s="1"/>
      <c r="H114" s="1"/>
      <c r="I114" s="1"/>
      <c r="J114" s="2"/>
      <c r="K114" s="1"/>
      <c r="L114" s="3"/>
      <c r="M114" s="1"/>
      <c r="AP114" s="1"/>
      <c r="AQ114" s="1"/>
      <c r="AR114" s="1"/>
      <c r="AS114" s="1"/>
      <c r="AT114" s="1"/>
    </row>
    <row r="115" spans="1:46" s="18" customFormat="1" x14ac:dyDescent="0.2">
      <c r="A115" s="10"/>
      <c r="B115" s="10"/>
      <c r="C115" s="10"/>
      <c r="D115" s="10"/>
      <c r="E115" s="10"/>
      <c r="F115" s="10"/>
      <c r="G115" s="1"/>
      <c r="H115" s="1"/>
      <c r="I115" s="1"/>
      <c r="J115" s="2"/>
      <c r="K115" s="1"/>
      <c r="L115" s="3"/>
      <c r="M115" s="1"/>
      <c r="AP115" s="1"/>
      <c r="AQ115" s="1"/>
      <c r="AR115" s="1"/>
      <c r="AS115" s="1"/>
      <c r="AT115" s="1"/>
    </row>
    <row r="116" spans="1:46" s="18" customFormat="1" x14ac:dyDescent="0.2">
      <c r="A116" s="10"/>
      <c r="B116" s="10"/>
      <c r="C116" s="10"/>
      <c r="D116" s="10"/>
      <c r="E116" s="10"/>
      <c r="F116" s="10"/>
      <c r="G116" s="1"/>
      <c r="H116" s="1"/>
      <c r="I116" s="1"/>
      <c r="J116" s="2"/>
      <c r="K116" s="1"/>
      <c r="L116" s="3"/>
      <c r="M116" s="1"/>
      <c r="AP116" s="1"/>
      <c r="AQ116" s="1"/>
      <c r="AR116" s="1"/>
      <c r="AS116" s="1"/>
      <c r="AT116" s="1"/>
    </row>
    <row r="117" spans="1:46" s="18" customFormat="1" x14ac:dyDescent="0.2">
      <c r="A117" s="10"/>
      <c r="B117" s="10"/>
      <c r="C117" s="10"/>
      <c r="D117" s="10"/>
      <c r="E117" s="10"/>
      <c r="F117" s="10"/>
      <c r="G117" s="1"/>
      <c r="H117" s="1"/>
      <c r="I117" s="1"/>
      <c r="J117" s="2"/>
      <c r="K117" s="1"/>
      <c r="L117" s="3"/>
      <c r="M117" s="1"/>
      <c r="AP117" s="1"/>
      <c r="AQ117" s="1"/>
      <c r="AR117" s="1"/>
      <c r="AS117" s="1"/>
      <c r="AT117" s="1"/>
    </row>
    <row r="118" spans="1:46" s="18" customFormat="1" x14ac:dyDescent="0.2">
      <c r="A118" s="10"/>
      <c r="B118" s="10"/>
      <c r="C118" s="10"/>
      <c r="D118" s="10"/>
      <c r="E118" s="10"/>
      <c r="F118" s="10"/>
      <c r="G118" s="1"/>
      <c r="H118" s="1"/>
      <c r="I118" s="1"/>
      <c r="J118" s="2"/>
      <c r="K118" s="1"/>
      <c r="L118" s="3"/>
      <c r="M118" s="1"/>
      <c r="AP118" s="1"/>
      <c r="AQ118" s="1"/>
      <c r="AR118" s="1"/>
      <c r="AS118" s="1"/>
      <c r="AT118" s="1"/>
    </row>
    <row r="119" spans="1:46" s="18" customFormat="1" x14ac:dyDescent="0.2">
      <c r="A119" s="10"/>
      <c r="B119" s="10"/>
      <c r="C119" s="10"/>
      <c r="D119" s="10"/>
      <c r="E119" s="10"/>
      <c r="F119" s="10"/>
      <c r="G119" s="1"/>
      <c r="H119" s="1"/>
      <c r="I119" s="1"/>
      <c r="J119" s="2"/>
      <c r="K119" s="1"/>
      <c r="L119" s="3"/>
      <c r="M119" s="1"/>
      <c r="AP119" s="1"/>
      <c r="AQ119" s="1"/>
      <c r="AR119" s="1"/>
      <c r="AS119" s="1"/>
      <c r="AT119" s="1"/>
    </row>
    <row r="120" spans="1:46" s="18" customFormat="1" x14ac:dyDescent="0.2">
      <c r="A120" s="10"/>
      <c r="B120" s="10"/>
      <c r="C120" s="10"/>
      <c r="D120" s="10"/>
      <c r="E120" s="10"/>
      <c r="F120" s="10"/>
      <c r="G120" s="1"/>
      <c r="H120" s="1"/>
      <c r="I120" s="1"/>
      <c r="J120" s="2"/>
      <c r="K120" s="1"/>
      <c r="L120" s="3"/>
      <c r="M120" s="1"/>
      <c r="AP120" s="1"/>
      <c r="AQ120" s="1"/>
      <c r="AR120" s="1"/>
      <c r="AS120" s="1"/>
      <c r="AT120" s="1"/>
    </row>
    <row r="121" spans="1:46" s="18" customFormat="1" x14ac:dyDescent="0.2">
      <c r="A121" s="10"/>
      <c r="B121" s="10"/>
      <c r="C121" s="10"/>
      <c r="D121" s="10"/>
      <c r="E121" s="10"/>
      <c r="F121" s="10"/>
      <c r="G121" s="1"/>
      <c r="H121" s="1"/>
      <c r="I121" s="1"/>
      <c r="J121" s="2"/>
      <c r="K121" s="1"/>
      <c r="L121" s="3"/>
      <c r="M121" s="1"/>
      <c r="AP121" s="1"/>
      <c r="AQ121" s="1"/>
      <c r="AR121" s="1"/>
      <c r="AS121" s="1"/>
      <c r="AT121" s="1"/>
    </row>
    <row r="122" spans="1:46" s="18" customFormat="1" x14ac:dyDescent="0.2">
      <c r="A122" s="10"/>
      <c r="B122" s="10"/>
      <c r="C122" s="10"/>
      <c r="D122" s="10"/>
      <c r="E122" s="10"/>
      <c r="F122" s="10"/>
      <c r="G122" s="1"/>
      <c r="H122" s="1"/>
      <c r="I122" s="1"/>
      <c r="J122" s="2"/>
      <c r="K122" s="1"/>
      <c r="L122" s="3"/>
      <c r="M122" s="1"/>
      <c r="AP122" s="1"/>
      <c r="AQ122" s="1"/>
      <c r="AR122" s="1"/>
      <c r="AS122" s="1"/>
      <c r="AT122" s="1"/>
    </row>
    <row r="123" spans="1:46" s="18" customFormat="1" x14ac:dyDescent="0.2">
      <c r="A123" s="10"/>
      <c r="B123" s="10"/>
      <c r="C123" s="10"/>
      <c r="D123" s="10"/>
      <c r="E123" s="10"/>
      <c r="F123" s="10"/>
      <c r="G123" s="1"/>
      <c r="H123" s="1"/>
      <c r="I123" s="1"/>
      <c r="J123" s="2"/>
      <c r="K123" s="1"/>
      <c r="L123" s="3"/>
      <c r="M123" s="1"/>
      <c r="AP123" s="1"/>
      <c r="AQ123" s="1"/>
      <c r="AR123" s="1"/>
      <c r="AS123" s="1"/>
      <c r="AT123" s="1"/>
    </row>
    <row r="124" spans="1:46" s="18" customFormat="1" x14ac:dyDescent="0.2">
      <c r="A124" s="10"/>
      <c r="B124" s="10"/>
      <c r="C124" s="10"/>
      <c r="D124" s="10"/>
      <c r="E124" s="10"/>
      <c r="F124" s="10"/>
      <c r="G124" s="1"/>
      <c r="H124" s="1"/>
      <c r="I124" s="1"/>
      <c r="J124" s="2"/>
      <c r="K124" s="1"/>
      <c r="L124" s="3"/>
      <c r="M124" s="1"/>
      <c r="AP124" s="1"/>
      <c r="AQ124" s="1"/>
      <c r="AR124" s="1"/>
      <c r="AS124" s="1"/>
      <c r="AT124" s="1"/>
    </row>
    <row r="125" spans="1:46" s="18" customFormat="1" x14ac:dyDescent="0.2">
      <c r="A125" s="10"/>
      <c r="B125" s="10"/>
      <c r="C125" s="10"/>
      <c r="D125" s="10"/>
      <c r="E125" s="10"/>
      <c r="F125" s="10"/>
      <c r="G125" s="1"/>
      <c r="H125" s="1"/>
      <c r="I125" s="1"/>
      <c r="J125" s="2"/>
      <c r="K125" s="1"/>
      <c r="L125" s="3"/>
      <c r="M125" s="1"/>
      <c r="AP125" s="1"/>
      <c r="AQ125" s="1"/>
      <c r="AR125" s="1"/>
      <c r="AS125" s="1"/>
      <c r="AT125" s="1"/>
    </row>
    <row r="126" spans="1:46" s="18" customFormat="1" x14ac:dyDescent="0.2">
      <c r="A126" s="10"/>
      <c r="B126" s="10"/>
      <c r="C126" s="10"/>
      <c r="D126" s="10"/>
      <c r="E126" s="10"/>
      <c r="F126" s="10"/>
      <c r="G126" s="1"/>
      <c r="H126" s="1"/>
      <c r="I126" s="1"/>
      <c r="J126" s="2"/>
      <c r="K126" s="1"/>
      <c r="L126" s="3"/>
      <c r="M126" s="1"/>
      <c r="AP126" s="1"/>
      <c r="AQ126" s="1"/>
      <c r="AR126" s="1"/>
      <c r="AS126" s="1"/>
      <c r="AT126" s="1"/>
    </row>
    <row r="127" spans="1:46" s="18" customFormat="1" x14ac:dyDescent="0.2">
      <c r="A127" s="10"/>
      <c r="B127" s="10"/>
      <c r="C127" s="10"/>
      <c r="D127" s="10"/>
      <c r="E127" s="10"/>
      <c r="F127" s="10"/>
      <c r="G127" s="1"/>
      <c r="H127" s="1"/>
      <c r="I127" s="1"/>
      <c r="J127" s="2"/>
      <c r="K127" s="1"/>
      <c r="L127" s="3"/>
      <c r="M127" s="1"/>
      <c r="AP127" s="1"/>
      <c r="AQ127" s="1"/>
      <c r="AR127" s="1"/>
      <c r="AS127" s="1"/>
      <c r="AT127" s="1"/>
    </row>
    <row r="128" spans="1:46" s="18" customFormat="1" x14ac:dyDescent="0.2">
      <c r="A128" s="10"/>
      <c r="B128" s="10"/>
      <c r="C128" s="10"/>
      <c r="D128" s="10"/>
      <c r="E128" s="10"/>
      <c r="F128" s="10"/>
      <c r="G128" s="1"/>
      <c r="H128" s="1"/>
      <c r="I128" s="1"/>
      <c r="J128" s="2"/>
      <c r="K128" s="1"/>
      <c r="L128" s="3"/>
      <c r="M128" s="1"/>
      <c r="AP128" s="1"/>
      <c r="AQ128" s="1"/>
      <c r="AR128" s="1"/>
      <c r="AS128" s="1"/>
      <c r="AT128" s="1"/>
    </row>
    <row r="129" spans="1:46" s="18" customFormat="1" x14ac:dyDescent="0.2">
      <c r="A129" s="10"/>
      <c r="B129" s="10"/>
      <c r="C129" s="10"/>
      <c r="D129" s="10"/>
      <c r="E129" s="10"/>
      <c r="F129" s="10"/>
      <c r="G129" s="1"/>
      <c r="H129" s="1"/>
      <c r="I129" s="1"/>
      <c r="J129" s="2"/>
      <c r="K129" s="1"/>
      <c r="L129" s="3"/>
      <c r="M129" s="1"/>
      <c r="AP129" s="1"/>
      <c r="AQ129" s="1"/>
      <c r="AR129" s="1"/>
      <c r="AS129" s="1"/>
      <c r="AT129" s="1"/>
    </row>
    <row r="130" spans="1:46" s="18" customFormat="1" x14ac:dyDescent="0.2">
      <c r="A130" s="10"/>
      <c r="B130" s="10"/>
      <c r="C130" s="10"/>
      <c r="D130" s="10"/>
      <c r="E130" s="10"/>
      <c r="F130" s="10"/>
      <c r="G130" s="1"/>
      <c r="H130" s="1"/>
      <c r="I130" s="1"/>
      <c r="J130" s="2"/>
      <c r="K130" s="1"/>
      <c r="L130" s="3"/>
      <c r="M130" s="1"/>
      <c r="AP130" s="1"/>
      <c r="AQ130" s="1"/>
      <c r="AR130" s="1"/>
      <c r="AS130" s="1"/>
      <c r="AT130" s="1"/>
    </row>
    <row r="131" spans="1:46" s="18" customFormat="1" x14ac:dyDescent="0.2">
      <c r="A131" s="10"/>
      <c r="B131" s="10"/>
      <c r="C131" s="10"/>
      <c r="D131" s="10"/>
      <c r="E131" s="10"/>
      <c r="F131" s="10"/>
      <c r="G131" s="1"/>
      <c r="H131" s="1"/>
      <c r="I131" s="1"/>
      <c r="J131" s="2"/>
      <c r="K131" s="1"/>
      <c r="L131" s="3"/>
      <c r="M131" s="1"/>
      <c r="AP131" s="1"/>
      <c r="AQ131" s="1"/>
      <c r="AR131" s="1"/>
      <c r="AS131" s="1"/>
      <c r="AT131" s="1"/>
    </row>
    <row r="132" spans="1:46" s="18" customFormat="1" x14ac:dyDescent="0.2">
      <c r="A132" s="10"/>
      <c r="B132" s="10"/>
      <c r="C132" s="10"/>
      <c r="D132" s="10"/>
      <c r="E132" s="10"/>
      <c r="F132" s="10"/>
      <c r="G132" s="1"/>
      <c r="H132" s="1"/>
      <c r="I132" s="1"/>
      <c r="J132" s="2"/>
      <c r="K132" s="1"/>
      <c r="L132" s="3"/>
      <c r="M132" s="1"/>
      <c r="AP132" s="1"/>
      <c r="AQ132" s="1"/>
      <c r="AR132" s="1"/>
      <c r="AS132" s="1"/>
      <c r="AT132" s="1"/>
    </row>
    <row r="133" spans="1:46" s="18" customFormat="1" x14ac:dyDescent="0.2">
      <c r="A133" s="10"/>
      <c r="B133" s="10"/>
      <c r="C133" s="10"/>
      <c r="D133" s="10"/>
      <c r="E133" s="10"/>
      <c r="F133" s="10"/>
      <c r="G133" s="1"/>
      <c r="H133" s="1"/>
      <c r="I133" s="1"/>
      <c r="J133" s="2"/>
      <c r="K133" s="1"/>
      <c r="L133" s="3"/>
      <c r="M133" s="1"/>
      <c r="AP133" s="1"/>
      <c r="AQ133" s="1"/>
      <c r="AR133" s="1"/>
      <c r="AS133" s="1"/>
      <c r="AT133" s="1"/>
    </row>
    <row r="134" spans="1:46" s="18" customFormat="1" x14ac:dyDescent="0.2">
      <c r="A134" s="10"/>
      <c r="B134" s="10"/>
      <c r="C134" s="10"/>
      <c r="D134" s="10"/>
      <c r="E134" s="10"/>
      <c r="F134" s="10"/>
      <c r="G134" s="1"/>
      <c r="H134" s="1"/>
      <c r="I134" s="1"/>
      <c r="J134" s="2"/>
      <c r="K134" s="1"/>
      <c r="L134" s="3"/>
      <c r="M134" s="1"/>
      <c r="AP134" s="1"/>
      <c r="AQ134" s="1"/>
      <c r="AR134" s="1"/>
      <c r="AS134" s="1"/>
      <c r="AT134" s="1"/>
    </row>
    <row r="135" spans="1:46" s="18" customFormat="1" x14ac:dyDescent="0.2">
      <c r="A135" s="10"/>
      <c r="B135" s="10"/>
      <c r="C135" s="10"/>
      <c r="D135" s="10"/>
      <c r="E135" s="10"/>
      <c r="F135" s="10"/>
      <c r="G135" s="1"/>
      <c r="H135" s="1"/>
      <c r="I135" s="1"/>
      <c r="J135" s="2"/>
      <c r="K135" s="1"/>
      <c r="L135" s="3"/>
      <c r="M135" s="1"/>
      <c r="AP135" s="1"/>
      <c r="AQ135" s="1"/>
      <c r="AR135" s="1"/>
      <c r="AS135" s="1"/>
      <c r="AT135" s="1"/>
    </row>
    <row r="136" spans="1:46" s="18" customFormat="1" x14ac:dyDescent="0.2">
      <c r="A136" s="10"/>
      <c r="B136" s="10"/>
      <c r="C136" s="10"/>
      <c r="D136" s="10"/>
      <c r="E136" s="10"/>
      <c r="F136" s="10"/>
      <c r="G136" s="1"/>
      <c r="H136" s="1"/>
      <c r="I136" s="1"/>
      <c r="J136" s="2"/>
      <c r="K136" s="1"/>
      <c r="L136" s="3"/>
      <c r="M136" s="1"/>
      <c r="AP136" s="1"/>
      <c r="AQ136" s="1"/>
      <c r="AR136" s="1"/>
      <c r="AS136" s="1"/>
      <c r="AT136" s="1"/>
    </row>
    <row r="137" spans="1:46" s="18" customFormat="1" x14ac:dyDescent="0.2">
      <c r="A137" s="10"/>
      <c r="B137" s="10"/>
      <c r="C137" s="10"/>
      <c r="D137" s="10"/>
      <c r="E137" s="10"/>
      <c r="F137" s="10"/>
      <c r="G137" s="1"/>
      <c r="H137" s="1"/>
      <c r="I137" s="1"/>
      <c r="J137" s="2"/>
      <c r="K137" s="1"/>
      <c r="L137" s="3"/>
      <c r="M137" s="1"/>
      <c r="AP137" s="1"/>
      <c r="AQ137" s="1"/>
      <c r="AR137" s="1"/>
      <c r="AS137" s="1"/>
      <c r="AT137" s="1"/>
    </row>
    <row r="138" spans="1:46" s="18" customFormat="1" x14ac:dyDescent="0.2">
      <c r="A138" s="10"/>
      <c r="B138" s="10"/>
      <c r="C138" s="10"/>
      <c r="D138" s="10"/>
      <c r="E138" s="10"/>
      <c r="F138" s="10"/>
      <c r="G138" s="1"/>
      <c r="H138" s="1"/>
      <c r="I138" s="1"/>
      <c r="J138" s="2"/>
      <c r="K138" s="1"/>
      <c r="L138" s="3"/>
      <c r="M138" s="1"/>
      <c r="AP138" s="1"/>
      <c r="AQ138" s="1"/>
      <c r="AR138" s="1"/>
      <c r="AS138" s="1"/>
      <c r="AT138" s="1"/>
    </row>
    <row r="139" spans="1:46" s="18" customFormat="1" x14ac:dyDescent="0.2">
      <c r="A139" s="10"/>
      <c r="B139" s="10"/>
      <c r="C139" s="10"/>
      <c r="D139" s="10"/>
      <c r="E139" s="10"/>
      <c r="F139" s="10"/>
      <c r="G139" s="1"/>
      <c r="H139" s="1"/>
      <c r="I139" s="1"/>
      <c r="J139" s="2"/>
      <c r="K139" s="1"/>
      <c r="L139" s="3"/>
      <c r="M139" s="1"/>
      <c r="AP139" s="1"/>
      <c r="AQ139" s="1"/>
      <c r="AR139" s="1"/>
      <c r="AS139" s="1"/>
      <c r="AT139" s="1"/>
    </row>
    <row r="140" spans="1:46" s="18" customFormat="1" x14ac:dyDescent="0.2">
      <c r="A140" s="10"/>
      <c r="B140" s="10"/>
      <c r="C140" s="10"/>
      <c r="D140" s="10"/>
      <c r="E140" s="10"/>
      <c r="F140" s="10"/>
      <c r="G140" s="1"/>
      <c r="H140" s="1"/>
      <c r="I140" s="1"/>
      <c r="J140" s="2"/>
      <c r="K140" s="1"/>
      <c r="L140" s="3"/>
      <c r="M140" s="1"/>
      <c r="AP140" s="1"/>
      <c r="AQ140" s="1"/>
      <c r="AR140" s="1"/>
      <c r="AS140" s="1"/>
      <c r="AT140" s="1"/>
    </row>
    <row r="141" spans="1:46" s="18" customFormat="1" x14ac:dyDescent="0.2">
      <c r="A141" s="10"/>
      <c r="B141" s="10"/>
      <c r="C141" s="10"/>
      <c r="D141" s="10"/>
      <c r="E141" s="10"/>
      <c r="F141" s="10"/>
      <c r="G141" s="1"/>
      <c r="H141" s="1"/>
      <c r="I141" s="1"/>
      <c r="J141" s="2"/>
      <c r="K141" s="1"/>
      <c r="L141" s="3"/>
      <c r="M141" s="1"/>
      <c r="AP141" s="1"/>
      <c r="AQ141" s="1"/>
      <c r="AR141" s="1"/>
      <c r="AS141" s="1"/>
      <c r="AT141" s="1"/>
    </row>
    <row r="142" spans="1:46" s="18" customFormat="1" x14ac:dyDescent="0.2">
      <c r="A142" s="10"/>
      <c r="B142" s="10"/>
      <c r="C142" s="10"/>
      <c r="D142" s="10"/>
      <c r="E142" s="10"/>
      <c r="F142" s="10"/>
      <c r="G142" s="1"/>
      <c r="H142" s="1"/>
      <c r="I142" s="1"/>
      <c r="J142" s="2"/>
      <c r="K142" s="1"/>
      <c r="L142" s="3"/>
      <c r="M142" s="1"/>
      <c r="AP142" s="1"/>
      <c r="AQ142" s="1"/>
      <c r="AR142" s="1"/>
      <c r="AS142" s="1"/>
      <c r="AT142" s="1"/>
    </row>
    <row r="143" spans="1:46" s="18" customFormat="1" x14ac:dyDescent="0.2">
      <c r="A143" s="10"/>
      <c r="B143" s="10"/>
      <c r="C143" s="10"/>
      <c r="D143" s="10"/>
      <c r="E143" s="10"/>
      <c r="F143" s="10"/>
      <c r="G143" s="1"/>
      <c r="H143" s="1"/>
      <c r="I143" s="1"/>
      <c r="J143" s="2"/>
      <c r="K143" s="1"/>
      <c r="L143" s="3"/>
      <c r="M143" s="1"/>
      <c r="AP143" s="1"/>
      <c r="AQ143" s="1"/>
      <c r="AR143" s="1"/>
      <c r="AS143" s="1"/>
      <c r="AT143" s="1"/>
    </row>
    <row r="144" spans="1:46" s="18" customFormat="1" x14ac:dyDescent="0.2">
      <c r="A144" s="10"/>
      <c r="B144" s="10"/>
      <c r="C144" s="10"/>
      <c r="D144" s="10"/>
      <c r="E144" s="10"/>
      <c r="F144" s="10"/>
      <c r="G144" s="1"/>
      <c r="H144" s="1"/>
      <c r="I144" s="1"/>
      <c r="J144" s="2"/>
      <c r="K144" s="1"/>
      <c r="L144" s="3"/>
      <c r="M144" s="1"/>
      <c r="AP144" s="1"/>
      <c r="AQ144" s="1"/>
      <c r="AR144" s="1"/>
      <c r="AS144" s="1"/>
      <c r="AT144" s="1"/>
    </row>
    <row r="145" spans="1:46" s="18" customFormat="1" x14ac:dyDescent="0.2">
      <c r="A145" s="10"/>
      <c r="B145" s="10"/>
      <c r="C145" s="10"/>
      <c r="D145" s="10"/>
      <c r="E145" s="10"/>
      <c r="F145" s="10"/>
      <c r="G145" s="1"/>
      <c r="H145" s="1"/>
      <c r="I145" s="1"/>
      <c r="J145" s="2"/>
      <c r="K145" s="1"/>
      <c r="L145" s="3"/>
      <c r="M145" s="1"/>
      <c r="AP145" s="1"/>
      <c r="AQ145" s="1"/>
      <c r="AR145" s="1"/>
      <c r="AS145" s="1"/>
      <c r="AT145" s="1"/>
    </row>
    <row r="146" spans="1:46" s="18" customFormat="1" x14ac:dyDescent="0.2">
      <c r="A146" s="10"/>
      <c r="B146" s="10"/>
      <c r="C146" s="10"/>
      <c r="D146" s="10"/>
      <c r="E146" s="10"/>
      <c r="F146" s="10"/>
      <c r="G146" s="1"/>
      <c r="H146" s="1"/>
      <c r="I146" s="1"/>
      <c r="J146" s="2"/>
      <c r="K146" s="1"/>
      <c r="L146" s="3"/>
      <c r="M146" s="1"/>
      <c r="AP146" s="1"/>
      <c r="AQ146" s="1"/>
      <c r="AR146" s="1"/>
      <c r="AS146" s="1"/>
      <c r="AT146" s="1"/>
    </row>
    <row r="147" spans="1:46" s="18" customFormat="1" x14ac:dyDescent="0.2">
      <c r="A147" s="10"/>
      <c r="B147" s="10"/>
      <c r="C147" s="10"/>
      <c r="D147" s="10"/>
      <c r="E147" s="10"/>
      <c r="F147" s="10"/>
      <c r="G147" s="1"/>
      <c r="H147" s="1"/>
      <c r="I147" s="1"/>
      <c r="J147" s="2"/>
      <c r="K147" s="1"/>
      <c r="L147" s="3"/>
      <c r="M147" s="1"/>
      <c r="AP147" s="1"/>
      <c r="AQ147" s="1"/>
      <c r="AR147" s="1"/>
      <c r="AS147" s="1"/>
      <c r="AT147" s="1"/>
    </row>
    <row r="148" spans="1:46" s="18" customFormat="1" x14ac:dyDescent="0.2">
      <c r="A148" s="10"/>
      <c r="B148" s="10"/>
      <c r="C148" s="10"/>
      <c r="D148" s="10"/>
      <c r="E148" s="10"/>
      <c r="F148" s="10"/>
      <c r="G148" s="1"/>
      <c r="H148" s="1"/>
      <c r="I148" s="1"/>
      <c r="J148" s="2"/>
      <c r="K148" s="1"/>
      <c r="L148" s="3"/>
      <c r="M148" s="1"/>
      <c r="AP148" s="1"/>
      <c r="AQ148" s="1"/>
      <c r="AR148" s="1"/>
      <c r="AS148" s="1"/>
      <c r="AT148" s="1"/>
    </row>
    <row r="149" spans="1:46" s="18" customFormat="1" x14ac:dyDescent="0.2">
      <c r="A149" s="10"/>
      <c r="B149" s="10"/>
      <c r="C149" s="10"/>
      <c r="D149" s="10"/>
      <c r="E149" s="10"/>
      <c r="F149" s="10"/>
      <c r="G149" s="1"/>
      <c r="H149" s="1"/>
      <c r="I149" s="1"/>
      <c r="J149" s="2"/>
      <c r="K149" s="1"/>
      <c r="L149" s="3"/>
      <c r="M149" s="1"/>
      <c r="AP149" s="1"/>
      <c r="AQ149" s="1"/>
      <c r="AR149" s="1"/>
      <c r="AS149" s="1"/>
      <c r="AT149" s="1"/>
    </row>
    <row r="150" spans="1:46" s="18" customFormat="1" x14ac:dyDescent="0.2">
      <c r="A150" s="10"/>
      <c r="B150" s="10"/>
      <c r="C150" s="10"/>
      <c r="D150" s="10"/>
      <c r="E150" s="10"/>
      <c r="F150" s="10"/>
      <c r="G150" s="1"/>
      <c r="H150" s="1"/>
      <c r="I150" s="1"/>
      <c r="J150" s="2"/>
      <c r="K150" s="1"/>
      <c r="L150" s="3"/>
      <c r="M150" s="1"/>
      <c r="AP150" s="1"/>
      <c r="AQ150" s="1"/>
      <c r="AR150" s="1"/>
      <c r="AS150" s="1"/>
      <c r="AT150" s="1"/>
    </row>
    <row r="151" spans="1:46" s="18" customFormat="1" x14ac:dyDescent="0.2">
      <c r="A151" s="10"/>
      <c r="B151" s="10"/>
      <c r="C151" s="10"/>
      <c r="D151" s="10"/>
      <c r="E151" s="10"/>
      <c r="F151" s="10"/>
      <c r="G151" s="1"/>
      <c r="H151" s="1"/>
      <c r="I151" s="1"/>
      <c r="J151" s="2"/>
      <c r="K151" s="1"/>
      <c r="L151" s="3"/>
      <c r="M151" s="1"/>
      <c r="AP151" s="1"/>
      <c r="AQ151" s="1"/>
      <c r="AR151" s="1"/>
      <c r="AS151" s="1"/>
      <c r="AT151" s="1"/>
    </row>
    <row r="152" spans="1:46" s="18" customFormat="1" x14ac:dyDescent="0.2">
      <c r="A152" s="10"/>
      <c r="B152" s="10"/>
      <c r="C152" s="10"/>
      <c r="D152" s="10"/>
      <c r="E152" s="10"/>
      <c r="F152" s="10"/>
      <c r="G152" s="1"/>
      <c r="H152" s="1"/>
      <c r="I152" s="1"/>
      <c r="J152" s="2"/>
      <c r="K152" s="1"/>
      <c r="L152" s="3"/>
      <c r="M152" s="1"/>
      <c r="AP152" s="1"/>
      <c r="AQ152" s="1"/>
      <c r="AR152" s="1"/>
      <c r="AS152" s="1"/>
      <c r="AT152" s="1"/>
    </row>
    <row r="153" spans="1:46" s="18" customFormat="1" x14ac:dyDescent="0.2">
      <c r="A153" s="10"/>
      <c r="B153" s="10"/>
      <c r="C153" s="10"/>
      <c r="D153" s="10"/>
      <c r="E153" s="10"/>
      <c r="F153" s="10"/>
      <c r="G153" s="1"/>
      <c r="H153" s="1"/>
      <c r="I153" s="1"/>
      <c r="J153" s="2"/>
      <c r="K153" s="1"/>
      <c r="L153" s="3"/>
      <c r="M153" s="1"/>
      <c r="AP153" s="1"/>
      <c r="AQ153" s="1"/>
      <c r="AR153" s="1"/>
      <c r="AS153" s="1"/>
      <c r="AT153" s="1"/>
    </row>
    <row r="154" spans="1:46" s="18" customFormat="1" x14ac:dyDescent="0.2">
      <c r="A154" s="10"/>
      <c r="B154" s="10"/>
      <c r="C154" s="10"/>
      <c r="D154" s="10"/>
      <c r="E154" s="10"/>
      <c r="F154" s="10"/>
      <c r="G154" s="1"/>
      <c r="H154" s="1"/>
      <c r="I154" s="1"/>
      <c r="J154" s="2"/>
      <c r="K154" s="1"/>
      <c r="L154" s="3"/>
      <c r="M154" s="1"/>
      <c r="AP154" s="1"/>
      <c r="AQ154" s="1"/>
      <c r="AR154" s="1"/>
      <c r="AS154" s="1"/>
      <c r="AT154" s="1"/>
    </row>
    <row r="155" spans="1:46" s="18" customFormat="1" x14ac:dyDescent="0.2">
      <c r="A155" s="10"/>
      <c r="B155" s="10"/>
      <c r="C155" s="10"/>
      <c r="D155" s="10"/>
      <c r="E155" s="10"/>
      <c r="F155" s="10"/>
      <c r="G155" s="1"/>
      <c r="H155" s="1"/>
      <c r="I155" s="1"/>
      <c r="J155" s="2"/>
      <c r="K155" s="1"/>
      <c r="L155" s="3"/>
      <c r="M155" s="1"/>
      <c r="AP155" s="1"/>
      <c r="AQ155" s="1"/>
      <c r="AR155" s="1"/>
      <c r="AS155" s="1"/>
      <c r="AT155" s="1"/>
    </row>
    <row r="156" spans="1:46" s="18" customFormat="1" x14ac:dyDescent="0.2">
      <c r="A156" s="10"/>
      <c r="B156" s="10"/>
      <c r="C156" s="10"/>
      <c r="D156" s="10"/>
      <c r="E156" s="10"/>
      <c r="F156" s="10"/>
      <c r="G156" s="1"/>
      <c r="H156" s="1"/>
      <c r="I156" s="1"/>
      <c r="J156" s="2"/>
      <c r="K156" s="1"/>
      <c r="L156" s="3"/>
      <c r="M156" s="1"/>
      <c r="AP156" s="1"/>
      <c r="AQ156" s="1"/>
      <c r="AR156" s="1"/>
      <c r="AS156" s="1"/>
      <c r="AT156" s="1"/>
    </row>
    <row r="157" spans="1:46" s="18" customFormat="1" x14ac:dyDescent="0.2">
      <c r="A157" s="10"/>
      <c r="B157" s="10"/>
      <c r="C157" s="10"/>
      <c r="D157" s="10"/>
      <c r="E157" s="10"/>
      <c r="F157" s="10"/>
      <c r="G157" s="1"/>
      <c r="H157" s="1"/>
      <c r="I157" s="1"/>
      <c r="J157" s="2"/>
      <c r="K157" s="1"/>
      <c r="L157" s="3"/>
      <c r="M157" s="1"/>
      <c r="AP157" s="1"/>
      <c r="AQ157" s="1"/>
      <c r="AR157" s="1"/>
      <c r="AS157" s="1"/>
      <c r="AT157" s="1"/>
    </row>
    <row r="158" spans="1:46" s="18" customFormat="1" x14ac:dyDescent="0.2">
      <c r="A158" s="10"/>
      <c r="B158" s="10"/>
      <c r="C158" s="10"/>
      <c r="D158" s="10"/>
      <c r="E158" s="10"/>
      <c r="F158" s="10"/>
      <c r="G158" s="1"/>
      <c r="H158" s="1"/>
      <c r="I158" s="1"/>
      <c r="J158" s="2"/>
      <c r="K158" s="1"/>
      <c r="L158" s="3"/>
      <c r="M158" s="1"/>
      <c r="AP158" s="1"/>
      <c r="AQ158" s="1"/>
      <c r="AR158" s="1"/>
      <c r="AS158" s="1"/>
      <c r="AT158" s="1"/>
    </row>
    <row r="159" spans="1:46" s="18" customFormat="1" x14ac:dyDescent="0.2">
      <c r="A159" s="10"/>
      <c r="B159" s="10"/>
      <c r="C159" s="10"/>
      <c r="D159" s="10"/>
      <c r="E159" s="10"/>
      <c r="F159" s="10"/>
      <c r="G159" s="1"/>
      <c r="H159" s="1"/>
      <c r="I159" s="1"/>
      <c r="J159" s="2"/>
      <c r="K159" s="1"/>
      <c r="L159" s="3"/>
      <c r="M159" s="1"/>
      <c r="AP159" s="1"/>
      <c r="AQ159" s="1"/>
      <c r="AR159" s="1"/>
      <c r="AS159" s="1"/>
      <c r="AT159" s="1"/>
    </row>
    <row r="160" spans="1:46" s="18" customFormat="1" x14ac:dyDescent="0.2">
      <c r="A160" s="10"/>
      <c r="B160" s="10"/>
      <c r="C160" s="10"/>
      <c r="D160" s="10"/>
      <c r="E160" s="10"/>
      <c r="F160" s="10"/>
      <c r="G160" s="1"/>
      <c r="H160" s="1"/>
      <c r="I160" s="1"/>
      <c r="J160" s="2"/>
      <c r="K160" s="1"/>
      <c r="L160" s="3"/>
      <c r="M160" s="1"/>
      <c r="AP160" s="1"/>
      <c r="AQ160" s="1"/>
      <c r="AR160" s="1"/>
      <c r="AS160" s="1"/>
      <c r="AT160" s="1"/>
    </row>
    <row r="161" spans="1:46" s="18" customFormat="1" x14ac:dyDescent="0.2">
      <c r="A161" s="10"/>
      <c r="B161" s="10"/>
      <c r="C161" s="10"/>
      <c r="D161" s="10"/>
      <c r="E161" s="10"/>
      <c r="F161" s="10"/>
      <c r="G161" s="1"/>
      <c r="H161" s="1"/>
      <c r="I161" s="1"/>
      <c r="J161" s="2"/>
      <c r="K161" s="1"/>
      <c r="L161" s="3"/>
      <c r="M161" s="1"/>
      <c r="AP161" s="1"/>
      <c r="AQ161" s="1"/>
      <c r="AR161" s="1"/>
      <c r="AS161" s="1"/>
      <c r="AT161" s="1"/>
    </row>
    <row r="162" spans="1:46" s="18" customFormat="1" x14ac:dyDescent="0.2">
      <c r="A162" s="10"/>
      <c r="B162" s="10"/>
      <c r="C162" s="10"/>
      <c r="D162" s="10"/>
      <c r="E162" s="10"/>
      <c r="F162" s="10"/>
      <c r="G162" s="1"/>
      <c r="H162" s="1"/>
      <c r="I162" s="1"/>
      <c r="J162" s="2"/>
      <c r="K162" s="1"/>
      <c r="L162" s="3"/>
      <c r="M162" s="1"/>
      <c r="AP162" s="1"/>
      <c r="AQ162" s="1"/>
      <c r="AR162" s="1"/>
      <c r="AS162" s="1"/>
      <c r="AT162" s="1"/>
    </row>
    <row r="163" spans="1:46" s="18" customFormat="1" x14ac:dyDescent="0.2">
      <c r="A163" s="10"/>
      <c r="B163" s="10"/>
      <c r="C163" s="10"/>
      <c r="D163" s="10"/>
      <c r="E163" s="10"/>
      <c r="F163" s="10"/>
      <c r="G163" s="1"/>
      <c r="H163" s="1"/>
      <c r="I163" s="1"/>
      <c r="J163" s="2"/>
      <c r="K163" s="1"/>
      <c r="L163" s="3"/>
      <c r="M163" s="1"/>
      <c r="AP163" s="1"/>
      <c r="AQ163" s="1"/>
      <c r="AR163" s="1"/>
      <c r="AS163" s="1"/>
      <c r="AT163" s="1"/>
    </row>
    <row r="164" spans="1:46" s="18" customFormat="1" x14ac:dyDescent="0.2">
      <c r="A164" s="10"/>
      <c r="B164" s="10"/>
      <c r="C164" s="10"/>
      <c r="D164" s="10"/>
      <c r="E164" s="10"/>
      <c r="F164" s="10"/>
      <c r="G164" s="1"/>
      <c r="H164" s="1"/>
      <c r="I164" s="1"/>
      <c r="J164" s="2"/>
      <c r="K164" s="1"/>
      <c r="L164" s="3"/>
      <c r="M164" s="1"/>
      <c r="AP164" s="1"/>
      <c r="AQ164" s="1"/>
      <c r="AR164" s="1"/>
      <c r="AS164" s="1"/>
      <c r="AT164" s="1"/>
    </row>
    <row r="165" spans="1:46" s="18" customFormat="1" x14ac:dyDescent="0.2">
      <c r="A165" s="10"/>
      <c r="B165" s="10"/>
      <c r="C165" s="10"/>
      <c r="D165" s="10"/>
      <c r="E165" s="10"/>
      <c r="F165" s="10"/>
      <c r="G165" s="1"/>
      <c r="H165" s="1"/>
      <c r="I165" s="1"/>
      <c r="J165" s="2"/>
      <c r="K165" s="1"/>
      <c r="L165" s="3"/>
      <c r="M165" s="1"/>
      <c r="AP165" s="1"/>
      <c r="AQ165" s="1"/>
      <c r="AR165" s="1"/>
      <c r="AS165" s="1"/>
      <c r="AT165" s="1"/>
    </row>
    <row r="166" spans="1:46" s="18" customFormat="1" x14ac:dyDescent="0.2">
      <c r="A166" s="10"/>
      <c r="B166" s="10"/>
      <c r="C166" s="10"/>
      <c r="D166" s="10"/>
      <c r="E166" s="10"/>
      <c r="F166" s="10"/>
      <c r="G166" s="1"/>
      <c r="H166" s="1"/>
      <c r="I166" s="1"/>
      <c r="J166" s="2"/>
      <c r="K166" s="1"/>
      <c r="L166" s="3"/>
      <c r="M166" s="1"/>
      <c r="AP166" s="1"/>
      <c r="AQ166" s="1"/>
      <c r="AR166" s="1"/>
      <c r="AS166" s="1"/>
      <c r="AT166" s="1"/>
    </row>
    <row r="167" spans="1:46" s="18" customFormat="1" x14ac:dyDescent="0.2">
      <c r="A167" s="10"/>
      <c r="B167" s="10"/>
      <c r="C167" s="10"/>
      <c r="D167" s="10"/>
      <c r="E167" s="10"/>
      <c r="F167" s="10"/>
      <c r="G167" s="1"/>
      <c r="H167" s="1"/>
      <c r="I167" s="1"/>
      <c r="J167" s="2"/>
      <c r="K167" s="1"/>
      <c r="L167" s="3"/>
      <c r="M167" s="1"/>
      <c r="AP167" s="1"/>
      <c r="AQ167" s="1"/>
      <c r="AR167" s="1"/>
      <c r="AS167" s="1"/>
      <c r="AT167" s="1"/>
    </row>
    <row r="168" spans="1:46" s="18" customFormat="1" x14ac:dyDescent="0.2">
      <c r="A168" s="10"/>
      <c r="B168" s="10"/>
      <c r="C168" s="10"/>
      <c r="D168" s="10"/>
      <c r="E168" s="10"/>
      <c r="F168" s="10"/>
      <c r="G168" s="1"/>
      <c r="H168" s="1"/>
      <c r="I168" s="1"/>
      <c r="J168" s="2"/>
      <c r="K168" s="1"/>
      <c r="L168" s="3"/>
      <c r="M168" s="1"/>
      <c r="AP168" s="1"/>
      <c r="AQ168" s="1"/>
      <c r="AR168" s="1"/>
      <c r="AS168" s="1"/>
      <c r="AT168" s="1"/>
    </row>
    <row r="169" spans="1:46" s="18" customFormat="1" x14ac:dyDescent="0.2">
      <c r="A169" s="10"/>
      <c r="B169" s="10"/>
      <c r="C169" s="10"/>
      <c r="D169" s="10"/>
      <c r="E169" s="10"/>
      <c r="F169" s="10"/>
      <c r="G169" s="1"/>
      <c r="H169" s="1"/>
      <c r="I169" s="1"/>
      <c r="J169" s="2"/>
      <c r="K169" s="1"/>
      <c r="L169" s="3"/>
      <c r="M169" s="1"/>
      <c r="AP169" s="1"/>
      <c r="AQ169" s="1"/>
      <c r="AR169" s="1"/>
      <c r="AS169" s="1"/>
      <c r="AT169" s="1"/>
    </row>
    <row r="170" spans="1:46" s="18" customFormat="1" x14ac:dyDescent="0.2">
      <c r="A170" s="10"/>
      <c r="B170" s="10"/>
      <c r="C170" s="10"/>
      <c r="D170" s="10"/>
      <c r="E170" s="10"/>
      <c r="F170" s="10"/>
      <c r="G170" s="1"/>
      <c r="H170" s="1"/>
      <c r="I170" s="1"/>
      <c r="J170" s="2"/>
      <c r="K170" s="1"/>
      <c r="L170" s="3"/>
      <c r="M170" s="1"/>
      <c r="AP170" s="1"/>
      <c r="AQ170" s="1"/>
      <c r="AR170" s="1"/>
      <c r="AS170" s="1"/>
      <c r="AT170" s="1"/>
    </row>
    <row r="171" spans="1:46" s="18" customFormat="1" x14ac:dyDescent="0.2">
      <c r="A171" s="10"/>
      <c r="B171" s="10"/>
      <c r="C171" s="10"/>
      <c r="D171" s="10"/>
      <c r="E171" s="10"/>
      <c r="F171" s="10"/>
      <c r="G171" s="1"/>
      <c r="H171" s="1"/>
      <c r="I171" s="1"/>
      <c r="J171" s="2"/>
      <c r="K171" s="1"/>
      <c r="L171" s="3"/>
      <c r="M171" s="1"/>
      <c r="AP171" s="1"/>
      <c r="AQ171" s="1"/>
      <c r="AR171" s="1"/>
      <c r="AS171" s="1"/>
      <c r="AT171" s="1"/>
    </row>
    <row r="172" spans="1:46" s="18" customFormat="1" x14ac:dyDescent="0.2">
      <c r="A172" s="10"/>
      <c r="B172" s="10"/>
      <c r="C172" s="10"/>
      <c r="D172" s="10"/>
      <c r="E172" s="10"/>
      <c r="F172" s="10"/>
      <c r="G172" s="1"/>
      <c r="H172" s="1"/>
      <c r="I172" s="1"/>
      <c r="J172" s="2"/>
      <c r="K172" s="1"/>
      <c r="L172" s="3"/>
      <c r="M172" s="1"/>
      <c r="AP172" s="1"/>
      <c r="AQ172" s="1"/>
      <c r="AR172" s="1"/>
      <c r="AS172" s="1"/>
      <c r="AT172" s="1"/>
    </row>
    <row r="173" spans="1:46" s="18" customFormat="1" x14ac:dyDescent="0.2">
      <c r="A173" s="10"/>
      <c r="B173" s="10"/>
      <c r="C173" s="10"/>
      <c r="D173" s="10"/>
      <c r="E173" s="10"/>
      <c r="F173" s="10"/>
      <c r="G173" s="1"/>
      <c r="H173" s="1"/>
      <c r="I173" s="1"/>
      <c r="J173" s="2"/>
      <c r="K173" s="1"/>
      <c r="L173" s="3"/>
      <c r="M173" s="1"/>
      <c r="AP173" s="1"/>
      <c r="AQ173" s="1"/>
      <c r="AR173" s="1"/>
      <c r="AS173" s="1"/>
      <c r="AT173" s="1"/>
    </row>
    <row r="174" spans="1:46" s="18" customFormat="1" x14ac:dyDescent="0.2">
      <c r="A174" s="10"/>
      <c r="B174" s="10"/>
      <c r="C174" s="10"/>
      <c r="D174" s="10"/>
      <c r="E174" s="10"/>
      <c r="F174" s="10"/>
      <c r="G174" s="1"/>
      <c r="H174" s="1"/>
      <c r="I174" s="1"/>
      <c r="J174" s="2"/>
      <c r="K174" s="1"/>
      <c r="L174" s="3"/>
      <c r="M174" s="1"/>
      <c r="AP174" s="1"/>
      <c r="AQ174" s="1"/>
      <c r="AR174" s="1"/>
      <c r="AS174" s="1"/>
      <c r="AT174" s="1"/>
    </row>
    <row r="175" spans="1:46" s="18" customFormat="1" x14ac:dyDescent="0.2">
      <c r="A175" s="10"/>
      <c r="B175" s="10"/>
      <c r="C175" s="10"/>
      <c r="D175" s="10"/>
      <c r="E175" s="10"/>
      <c r="F175" s="10"/>
      <c r="G175" s="1"/>
      <c r="H175" s="1"/>
      <c r="I175" s="1"/>
      <c r="J175" s="2"/>
      <c r="K175" s="1"/>
      <c r="L175" s="3"/>
      <c r="M175" s="1"/>
      <c r="AP175" s="1"/>
      <c r="AQ175" s="1"/>
      <c r="AR175" s="1"/>
      <c r="AS175" s="1"/>
      <c r="AT175" s="1"/>
    </row>
    <row r="176" spans="1:46" s="18" customFormat="1" x14ac:dyDescent="0.2">
      <c r="A176" s="10"/>
      <c r="B176" s="10"/>
      <c r="C176" s="10"/>
      <c r="D176" s="10"/>
      <c r="E176" s="10"/>
      <c r="F176" s="10"/>
      <c r="G176" s="1"/>
      <c r="H176" s="1"/>
      <c r="I176" s="1"/>
      <c r="J176" s="2"/>
      <c r="K176" s="1"/>
      <c r="L176" s="3"/>
      <c r="M176" s="1"/>
      <c r="AP176" s="1"/>
      <c r="AQ176" s="1"/>
      <c r="AR176" s="1"/>
      <c r="AS176" s="1"/>
      <c r="AT176" s="1"/>
    </row>
    <row r="177" spans="1:46" s="18" customFormat="1" x14ac:dyDescent="0.2">
      <c r="A177" s="10"/>
      <c r="B177" s="10"/>
      <c r="C177" s="10"/>
      <c r="D177" s="10"/>
      <c r="E177" s="10"/>
      <c r="F177" s="10"/>
      <c r="G177" s="1"/>
      <c r="H177" s="1"/>
      <c r="I177" s="1"/>
      <c r="J177" s="2"/>
      <c r="K177" s="1"/>
      <c r="L177" s="3"/>
      <c r="M177" s="1"/>
      <c r="AP177" s="1"/>
      <c r="AQ177" s="1"/>
      <c r="AR177" s="1"/>
      <c r="AS177" s="1"/>
      <c r="AT177" s="1"/>
    </row>
    <row r="178" spans="1:46" s="18" customFormat="1" x14ac:dyDescent="0.2">
      <c r="A178" s="10"/>
      <c r="B178" s="10"/>
      <c r="C178" s="10"/>
      <c r="D178" s="10"/>
      <c r="E178" s="10"/>
      <c r="F178" s="10"/>
      <c r="G178" s="1"/>
      <c r="H178" s="1"/>
      <c r="I178" s="1"/>
      <c r="J178" s="2"/>
      <c r="K178" s="1"/>
      <c r="L178" s="3"/>
      <c r="M178" s="1"/>
      <c r="AP178" s="1"/>
      <c r="AQ178" s="1"/>
      <c r="AR178" s="1"/>
      <c r="AS178" s="1"/>
      <c r="AT178" s="1"/>
    </row>
    <row r="179" spans="1:46" s="18" customFormat="1" x14ac:dyDescent="0.2">
      <c r="A179" s="10"/>
      <c r="B179" s="10"/>
      <c r="C179" s="10"/>
      <c r="D179" s="10"/>
      <c r="E179" s="10"/>
      <c r="F179" s="10"/>
      <c r="G179" s="1"/>
      <c r="H179" s="1"/>
      <c r="I179" s="1"/>
      <c r="J179" s="2"/>
      <c r="K179" s="1"/>
      <c r="L179" s="3"/>
      <c r="M179" s="1"/>
      <c r="AP179" s="1"/>
      <c r="AQ179" s="1"/>
      <c r="AR179" s="1"/>
      <c r="AS179" s="1"/>
      <c r="AT179" s="1"/>
    </row>
    <row r="180" spans="1:46" s="18" customFormat="1" x14ac:dyDescent="0.2">
      <c r="A180" s="10"/>
      <c r="B180" s="10"/>
      <c r="C180" s="10"/>
      <c r="D180" s="10"/>
      <c r="E180" s="10"/>
      <c r="F180" s="10"/>
      <c r="G180" s="1"/>
      <c r="H180" s="1"/>
      <c r="I180" s="1"/>
      <c r="J180" s="2"/>
      <c r="K180" s="1"/>
      <c r="L180" s="3"/>
      <c r="M180" s="1"/>
      <c r="AP180" s="1"/>
      <c r="AQ180" s="1"/>
      <c r="AR180" s="1"/>
      <c r="AS180" s="1"/>
      <c r="AT180" s="1"/>
    </row>
    <row r="181" spans="1:46" s="18" customFormat="1" x14ac:dyDescent="0.2">
      <c r="A181" s="10"/>
      <c r="B181" s="10"/>
      <c r="C181" s="10"/>
      <c r="D181" s="10"/>
      <c r="E181" s="10"/>
      <c r="F181" s="10"/>
      <c r="G181" s="1"/>
      <c r="H181" s="1"/>
      <c r="I181" s="1"/>
      <c r="J181" s="2"/>
      <c r="K181" s="1"/>
      <c r="L181" s="3"/>
      <c r="M181" s="1"/>
      <c r="AP181" s="1"/>
      <c r="AQ181" s="1"/>
      <c r="AR181" s="1"/>
      <c r="AS181" s="1"/>
      <c r="AT181" s="1"/>
    </row>
    <row r="182" spans="1:46" s="18" customFormat="1" x14ac:dyDescent="0.2">
      <c r="A182" s="10"/>
      <c r="B182" s="10"/>
      <c r="C182" s="10"/>
      <c r="D182" s="10"/>
      <c r="E182" s="10"/>
      <c r="F182" s="10"/>
      <c r="G182" s="1"/>
      <c r="H182" s="1"/>
      <c r="I182" s="1"/>
      <c r="J182" s="2"/>
      <c r="K182" s="1"/>
      <c r="L182" s="3"/>
      <c r="M182" s="1"/>
      <c r="AP182" s="1"/>
      <c r="AQ182" s="1"/>
      <c r="AR182" s="1"/>
      <c r="AS182" s="1"/>
      <c r="AT182" s="1"/>
    </row>
    <row r="183" spans="1:46" s="18" customFormat="1" x14ac:dyDescent="0.2">
      <c r="A183" s="10"/>
      <c r="B183" s="10"/>
      <c r="C183" s="10"/>
      <c r="D183" s="10"/>
      <c r="E183" s="10"/>
      <c r="F183" s="10"/>
      <c r="G183" s="1"/>
      <c r="H183" s="1"/>
      <c r="I183" s="1"/>
      <c r="J183" s="2"/>
      <c r="K183" s="1"/>
      <c r="L183" s="3"/>
      <c r="M183" s="1"/>
      <c r="AP183" s="1"/>
      <c r="AQ183" s="1"/>
      <c r="AR183" s="1"/>
      <c r="AS183" s="1"/>
      <c r="AT183" s="1"/>
    </row>
    <row r="184" spans="1:46" s="18" customFormat="1" x14ac:dyDescent="0.2">
      <c r="A184" s="10"/>
      <c r="B184" s="10"/>
      <c r="C184" s="10"/>
      <c r="D184" s="10"/>
      <c r="E184" s="10"/>
      <c r="F184" s="10"/>
      <c r="G184" s="1"/>
      <c r="H184" s="1"/>
      <c r="I184" s="1"/>
      <c r="J184" s="2"/>
      <c r="K184" s="1"/>
      <c r="L184" s="3"/>
      <c r="M184" s="1"/>
      <c r="AP184" s="1"/>
      <c r="AQ184" s="1"/>
      <c r="AR184" s="1"/>
      <c r="AS184" s="1"/>
      <c r="AT184" s="1"/>
    </row>
    <row r="185" spans="1:46" s="18" customFormat="1" x14ac:dyDescent="0.2">
      <c r="A185" s="10"/>
      <c r="B185" s="10"/>
      <c r="C185" s="10"/>
      <c r="D185" s="10"/>
      <c r="E185" s="10"/>
      <c r="F185" s="10"/>
      <c r="G185" s="1"/>
      <c r="H185" s="1"/>
      <c r="I185" s="1"/>
      <c r="J185" s="2"/>
      <c r="K185" s="1"/>
      <c r="L185" s="3"/>
      <c r="M185" s="1"/>
      <c r="AP185" s="1"/>
      <c r="AQ185" s="1"/>
      <c r="AR185" s="1"/>
      <c r="AS185" s="1"/>
      <c r="AT185" s="1"/>
    </row>
    <row r="186" spans="1:46" s="18" customFormat="1" x14ac:dyDescent="0.2">
      <c r="A186" s="10"/>
      <c r="B186" s="10"/>
      <c r="C186" s="10"/>
      <c r="D186" s="10"/>
      <c r="E186" s="10"/>
      <c r="F186" s="10"/>
      <c r="G186" s="1"/>
      <c r="H186" s="1"/>
      <c r="I186" s="1"/>
      <c r="J186" s="2"/>
      <c r="K186" s="1"/>
      <c r="L186" s="3"/>
      <c r="M186" s="1"/>
      <c r="AP186" s="1"/>
      <c r="AQ186" s="1"/>
      <c r="AR186" s="1"/>
      <c r="AS186" s="1"/>
      <c r="AT186" s="1"/>
    </row>
    <row r="187" spans="1:46" s="18" customFormat="1" x14ac:dyDescent="0.2">
      <c r="A187" s="10"/>
      <c r="B187" s="10"/>
      <c r="C187" s="10"/>
      <c r="D187" s="10"/>
      <c r="E187" s="10"/>
      <c r="F187" s="10"/>
      <c r="G187" s="1"/>
      <c r="H187" s="1"/>
      <c r="I187" s="1"/>
      <c r="J187" s="2"/>
      <c r="K187" s="1"/>
      <c r="L187" s="3"/>
      <c r="M187" s="1"/>
      <c r="AP187" s="1"/>
      <c r="AQ187" s="1"/>
      <c r="AR187" s="1"/>
      <c r="AS187" s="1"/>
      <c r="AT187" s="1"/>
    </row>
    <row r="188" spans="1:46" s="18" customFormat="1" x14ac:dyDescent="0.2">
      <c r="A188" s="10"/>
      <c r="B188" s="10"/>
      <c r="C188" s="10"/>
      <c r="D188" s="10"/>
      <c r="E188" s="10"/>
      <c r="F188" s="10"/>
      <c r="G188" s="1"/>
      <c r="H188" s="1"/>
      <c r="I188" s="1"/>
      <c r="J188" s="2"/>
      <c r="K188" s="1"/>
      <c r="L188" s="3"/>
      <c r="M188" s="1"/>
      <c r="AP188" s="1"/>
      <c r="AQ188" s="1"/>
      <c r="AR188" s="1"/>
      <c r="AS188" s="1"/>
      <c r="AT188" s="1"/>
    </row>
    <row r="189" spans="1:46" s="18" customFormat="1" x14ac:dyDescent="0.2">
      <c r="A189" s="10"/>
      <c r="B189" s="10"/>
      <c r="C189" s="10"/>
      <c r="D189" s="10"/>
      <c r="E189" s="10"/>
      <c r="F189" s="10"/>
      <c r="G189" s="1"/>
      <c r="H189" s="1"/>
      <c r="I189" s="1"/>
      <c r="J189" s="2"/>
      <c r="K189" s="1"/>
      <c r="L189" s="3"/>
      <c r="M189" s="1"/>
      <c r="AP189" s="1"/>
      <c r="AQ189" s="1"/>
      <c r="AR189" s="1"/>
      <c r="AS189" s="1"/>
      <c r="AT189" s="1"/>
    </row>
    <row r="190" spans="1:46" s="18" customFormat="1" x14ac:dyDescent="0.2">
      <c r="A190" s="10"/>
      <c r="B190" s="10"/>
      <c r="C190" s="10"/>
      <c r="D190" s="10"/>
      <c r="E190" s="10"/>
      <c r="F190" s="10"/>
      <c r="G190" s="1"/>
      <c r="H190" s="1"/>
      <c r="I190" s="1"/>
      <c r="J190" s="2"/>
      <c r="K190" s="1"/>
      <c r="L190" s="3"/>
      <c r="M190" s="1"/>
      <c r="AP190" s="1"/>
      <c r="AQ190" s="1"/>
      <c r="AR190" s="1"/>
      <c r="AS190" s="1"/>
      <c r="AT190" s="1"/>
    </row>
    <row r="191" spans="1:46" s="18" customFormat="1" x14ac:dyDescent="0.2">
      <c r="A191" s="10"/>
      <c r="B191" s="10"/>
      <c r="C191" s="10"/>
      <c r="D191" s="10"/>
      <c r="E191" s="10"/>
      <c r="F191" s="10"/>
      <c r="G191" s="1"/>
      <c r="H191" s="1"/>
      <c r="I191" s="1"/>
      <c r="J191" s="2"/>
      <c r="K191" s="1"/>
      <c r="L191" s="3"/>
      <c r="M191" s="1"/>
      <c r="AP191" s="1"/>
      <c r="AQ191" s="1"/>
      <c r="AR191" s="1"/>
      <c r="AS191" s="1"/>
      <c r="AT191" s="1"/>
    </row>
    <row r="192" spans="1:46" s="18" customFormat="1" x14ac:dyDescent="0.2">
      <c r="A192" s="10"/>
      <c r="B192" s="10"/>
      <c r="C192" s="10"/>
      <c r="D192" s="10"/>
      <c r="E192" s="10"/>
      <c r="F192" s="10"/>
      <c r="G192" s="1"/>
      <c r="H192" s="1"/>
      <c r="I192" s="1"/>
      <c r="J192" s="2"/>
      <c r="K192" s="1"/>
      <c r="L192" s="3"/>
      <c r="M192" s="1"/>
      <c r="AP192" s="1"/>
      <c r="AQ192" s="1"/>
      <c r="AR192" s="1"/>
      <c r="AS192" s="1"/>
      <c r="AT192" s="1"/>
    </row>
    <row r="193" spans="1:46" s="18" customFormat="1" x14ac:dyDescent="0.2">
      <c r="A193" s="10"/>
      <c r="B193" s="10"/>
      <c r="C193" s="10"/>
      <c r="D193" s="10"/>
      <c r="E193" s="10"/>
      <c r="F193" s="10"/>
      <c r="G193" s="1"/>
      <c r="H193" s="1"/>
      <c r="I193" s="1"/>
      <c r="J193" s="2"/>
      <c r="K193" s="1"/>
      <c r="L193" s="3"/>
      <c r="M193" s="1"/>
      <c r="AP193" s="1"/>
      <c r="AQ193" s="1"/>
      <c r="AR193" s="1"/>
      <c r="AS193" s="1"/>
      <c r="AT193" s="1"/>
    </row>
    <row r="194" spans="1:46" s="18" customFormat="1" x14ac:dyDescent="0.2">
      <c r="A194" s="10"/>
      <c r="B194" s="10"/>
      <c r="C194" s="10"/>
      <c r="D194" s="10"/>
      <c r="E194" s="10"/>
      <c r="F194" s="10"/>
      <c r="G194" s="1"/>
      <c r="H194" s="1"/>
      <c r="I194" s="1"/>
      <c r="J194" s="2"/>
      <c r="K194" s="1"/>
      <c r="L194" s="3"/>
      <c r="M194" s="1"/>
      <c r="AP194" s="1"/>
      <c r="AQ194" s="1"/>
      <c r="AR194" s="1"/>
      <c r="AS194" s="1"/>
      <c r="AT194" s="1"/>
    </row>
    <row r="195" spans="1:46" s="18" customFormat="1" x14ac:dyDescent="0.2">
      <c r="A195" s="10"/>
      <c r="B195" s="10"/>
      <c r="C195" s="10"/>
      <c r="D195" s="10"/>
      <c r="E195" s="10"/>
      <c r="F195" s="10"/>
      <c r="G195" s="1"/>
      <c r="H195" s="1"/>
      <c r="I195" s="1"/>
      <c r="J195" s="2"/>
      <c r="K195" s="1"/>
      <c r="L195" s="3"/>
      <c r="M195" s="1"/>
      <c r="AP195" s="1"/>
      <c r="AQ195" s="1"/>
      <c r="AR195" s="1"/>
      <c r="AS195" s="1"/>
      <c r="AT195" s="1"/>
    </row>
    <row r="196" spans="1:46" s="18" customFormat="1" x14ac:dyDescent="0.2">
      <c r="A196" s="10"/>
      <c r="B196" s="10"/>
      <c r="C196" s="10"/>
      <c r="D196" s="10"/>
      <c r="E196" s="10"/>
      <c r="F196" s="10"/>
      <c r="G196" s="1"/>
      <c r="H196" s="1"/>
      <c r="I196" s="1"/>
      <c r="J196" s="2"/>
      <c r="K196" s="1"/>
      <c r="L196" s="3"/>
      <c r="M196" s="1"/>
      <c r="AP196" s="1"/>
      <c r="AQ196" s="1"/>
      <c r="AR196" s="1"/>
      <c r="AS196" s="1"/>
      <c r="AT196" s="1"/>
    </row>
    <row r="197" spans="1:46" s="18" customFormat="1" x14ac:dyDescent="0.2">
      <c r="A197" s="10"/>
      <c r="B197" s="10"/>
      <c r="C197" s="10"/>
      <c r="D197" s="10"/>
      <c r="E197" s="10"/>
      <c r="F197" s="10"/>
      <c r="G197" s="1"/>
      <c r="H197" s="1"/>
      <c r="I197" s="1"/>
      <c r="J197" s="2"/>
      <c r="K197" s="1"/>
      <c r="L197" s="3"/>
      <c r="M197" s="1"/>
      <c r="AP197" s="1"/>
      <c r="AQ197" s="1"/>
      <c r="AR197" s="1"/>
      <c r="AS197" s="1"/>
      <c r="AT197" s="1"/>
    </row>
    <row r="198" spans="1:46" s="18" customFormat="1" x14ac:dyDescent="0.2">
      <c r="A198" s="10"/>
      <c r="B198" s="10"/>
      <c r="C198" s="10"/>
      <c r="D198" s="10"/>
      <c r="E198" s="10"/>
      <c r="F198" s="10"/>
      <c r="G198" s="1"/>
      <c r="H198" s="1"/>
      <c r="I198" s="1"/>
      <c r="J198" s="2"/>
      <c r="K198" s="1"/>
      <c r="L198" s="3"/>
      <c r="M198" s="1"/>
      <c r="AP198" s="1"/>
      <c r="AQ198" s="1"/>
      <c r="AR198" s="1"/>
      <c r="AS198" s="1"/>
      <c r="AT198" s="1"/>
    </row>
    <row r="199" spans="1:46" s="18" customFormat="1" x14ac:dyDescent="0.2">
      <c r="A199" s="10"/>
      <c r="B199" s="10"/>
      <c r="C199" s="10"/>
      <c r="D199" s="10"/>
      <c r="E199" s="10"/>
      <c r="F199" s="10"/>
      <c r="G199" s="1"/>
      <c r="H199" s="1"/>
      <c r="I199" s="1"/>
      <c r="J199" s="2"/>
      <c r="K199" s="1"/>
      <c r="L199" s="3"/>
      <c r="M199" s="1"/>
      <c r="AP199" s="1"/>
      <c r="AQ199" s="1"/>
      <c r="AR199" s="1"/>
      <c r="AS199" s="1"/>
      <c r="AT199" s="1"/>
    </row>
    <row r="200" spans="1:46" s="18" customFormat="1" x14ac:dyDescent="0.2">
      <c r="A200" s="10"/>
      <c r="B200" s="10"/>
      <c r="C200" s="10"/>
      <c r="D200" s="10"/>
      <c r="E200" s="10"/>
      <c r="F200" s="10"/>
      <c r="G200" s="1"/>
      <c r="H200" s="1"/>
      <c r="I200" s="1"/>
      <c r="J200" s="2"/>
      <c r="K200" s="1"/>
      <c r="L200" s="3"/>
      <c r="M200" s="1"/>
      <c r="AP200" s="1"/>
      <c r="AQ200" s="1"/>
      <c r="AR200" s="1"/>
      <c r="AS200" s="1"/>
      <c r="AT200" s="1"/>
    </row>
    <row r="201" spans="1:46" s="18" customFormat="1" x14ac:dyDescent="0.2">
      <c r="A201" s="10"/>
      <c r="B201" s="10"/>
      <c r="C201" s="10"/>
      <c r="D201" s="10"/>
      <c r="E201" s="10"/>
      <c r="F201" s="10"/>
      <c r="G201" s="1"/>
      <c r="H201" s="1"/>
      <c r="I201" s="1"/>
      <c r="J201" s="2"/>
      <c r="K201" s="1"/>
      <c r="L201" s="3"/>
      <c r="M201" s="1"/>
      <c r="AP201" s="1"/>
      <c r="AQ201" s="1"/>
      <c r="AR201" s="1"/>
      <c r="AS201" s="1"/>
      <c r="AT201" s="1"/>
    </row>
    <row r="202" spans="1:46" s="18" customFormat="1" x14ac:dyDescent="0.2">
      <c r="A202" s="10"/>
      <c r="B202" s="10"/>
      <c r="C202" s="10"/>
      <c r="D202" s="10"/>
      <c r="E202" s="10"/>
      <c r="F202" s="10"/>
      <c r="G202" s="1"/>
      <c r="H202" s="1"/>
      <c r="I202" s="1"/>
      <c r="J202" s="2"/>
      <c r="K202" s="1"/>
      <c r="L202" s="3"/>
      <c r="M202" s="1"/>
      <c r="AP202" s="1"/>
      <c r="AQ202" s="1"/>
      <c r="AR202" s="1"/>
      <c r="AS202" s="1"/>
      <c r="AT202" s="1"/>
    </row>
    <row r="203" spans="1:46" s="18" customFormat="1" x14ac:dyDescent="0.2">
      <c r="A203" s="10"/>
      <c r="B203" s="10"/>
      <c r="C203" s="10"/>
      <c r="D203" s="10"/>
      <c r="E203" s="10"/>
      <c r="F203" s="10"/>
      <c r="G203" s="1"/>
      <c r="H203" s="1"/>
      <c r="I203" s="1"/>
      <c r="J203" s="2"/>
      <c r="K203" s="1"/>
      <c r="L203" s="3"/>
      <c r="M203" s="1"/>
      <c r="AP203" s="1"/>
      <c r="AQ203" s="1"/>
      <c r="AR203" s="1"/>
      <c r="AS203" s="1"/>
      <c r="AT203" s="1"/>
    </row>
    <row r="204" spans="1:46" s="18" customFormat="1" x14ac:dyDescent="0.2">
      <c r="A204" s="10"/>
      <c r="B204" s="10"/>
      <c r="C204" s="10"/>
      <c r="D204" s="10"/>
      <c r="E204" s="10"/>
      <c r="F204" s="10"/>
      <c r="G204" s="1"/>
      <c r="H204" s="1"/>
      <c r="I204" s="1"/>
      <c r="J204" s="2"/>
      <c r="K204" s="1"/>
      <c r="L204" s="3"/>
      <c r="M204" s="1"/>
      <c r="AP204" s="1"/>
      <c r="AQ204" s="1"/>
      <c r="AR204" s="1"/>
      <c r="AS204" s="1"/>
      <c r="AT204" s="1"/>
    </row>
    <row r="205" spans="1:46" s="18" customFormat="1" x14ac:dyDescent="0.2">
      <c r="A205" s="10"/>
      <c r="B205" s="10"/>
      <c r="C205" s="10"/>
      <c r="D205" s="10"/>
      <c r="E205" s="10"/>
      <c r="F205" s="10"/>
      <c r="G205" s="1"/>
      <c r="H205" s="1"/>
      <c r="I205" s="1"/>
      <c r="J205" s="2"/>
      <c r="K205" s="1"/>
      <c r="L205" s="3"/>
      <c r="M205" s="1"/>
      <c r="AP205" s="1"/>
      <c r="AQ205" s="1"/>
      <c r="AR205" s="1"/>
      <c r="AS205" s="1"/>
      <c r="AT205" s="1"/>
    </row>
    <row r="206" spans="1:46" s="18" customFormat="1" x14ac:dyDescent="0.2">
      <c r="A206" s="10"/>
      <c r="B206" s="10"/>
      <c r="C206" s="10"/>
      <c r="D206" s="10"/>
      <c r="E206" s="10"/>
      <c r="F206" s="10"/>
      <c r="G206" s="1"/>
      <c r="H206" s="1"/>
      <c r="I206" s="1"/>
      <c r="J206" s="2"/>
      <c r="K206" s="1"/>
      <c r="L206" s="3"/>
      <c r="M206" s="1"/>
      <c r="AP206" s="1"/>
      <c r="AQ206" s="1"/>
      <c r="AR206" s="1"/>
      <c r="AS206" s="1"/>
      <c r="AT206" s="1"/>
    </row>
    <row r="207" spans="1:46" s="18" customFormat="1" x14ac:dyDescent="0.2">
      <c r="A207" s="10"/>
      <c r="B207" s="10"/>
      <c r="C207" s="10"/>
      <c r="D207" s="10"/>
      <c r="E207" s="10"/>
      <c r="F207" s="10"/>
      <c r="G207" s="1"/>
      <c r="H207" s="1"/>
      <c r="I207" s="1"/>
      <c r="J207" s="2"/>
      <c r="K207" s="1"/>
      <c r="L207" s="3"/>
      <c r="M207" s="1"/>
      <c r="AP207" s="1"/>
      <c r="AQ207" s="1"/>
      <c r="AR207" s="1"/>
      <c r="AS207" s="1"/>
      <c r="AT207" s="1"/>
    </row>
    <row r="208" spans="1:46" s="18" customFormat="1" x14ac:dyDescent="0.2">
      <c r="A208" s="10"/>
      <c r="B208" s="10"/>
      <c r="C208" s="10"/>
      <c r="D208" s="10"/>
      <c r="E208" s="10"/>
      <c r="F208" s="10"/>
      <c r="G208" s="1"/>
      <c r="H208" s="1"/>
      <c r="I208" s="1"/>
      <c r="J208" s="2"/>
      <c r="K208" s="1"/>
      <c r="L208" s="3"/>
      <c r="M208" s="1"/>
      <c r="AP208" s="1"/>
      <c r="AQ208" s="1"/>
      <c r="AR208" s="1"/>
      <c r="AS208" s="1"/>
      <c r="AT208" s="1"/>
    </row>
    <row r="209" spans="1:46" s="18" customFormat="1" x14ac:dyDescent="0.2">
      <c r="A209" s="10"/>
      <c r="B209" s="10"/>
      <c r="C209" s="10"/>
      <c r="D209" s="10"/>
      <c r="E209" s="10"/>
      <c r="F209" s="10"/>
      <c r="G209" s="1"/>
      <c r="H209" s="1"/>
      <c r="I209" s="1"/>
      <c r="J209" s="2"/>
      <c r="K209" s="1"/>
      <c r="L209" s="3"/>
      <c r="M209" s="1"/>
      <c r="AP209" s="1"/>
      <c r="AQ209" s="1"/>
      <c r="AR209" s="1"/>
      <c r="AS209" s="1"/>
      <c r="AT209" s="1"/>
    </row>
    <row r="210" spans="1:46" s="18" customFormat="1" x14ac:dyDescent="0.2">
      <c r="A210" s="10"/>
      <c r="B210" s="10"/>
      <c r="C210" s="10"/>
      <c r="D210" s="10"/>
      <c r="E210" s="10"/>
      <c r="F210" s="10"/>
      <c r="G210" s="1"/>
      <c r="H210" s="1"/>
      <c r="I210" s="1"/>
      <c r="J210" s="2"/>
      <c r="K210" s="1"/>
      <c r="L210" s="3"/>
      <c r="M210" s="1"/>
      <c r="AP210" s="1"/>
      <c r="AQ210" s="1"/>
      <c r="AR210" s="1"/>
      <c r="AS210" s="1"/>
      <c r="AT210" s="1"/>
    </row>
    <row r="211" spans="1:46" s="18" customFormat="1" x14ac:dyDescent="0.2">
      <c r="A211" s="10"/>
      <c r="B211" s="10"/>
      <c r="C211" s="10"/>
      <c r="D211" s="10"/>
      <c r="E211" s="10"/>
      <c r="F211" s="10"/>
      <c r="G211" s="1"/>
      <c r="H211" s="1"/>
      <c r="I211" s="1"/>
      <c r="J211" s="2"/>
      <c r="K211" s="1"/>
      <c r="L211" s="3"/>
      <c r="M211" s="1"/>
      <c r="AP211" s="1"/>
      <c r="AQ211" s="1"/>
      <c r="AR211" s="1"/>
      <c r="AS211" s="1"/>
      <c r="AT211" s="1"/>
    </row>
    <row r="212" spans="1:46" s="18" customFormat="1" x14ac:dyDescent="0.2">
      <c r="A212" s="10"/>
      <c r="B212" s="10"/>
      <c r="C212" s="10"/>
      <c r="D212" s="10"/>
      <c r="E212" s="10"/>
      <c r="F212" s="10"/>
      <c r="G212" s="1"/>
      <c r="H212" s="1"/>
      <c r="I212" s="1"/>
      <c r="J212" s="2"/>
      <c r="K212" s="1"/>
      <c r="L212" s="3"/>
      <c r="M212" s="1"/>
      <c r="AP212" s="1"/>
      <c r="AQ212" s="1"/>
      <c r="AR212" s="1"/>
      <c r="AS212" s="1"/>
      <c r="AT212" s="1"/>
    </row>
    <row r="213" spans="1:46" s="18" customFormat="1" x14ac:dyDescent="0.2">
      <c r="A213" s="10"/>
      <c r="B213" s="10"/>
      <c r="C213" s="10"/>
      <c r="D213" s="10"/>
      <c r="E213" s="10"/>
      <c r="F213" s="10"/>
      <c r="G213" s="1"/>
      <c r="H213" s="1"/>
      <c r="I213" s="1"/>
      <c r="J213" s="2"/>
      <c r="K213" s="1"/>
      <c r="L213" s="3"/>
      <c r="M213" s="1"/>
      <c r="AP213" s="1"/>
      <c r="AQ213" s="1"/>
      <c r="AR213" s="1"/>
      <c r="AS213" s="1"/>
      <c r="AT213" s="1"/>
    </row>
    <row r="214" spans="1:46" s="18" customFormat="1" x14ac:dyDescent="0.2">
      <c r="A214" s="10"/>
      <c r="B214" s="10"/>
      <c r="C214" s="10"/>
      <c r="D214" s="10"/>
      <c r="E214" s="10"/>
      <c r="F214" s="10"/>
      <c r="G214" s="1"/>
      <c r="H214" s="1"/>
      <c r="I214" s="1"/>
      <c r="J214" s="2"/>
      <c r="K214" s="1"/>
      <c r="L214" s="3"/>
      <c r="M214" s="1"/>
      <c r="AP214" s="1"/>
      <c r="AQ214" s="1"/>
      <c r="AR214" s="1"/>
      <c r="AS214" s="1"/>
      <c r="AT214" s="1"/>
    </row>
    <row r="215" spans="1:46" s="18" customFormat="1" x14ac:dyDescent="0.2">
      <c r="A215" s="10"/>
      <c r="B215" s="10"/>
      <c r="C215" s="10"/>
      <c r="D215" s="10"/>
      <c r="E215" s="10"/>
      <c r="F215" s="10"/>
      <c r="G215" s="1"/>
      <c r="H215" s="1"/>
      <c r="I215" s="1"/>
      <c r="J215" s="2"/>
      <c r="K215" s="1"/>
      <c r="L215" s="3"/>
      <c r="M215" s="1"/>
      <c r="AP215" s="1"/>
      <c r="AQ215" s="1"/>
      <c r="AR215" s="1"/>
      <c r="AS215" s="1"/>
      <c r="AT215" s="1"/>
    </row>
    <row r="216" spans="1:46" s="18" customFormat="1" x14ac:dyDescent="0.2">
      <c r="A216" s="10"/>
      <c r="B216" s="10"/>
      <c r="C216" s="10"/>
      <c r="D216" s="10"/>
      <c r="E216" s="10"/>
      <c r="F216" s="10"/>
      <c r="G216" s="1"/>
      <c r="H216" s="1"/>
      <c r="I216" s="1"/>
      <c r="J216" s="2"/>
      <c r="K216" s="1"/>
      <c r="L216" s="3"/>
      <c r="M216" s="1"/>
      <c r="AP216" s="1"/>
      <c r="AQ216" s="1"/>
      <c r="AR216" s="1"/>
      <c r="AS216" s="1"/>
      <c r="AT216" s="1"/>
    </row>
    <row r="217" spans="1:46" s="18" customFormat="1" x14ac:dyDescent="0.2">
      <c r="A217" s="10"/>
      <c r="B217" s="10"/>
      <c r="C217" s="10"/>
      <c r="D217" s="10"/>
      <c r="E217" s="10"/>
      <c r="F217" s="10"/>
      <c r="G217" s="1"/>
      <c r="H217" s="1"/>
      <c r="I217" s="1"/>
      <c r="J217" s="2"/>
      <c r="K217" s="1"/>
      <c r="L217" s="3"/>
      <c r="M217" s="1"/>
      <c r="AP217" s="1"/>
      <c r="AQ217" s="1"/>
      <c r="AR217" s="1"/>
      <c r="AS217" s="1"/>
      <c r="AT217" s="1"/>
    </row>
    <row r="218" spans="1:46" s="18" customFormat="1" x14ac:dyDescent="0.2">
      <c r="A218" s="10"/>
      <c r="B218" s="10"/>
      <c r="C218" s="10"/>
      <c r="D218" s="10"/>
      <c r="E218" s="10"/>
      <c r="F218" s="10"/>
      <c r="G218" s="1"/>
      <c r="H218" s="1"/>
      <c r="I218" s="1"/>
      <c r="J218" s="2"/>
      <c r="K218" s="1"/>
      <c r="L218" s="3"/>
      <c r="M218" s="1"/>
      <c r="AP218" s="1"/>
      <c r="AQ218" s="1"/>
      <c r="AR218" s="1"/>
      <c r="AS218" s="1"/>
      <c r="AT218" s="1"/>
    </row>
    <row r="219" spans="1:46" s="18" customFormat="1" x14ac:dyDescent="0.2">
      <c r="A219" s="10"/>
      <c r="B219" s="10"/>
      <c r="C219" s="10"/>
      <c r="D219" s="10"/>
      <c r="E219" s="10"/>
      <c r="F219" s="10"/>
      <c r="G219" s="1"/>
      <c r="H219" s="1"/>
      <c r="I219" s="1"/>
      <c r="J219" s="2"/>
      <c r="K219" s="1"/>
      <c r="L219" s="3"/>
      <c r="M219" s="1"/>
      <c r="AP219" s="1"/>
      <c r="AQ219" s="1"/>
      <c r="AR219" s="1"/>
      <c r="AS219" s="1"/>
      <c r="AT219" s="1"/>
    </row>
    <row r="220" spans="1:46" s="18" customFormat="1" x14ac:dyDescent="0.2">
      <c r="A220" s="10"/>
      <c r="B220" s="10"/>
      <c r="C220" s="10"/>
      <c r="D220" s="10"/>
      <c r="E220" s="10"/>
      <c r="F220" s="10"/>
      <c r="G220" s="1"/>
      <c r="H220" s="1"/>
      <c r="I220" s="1"/>
      <c r="J220" s="2"/>
      <c r="K220" s="1"/>
      <c r="L220" s="3"/>
      <c r="M220" s="1"/>
      <c r="AP220" s="1"/>
      <c r="AQ220" s="1"/>
      <c r="AR220" s="1"/>
      <c r="AS220" s="1"/>
      <c r="AT220" s="1"/>
    </row>
    <row r="221" spans="1:46" s="18" customFormat="1" x14ac:dyDescent="0.2">
      <c r="A221" s="10"/>
      <c r="B221" s="10"/>
      <c r="C221" s="10"/>
      <c r="D221" s="10"/>
      <c r="E221" s="10"/>
      <c r="F221" s="10"/>
      <c r="G221" s="1"/>
      <c r="H221" s="1"/>
      <c r="I221" s="1"/>
      <c r="J221" s="2"/>
      <c r="K221" s="1"/>
      <c r="L221" s="3"/>
      <c r="M221" s="1"/>
      <c r="AP221" s="1"/>
      <c r="AQ221" s="1"/>
      <c r="AR221" s="1"/>
      <c r="AS221" s="1"/>
      <c r="AT221" s="1"/>
    </row>
    <row r="222" spans="1:46" s="18" customFormat="1" x14ac:dyDescent="0.2">
      <c r="A222" s="10"/>
      <c r="B222" s="10"/>
      <c r="C222" s="10"/>
      <c r="D222" s="10"/>
      <c r="E222" s="10"/>
      <c r="F222" s="10"/>
      <c r="G222" s="1"/>
      <c r="H222" s="1"/>
      <c r="I222" s="1"/>
      <c r="J222" s="2"/>
      <c r="K222" s="1"/>
      <c r="L222" s="3"/>
      <c r="M222" s="1"/>
      <c r="AP222" s="1"/>
      <c r="AQ222" s="1"/>
      <c r="AR222" s="1"/>
      <c r="AS222" s="1"/>
      <c r="AT222" s="1"/>
    </row>
    <row r="223" spans="1:46" s="18" customFormat="1" x14ac:dyDescent="0.2">
      <c r="A223" s="10"/>
      <c r="B223" s="10"/>
      <c r="C223" s="10"/>
      <c r="D223" s="10"/>
      <c r="E223" s="10"/>
      <c r="F223" s="10"/>
      <c r="G223" s="1"/>
      <c r="H223" s="1"/>
      <c r="I223" s="1"/>
      <c r="J223" s="2"/>
      <c r="K223" s="1"/>
      <c r="L223" s="3"/>
      <c r="M223" s="1"/>
      <c r="AP223" s="1"/>
      <c r="AQ223" s="1"/>
      <c r="AR223" s="1"/>
      <c r="AS223" s="1"/>
      <c r="AT223" s="1"/>
    </row>
    <row r="224" spans="1:46" s="18" customFormat="1" x14ac:dyDescent="0.2">
      <c r="A224" s="10"/>
      <c r="B224" s="10"/>
      <c r="C224" s="10"/>
      <c r="D224" s="10"/>
      <c r="E224" s="10"/>
      <c r="F224" s="10"/>
      <c r="G224" s="1"/>
      <c r="H224" s="1"/>
      <c r="I224" s="1"/>
      <c r="J224" s="2"/>
      <c r="K224" s="1"/>
      <c r="L224" s="3"/>
      <c r="M224" s="1"/>
      <c r="AP224" s="1"/>
      <c r="AQ224" s="1"/>
      <c r="AR224" s="1"/>
      <c r="AS224" s="1"/>
      <c r="AT224" s="1"/>
    </row>
    <row r="225" spans="1:46" s="18" customFormat="1" x14ac:dyDescent="0.2">
      <c r="A225" s="10"/>
      <c r="B225" s="10"/>
      <c r="C225" s="10"/>
      <c r="D225" s="10"/>
      <c r="E225" s="10"/>
      <c r="F225" s="10"/>
      <c r="G225" s="1"/>
      <c r="H225" s="1"/>
      <c r="I225" s="1"/>
      <c r="J225" s="2"/>
      <c r="K225" s="1"/>
      <c r="L225" s="3"/>
      <c r="M225" s="1"/>
      <c r="AP225" s="1"/>
      <c r="AQ225" s="1"/>
      <c r="AR225" s="1"/>
      <c r="AS225" s="1"/>
      <c r="AT225" s="1"/>
    </row>
    <row r="226" spans="1:46" s="18" customFormat="1" x14ac:dyDescent="0.2">
      <c r="A226" s="10"/>
      <c r="B226" s="10"/>
      <c r="C226" s="10"/>
      <c r="D226" s="10"/>
      <c r="E226" s="10"/>
      <c r="F226" s="10"/>
      <c r="G226" s="1"/>
      <c r="H226" s="1"/>
      <c r="I226" s="1"/>
      <c r="J226" s="2"/>
      <c r="K226" s="1"/>
      <c r="L226" s="3"/>
      <c r="M226" s="1"/>
      <c r="AP226" s="1"/>
      <c r="AQ226" s="1"/>
      <c r="AR226" s="1"/>
      <c r="AS226" s="1"/>
      <c r="AT226" s="1"/>
    </row>
    <row r="227" spans="1:46" s="18" customFormat="1" x14ac:dyDescent="0.2">
      <c r="A227" s="10"/>
      <c r="B227" s="10"/>
      <c r="C227" s="10"/>
      <c r="D227" s="10"/>
      <c r="E227" s="10"/>
      <c r="F227" s="10"/>
      <c r="G227" s="1"/>
      <c r="H227" s="1"/>
      <c r="I227" s="1"/>
      <c r="J227" s="2"/>
      <c r="K227" s="1"/>
      <c r="L227" s="3"/>
      <c r="M227" s="1"/>
      <c r="AP227" s="1"/>
      <c r="AQ227" s="1"/>
      <c r="AR227" s="1"/>
      <c r="AS227" s="1"/>
      <c r="AT227" s="1"/>
    </row>
    <row r="228" spans="1:46" s="18" customFormat="1" x14ac:dyDescent="0.2">
      <c r="A228" s="10"/>
      <c r="B228" s="10"/>
      <c r="C228" s="10"/>
      <c r="D228" s="10"/>
      <c r="E228" s="10"/>
      <c r="F228" s="10"/>
      <c r="G228" s="1"/>
      <c r="H228" s="1"/>
      <c r="I228" s="1"/>
      <c r="J228" s="2"/>
      <c r="K228" s="1"/>
      <c r="L228" s="3"/>
      <c r="M228" s="1"/>
      <c r="AP228" s="1"/>
      <c r="AQ228" s="1"/>
      <c r="AR228" s="1"/>
      <c r="AS228" s="1"/>
      <c r="AT228" s="1"/>
    </row>
    <row r="229" spans="1:46" s="18" customFormat="1" x14ac:dyDescent="0.2">
      <c r="A229" s="10"/>
      <c r="B229" s="10"/>
      <c r="C229" s="10"/>
      <c r="D229" s="10"/>
      <c r="E229" s="10"/>
      <c r="F229" s="10"/>
      <c r="G229" s="1"/>
      <c r="H229" s="1"/>
      <c r="I229" s="1"/>
      <c r="J229" s="2"/>
      <c r="K229" s="1"/>
      <c r="L229" s="3"/>
      <c r="M229" s="1"/>
      <c r="AP229" s="1"/>
      <c r="AQ229" s="1"/>
      <c r="AR229" s="1"/>
      <c r="AS229" s="1"/>
      <c r="AT229" s="1"/>
    </row>
    <row r="230" spans="1:46" s="18" customFormat="1" x14ac:dyDescent="0.2">
      <c r="A230" s="10"/>
      <c r="B230" s="10"/>
      <c r="C230" s="10"/>
      <c r="D230" s="10"/>
      <c r="E230" s="10"/>
      <c r="F230" s="10"/>
      <c r="G230" s="1"/>
      <c r="H230" s="1"/>
      <c r="I230" s="1"/>
      <c r="J230" s="2"/>
      <c r="K230" s="1"/>
      <c r="L230" s="3"/>
      <c r="M230" s="1"/>
      <c r="AP230" s="1"/>
      <c r="AQ230" s="1"/>
      <c r="AR230" s="1"/>
      <c r="AS230" s="1"/>
      <c r="AT230" s="1"/>
    </row>
    <row r="231" spans="1:46" s="18" customFormat="1" x14ac:dyDescent="0.2">
      <c r="A231" s="10"/>
      <c r="B231" s="10"/>
      <c r="C231" s="10"/>
      <c r="D231" s="10"/>
      <c r="E231" s="10"/>
      <c r="F231" s="10"/>
      <c r="G231" s="1"/>
      <c r="H231" s="1"/>
      <c r="I231" s="1"/>
      <c r="J231" s="2"/>
      <c r="K231" s="1"/>
      <c r="L231" s="3"/>
      <c r="M231" s="1"/>
      <c r="AP231" s="1"/>
      <c r="AQ231" s="1"/>
      <c r="AR231" s="1"/>
      <c r="AS231" s="1"/>
      <c r="AT231" s="1"/>
    </row>
    <row r="232" spans="1:46" s="18" customFormat="1" x14ac:dyDescent="0.2">
      <c r="A232" s="10"/>
      <c r="B232" s="10"/>
      <c r="C232" s="10"/>
      <c r="D232" s="10"/>
      <c r="E232" s="10"/>
      <c r="F232" s="10"/>
      <c r="G232" s="1"/>
      <c r="H232" s="1"/>
      <c r="I232" s="1"/>
      <c r="J232" s="2"/>
      <c r="K232" s="1"/>
      <c r="L232" s="3"/>
      <c r="M232" s="1"/>
      <c r="N232" s="1"/>
      <c r="AP232" s="1"/>
      <c r="AQ232" s="1"/>
      <c r="AR232" s="1"/>
      <c r="AS232" s="1"/>
      <c r="AT232" s="1"/>
    </row>
    <row r="233" spans="1:46" s="18" customFormat="1" x14ac:dyDescent="0.2">
      <c r="A233" s="10"/>
      <c r="B233" s="10"/>
      <c r="C233" s="10"/>
      <c r="D233" s="10"/>
      <c r="E233" s="10"/>
      <c r="F233" s="10"/>
      <c r="G233" s="1"/>
      <c r="H233" s="1"/>
      <c r="I233" s="1"/>
      <c r="J233" s="2"/>
      <c r="K233" s="1"/>
      <c r="L233" s="3"/>
      <c r="M233" s="1"/>
      <c r="N233" s="1"/>
      <c r="AP233" s="1"/>
      <c r="AQ233" s="1"/>
      <c r="AR233" s="1"/>
      <c r="AS233" s="1"/>
      <c r="AT233" s="1"/>
    </row>
  </sheetData>
  <mergeCells count="1">
    <mergeCell ref="P3:R3"/>
  </mergeCells>
  <conditionalFormatting sqref="N44:O44 N47:AO47 S44:AO44 P21:R23 N31:AO43">
    <cfRule type="cellIs" dxfId="78" priority="70" operator="lessThan">
      <formula>0</formula>
    </cfRule>
  </conditionalFormatting>
  <conditionalFormatting sqref="R44">
    <cfRule type="cellIs" dxfId="77" priority="29" operator="lessThan">
      <formula>0</formula>
    </cfRule>
  </conditionalFormatting>
  <conditionalFormatting sqref="P44">
    <cfRule type="cellIs" dxfId="76" priority="11" operator="lessThan">
      <formula>0</formula>
    </cfRule>
  </conditionalFormatting>
  <conditionalFormatting sqref="Q44">
    <cfRule type="cellIs" dxfId="75" priority="12" operator="lessThan">
      <formula>0</formula>
    </cfRule>
  </conditionalFormatting>
  <conditionalFormatting sqref="N45:AO45">
    <cfRule type="cellIs" dxfId="74" priority="10" operator="lessThan">
      <formula>0</formula>
    </cfRule>
  </conditionalFormatting>
  <conditionalFormatting sqref="P14:R16">
    <cfRule type="cellIs" dxfId="73" priority="9" operator="lessThan">
      <formula>0</formula>
    </cfRule>
  </conditionalFormatting>
  <conditionalFormatting sqref="P29:R29">
    <cfRule type="cellIs" dxfId="72" priority="8" operator="lessThan">
      <formula>0</formula>
    </cfRule>
  </conditionalFormatting>
  <conditionalFormatting sqref="P14:P16">
    <cfRule type="cellIs" dxfId="71" priority="6" operator="lessThan">
      <formula>0</formula>
    </cfRule>
  </conditionalFormatting>
  <conditionalFormatting sqref="P17:R19">
    <cfRule type="cellIs" dxfId="70" priority="5" operator="lessThan">
      <formula>0</formula>
    </cfRule>
  </conditionalFormatting>
  <conditionalFormatting sqref="P17:P19">
    <cfRule type="cellIs" dxfId="69" priority="4" operator="lessThan">
      <formula>0</formula>
    </cfRule>
  </conditionalFormatting>
  <conditionalFormatting sqref="Q15:R15">
    <cfRule type="cellIs" dxfId="68" priority="3" operator="lessThan">
      <formula>0</formula>
    </cfRule>
  </conditionalFormatting>
  <conditionalFormatting sqref="P26:R28">
    <cfRule type="cellIs" dxfId="67" priority="2" operator="lessThan">
      <formula>0</formula>
    </cfRule>
  </conditionalFormatting>
  <conditionalFormatting sqref="P26:R28">
    <cfRule type="cellIs" dxfId="66" priority="1" operator="lessThan">
      <formula>0</formula>
    </cfRule>
  </conditionalFormatting>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BA237"/>
  <sheetViews>
    <sheetView zoomScale="85" zoomScaleNormal="85" workbookViewId="0">
      <pane xSplit="12" ySplit="6" topLeftCell="M25" activePane="bottomRight" state="frozen"/>
      <selection activeCell="P35" sqref="P35"/>
      <selection pane="topRight" activeCell="P35" sqref="P35"/>
      <selection pane="bottomLeft" activeCell="P35" sqref="P35"/>
      <selection pane="bottomRight" activeCell="R36" sqref="R36"/>
    </sheetView>
  </sheetViews>
  <sheetFormatPr defaultColWidth="0" defaultRowHeight="12" outlineLevelCol="1" x14ac:dyDescent="0.2"/>
  <cols>
    <col min="1" max="5" width="2.6640625" style="1" customWidth="1"/>
    <col min="6" max="6" width="42"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5" width="16" style="18" hidden="1" customWidth="1" outlineLevel="1"/>
    <col min="16" max="17" width="16" style="18" customWidth="1" collapsed="1"/>
    <col min="18" max="31" width="16" style="18" customWidth="1"/>
    <col min="32"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468</v>
      </c>
      <c r="N3" s="751" t="s">
        <v>0</v>
      </c>
      <c r="O3" s="751"/>
      <c r="P3" s="751"/>
      <c r="Q3" s="751"/>
      <c r="R3" s="751"/>
      <c r="S3" s="1"/>
      <c r="T3" s="1"/>
      <c r="U3" s="1"/>
      <c r="V3" s="1"/>
      <c r="W3" s="1"/>
      <c r="X3" s="1"/>
      <c r="Y3" s="1"/>
      <c r="Z3" s="1"/>
      <c r="AA3" s="1"/>
      <c r="AB3" s="1"/>
      <c r="AC3" s="1"/>
      <c r="AD3" s="1"/>
      <c r="AE3" s="1"/>
      <c r="AF3" s="1"/>
      <c r="AG3" s="1"/>
      <c r="AH3" s="1"/>
      <c r="AI3" s="1"/>
      <c r="AJ3" s="1"/>
      <c r="AK3" s="1"/>
      <c r="AL3" s="1"/>
      <c r="AM3" s="1"/>
      <c r="AN3" s="1"/>
      <c r="AO3" s="1"/>
    </row>
    <row r="4" spans="1:43" x14ac:dyDescent="0.2">
      <c r="F4" s="5"/>
      <c r="N4" s="6" t="str">
        <f t="shared" ref="N4:AD4" si="0">Range</f>
        <v>Actual</v>
      </c>
      <c r="O4" s="6" t="str">
        <f t="shared" si="0"/>
        <v>Actual</v>
      </c>
      <c r="P4" s="6" t="str">
        <f t="shared" si="0"/>
        <v>Actual</v>
      </c>
      <c r="Q4" s="6" t="str">
        <f t="shared" si="0"/>
        <v>Actual</v>
      </c>
      <c r="R4" s="6"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Consolidated Balance Sheet</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Q9" s="18" t="s">
        <v>8</v>
      </c>
    </row>
    <row r="10" spans="1:43" s="10" customFormat="1" ht="12.6" thickBot="1" x14ac:dyDescent="0.25">
      <c r="A10" s="1"/>
      <c r="B10" s="1"/>
      <c r="J10" s="22"/>
      <c r="L10" s="23"/>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row>
    <row r="11" spans="1:43" s="10" customFormat="1" ht="12.6" thickTop="1" x14ac:dyDescent="0.2">
      <c r="A11" s="1"/>
      <c r="B11" s="1"/>
      <c r="C11" s="320" t="s">
        <v>21</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31"/>
      <c r="AF11" s="31"/>
      <c r="AG11" s="31"/>
      <c r="AH11" s="31"/>
      <c r="AI11" s="31"/>
      <c r="AJ11" s="31"/>
      <c r="AK11" s="31"/>
      <c r="AL11" s="31"/>
      <c r="AM11" s="31"/>
      <c r="AN11" s="31"/>
      <c r="AO11" s="31"/>
    </row>
    <row r="12" spans="1:43" s="10" customFormat="1" ht="12.6" x14ac:dyDescent="0.25">
      <c r="A12" s="1"/>
      <c r="B12" s="1"/>
      <c r="E12" s="32"/>
      <c r="J12" s="22"/>
      <c r="L12" s="23"/>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row>
    <row r="13" spans="1:43" s="97" customFormat="1" ht="12.6" x14ac:dyDescent="0.25">
      <c r="A13" s="1"/>
      <c r="B13" s="1"/>
      <c r="C13" s="32" t="s">
        <v>22</v>
      </c>
      <c r="E13" s="32"/>
      <c r="J13" s="98"/>
      <c r="L13" s="99"/>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x14ac:dyDescent="0.2">
      <c r="A14" s="1"/>
      <c r="B14" s="1"/>
      <c r="D14" s="97" t="s">
        <v>451</v>
      </c>
      <c r="J14" s="98" t="s">
        <v>1205</v>
      </c>
      <c r="L14" s="99" t="s">
        <v>44</v>
      </c>
      <c r="N14" s="101"/>
      <c r="O14" s="101"/>
      <c r="P14" s="101"/>
      <c r="Q14" s="101">
        <v>277034</v>
      </c>
      <c r="R14" s="101">
        <v>422580</v>
      </c>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A15" s="1"/>
      <c r="B15" s="1"/>
      <c r="D15" s="97" t="s">
        <v>827</v>
      </c>
      <c r="J15" s="98" t="s">
        <v>1205</v>
      </c>
      <c r="L15" s="99" t="s">
        <v>828</v>
      </c>
      <c r="N15" s="101"/>
      <c r="O15" s="101"/>
      <c r="P15" s="101"/>
      <c r="Q15" s="101">
        <v>42988</v>
      </c>
      <c r="R15" s="101">
        <v>59350</v>
      </c>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row>
    <row r="16" spans="1:43" s="97" customFormat="1" x14ac:dyDescent="0.2">
      <c r="A16" s="1"/>
      <c r="B16" s="1"/>
      <c r="D16" s="97" t="s">
        <v>829</v>
      </c>
      <c r="J16" s="98" t="s">
        <v>1205</v>
      </c>
      <c r="L16" s="99" t="s">
        <v>832</v>
      </c>
      <c r="N16" s="101"/>
      <c r="O16" s="101"/>
      <c r="P16" s="101"/>
      <c r="Q16" s="101">
        <v>82251</v>
      </c>
      <c r="R16" s="101">
        <v>79005</v>
      </c>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1:41" s="97" customFormat="1" ht="12.6" x14ac:dyDescent="0.25">
      <c r="A17" s="1"/>
      <c r="B17" s="1"/>
      <c r="D17" s="97" t="s">
        <v>830</v>
      </c>
      <c r="E17" s="32"/>
      <c r="J17" s="98" t="s">
        <v>1205</v>
      </c>
      <c r="L17" s="99" t="s">
        <v>831</v>
      </c>
      <c r="N17" s="101"/>
      <c r="O17" s="101"/>
      <c r="P17" s="101"/>
      <c r="Q17" s="101">
        <v>1365</v>
      </c>
      <c r="R17" s="101">
        <v>8891</v>
      </c>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row>
    <row r="18" spans="1:41" s="97" customFormat="1" ht="12.6" x14ac:dyDescent="0.25">
      <c r="A18" s="1"/>
      <c r="B18" s="1"/>
      <c r="D18" s="97" t="s">
        <v>833</v>
      </c>
      <c r="E18" s="32"/>
      <c r="J18" s="98" t="s">
        <v>1205</v>
      </c>
      <c r="L18" s="99" t="s">
        <v>834</v>
      </c>
      <c r="N18" s="101"/>
      <c r="O18" s="101"/>
      <c r="P18" s="101"/>
      <c r="Q18" s="101">
        <v>10749</v>
      </c>
      <c r="R18" s="101">
        <v>13585</v>
      </c>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1:41" s="97" customFormat="1" ht="12.6" x14ac:dyDescent="0.25">
      <c r="A19" s="1"/>
      <c r="B19" s="1"/>
      <c r="D19" s="97" t="s">
        <v>835</v>
      </c>
      <c r="E19" s="32"/>
      <c r="J19" s="98" t="s">
        <v>1205</v>
      </c>
      <c r="L19" s="99" t="s">
        <v>836</v>
      </c>
      <c r="N19" s="101"/>
      <c r="O19" s="101"/>
      <c r="P19" s="101"/>
      <c r="Q19" s="101">
        <v>22777</v>
      </c>
      <c r="R19" s="101">
        <v>21718</v>
      </c>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1:41" s="97" customFormat="1" ht="12.6" x14ac:dyDescent="0.25">
      <c r="A20" s="1"/>
      <c r="B20" s="1"/>
      <c r="D20" s="97" t="s">
        <v>838</v>
      </c>
      <c r="E20" s="32"/>
      <c r="J20" s="98" t="s">
        <v>1205</v>
      </c>
      <c r="L20" s="99" t="s">
        <v>839</v>
      </c>
      <c r="N20" s="101"/>
      <c r="O20" s="101"/>
      <c r="P20" s="101"/>
      <c r="Q20" s="101">
        <v>11451</v>
      </c>
      <c r="R20" s="101">
        <v>12607</v>
      </c>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row>
    <row r="21" spans="1:41" s="97" customFormat="1" ht="12.6" x14ac:dyDescent="0.25">
      <c r="A21" s="1"/>
      <c r="B21" s="1"/>
      <c r="D21" s="97" t="s">
        <v>840</v>
      </c>
      <c r="E21" s="32"/>
      <c r="J21" s="98" t="s">
        <v>1205</v>
      </c>
      <c r="L21" s="99" t="s">
        <v>841</v>
      </c>
      <c r="N21" s="101"/>
      <c r="O21" s="101"/>
      <c r="P21" s="101"/>
      <c r="Q21" s="101">
        <v>1640</v>
      </c>
      <c r="R21" s="101">
        <v>10704</v>
      </c>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row>
    <row r="22" spans="1:41" s="97" customFormat="1" x14ac:dyDescent="0.2">
      <c r="A22" s="1"/>
      <c r="B22" s="1"/>
      <c r="D22" s="97" t="s">
        <v>842</v>
      </c>
      <c r="J22" s="98" t="s">
        <v>1205</v>
      </c>
      <c r="L22" s="99" t="s">
        <v>843</v>
      </c>
      <c r="N22" s="101"/>
      <c r="O22" s="101"/>
      <c r="P22" s="101"/>
      <c r="Q22" s="101">
        <v>19275</v>
      </c>
      <c r="R22" s="101">
        <v>30404</v>
      </c>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row>
    <row r="23" spans="1:41" s="97" customFormat="1" ht="12.6" x14ac:dyDescent="0.25">
      <c r="A23" s="1"/>
      <c r="B23" s="1"/>
      <c r="D23" s="27" t="s">
        <v>844</v>
      </c>
      <c r="E23" s="27"/>
      <c r="F23" s="27"/>
      <c r="G23" s="27"/>
      <c r="H23" s="27"/>
      <c r="I23" s="27"/>
      <c r="J23" s="372" t="s">
        <v>1205</v>
      </c>
      <c r="K23" s="27"/>
      <c r="L23" s="83"/>
      <c r="M23" s="27"/>
      <c r="N23" s="66"/>
      <c r="O23" s="66"/>
      <c r="P23" s="66"/>
      <c r="Q23" s="66">
        <f>SUM(Q14:Q22)</f>
        <v>469530</v>
      </c>
      <c r="R23" s="66">
        <f>SUM(R14:R22)</f>
        <v>658844</v>
      </c>
      <c r="S23" s="66">
        <f t="shared" ref="S23:AD23" si="2">SUM(S14:S22)</f>
        <v>0</v>
      </c>
      <c r="T23" s="66">
        <f t="shared" si="2"/>
        <v>0</v>
      </c>
      <c r="U23" s="66">
        <f t="shared" si="2"/>
        <v>0</v>
      </c>
      <c r="V23" s="66">
        <f t="shared" si="2"/>
        <v>0</v>
      </c>
      <c r="W23" s="66">
        <f t="shared" si="2"/>
        <v>0</v>
      </c>
      <c r="X23" s="66">
        <f t="shared" si="2"/>
        <v>0</v>
      </c>
      <c r="Y23" s="66">
        <f t="shared" si="2"/>
        <v>0</v>
      </c>
      <c r="Z23" s="66">
        <f t="shared" si="2"/>
        <v>0</v>
      </c>
      <c r="AA23" s="66">
        <f t="shared" si="2"/>
        <v>0</v>
      </c>
      <c r="AB23" s="66">
        <f t="shared" si="2"/>
        <v>0</v>
      </c>
      <c r="AC23" s="66">
        <f t="shared" si="2"/>
        <v>0</v>
      </c>
      <c r="AD23" s="66">
        <f t="shared" si="2"/>
        <v>0</v>
      </c>
      <c r="AE23" s="103"/>
      <c r="AF23" s="101"/>
      <c r="AG23" s="101"/>
      <c r="AH23" s="101"/>
      <c r="AI23" s="101"/>
      <c r="AJ23" s="101"/>
      <c r="AK23" s="101"/>
      <c r="AL23" s="101"/>
      <c r="AM23" s="101"/>
      <c r="AN23" s="101"/>
      <c r="AO23" s="101"/>
    </row>
    <row r="24" spans="1:41" s="97" customFormat="1" ht="12.6" x14ac:dyDescent="0.25">
      <c r="A24" s="1"/>
      <c r="B24" s="1"/>
      <c r="E24" s="32"/>
      <c r="J24" s="98"/>
      <c r="L24" s="99"/>
      <c r="N24" s="101"/>
      <c r="O24" s="101"/>
      <c r="P24" s="101"/>
      <c r="Q24" s="101"/>
      <c r="R24" s="101"/>
      <c r="S24" s="101"/>
      <c r="T24" s="101"/>
      <c r="U24" s="101"/>
      <c r="V24" s="101"/>
      <c r="W24" s="101"/>
      <c r="X24" s="101"/>
      <c r="Y24" s="101"/>
      <c r="Z24" s="101"/>
      <c r="AA24" s="101"/>
      <c r="AB24" s="101"/>
      <c r="AC24" s="101"/>
      <c r="AD24" s="101"/>
      <c r="AE24" s="101"/>
      <c r="AF24" s="101"/>
      <c r="AG24" s="101"/>
      <c r="AH24" s="101"/>
      <c r="AI24" s="101"/>
      <c r="AJ24" s="101"/>
      <c r="AK24" s="101"/>
      <c r="AL24" s="101"/>
      <c r="AM24" s="101"/>
      <c r="AN24" s="101"/>
      <c r="AO24" s="101"/>
    </row>
    <row r="25" spans="1:41" s="97" customFormat="1" ht="12.6" x14ac:dyDescent="0.25">
      <c r="A25" s="1"/>
      <c r="B25" s="1"/>
      <c r="C25" s="32" t="s">
        <v>90</v>
      </c>
      <c r="E25" s="32"/>
      <c r="J25" s="98"/>
      <c r="L25" s="99"/>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1:41" s="97" customFormat="1" x14ac:dyDescent="0.2">
      <c r="A26" s="1"/>
      <c r="B26" s="1"/>
      <c r="D26" s="97" t="s">
        <v>296</v>
      </c>
      <c r="J26" s="98" t="s">
        <v>1205</v>
      </c>
      <c r="L26" s="99" t="s">
        <v>847</v>
      </c>
      <c r="N26" s="101"/>
      <c r="O26" s="101"/>
      <c r="P26" s="101"/>
      <c r="Q26" s="101">
        <v>41229</v>
      </c>
      <c r="R26" s="101">
        <v>58999</v>
      </c>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row>
    <row r="27" spans="1:41" s="10" customFormat="1" x14ac:dyDescent="0.2">
      <c r="A27" s="1"/>
      <c r="B27" s="1"/>
      <c r="C27" s="97"/>
      <c r="D27" s="97" t="s">
        <v>447</v>
      </c>
      <c r="E27" s="97"/>
      <c r="F27" s="97"/>
      <c r="J27" s="22" t="s">
        <v>1205</v>
      </c>
      <c r="L27" s="23" t="s">
        <v>45</v>
      </c>
      <c r="N27" s="31"/>
      <c r="O27" s="31"/>
      <c r="P27" s="31"/>
      <c r="Q27" s="101">
        <v>239229</v>
      </c>
      <c r="R27" s="101">
        <v>337297</v>
      </c>
      <c r="S27" s="31"/>
      <c r="T27" s="31"/>
      <c r="U27" s="31"/>
      <c r="V27" s="31"/>
      <c r="W27" s="31"/>
      <c r="X27" s="31"/>
      <c r="Y27" s="31"/>
      <c r="Z27" s="31"/>
      <c r="AA27" s="31"/>
      <c r="AB27" s="31"/>
      <c r="AC27" s="31"/>
      <c r="AD27" s="31"/>
      <c r="AE27" s="31"/>
      <c r="AF27" s="31"/>
      <c r="AG27" s="31"/>
      <c r="AH27" s="31"/>
      <c r="AI27" s="31"/>
      <c r="AJ27" s="31"/>
      <c r="AK27" s="31"/>
      <c r="AL27" s="31"/>
      <c r="AM27" s="31"/>
      <c r="AN27" s="31"/>
      <c r="AO27" s="31"/>
    </row>
    <row r="28" spans="1:41" s="97" customFormat="1" x14ac:dyDescent="0.2">
      <c r="A28" s="1"/>
      <c r="B28" s="1"/>
      <c r="D28" s="97" t="s">
        <v>448</v>
      </c>
      <c r="J28" s="98" t="s">
        <v>1205</v>
      </c>
      <c r="L28" s="99" t="s">
        <v>469</v>
      </c>
      <c r="N28" s="101"/>
      <c r="O28" s="101"/>
      <c r="P28" s="101"/>
      <c r="Q28" s="101">
        <v>116994</v>
      </c>
      <c r="R28" s="101">
        <v>98036</v>
      </c>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row>
    <row r="29" spans="1:41" x14ac:dyDescent="0.2">
      <c r="D29" s="1" t="s">
        <v>848</v>
      </c>
      <c r="J29" s="98" t="s">
        <v>1205</v>
      </c>
      <c r="L29" s="99" t="s">
        <v>849</v>
      </c>
      <c r="Q29" s="25">
        <v>255919</v>
      </c>
      <c r="R29" s="25">
        <v>247370</v>
      </c>
    </row>
    <row r="30" spans="1:41" x14ac:dyDescent="0.2">
      <c r="D30" s="1" t="s">
        <v>850</v>
      </c>
      <c r="J30" s="98" t="s">
        <v>1205</v>
      </c>
      <c r="L30" s="99" t="s">
        <v>854</v>
      </c>
      <c r="Q30" s="25">
        <v>34330</v>
      </c>
      <c r="R30" s="25">
        <v>24950</v>
      </c>
    </row>
    <row r="31" spans="1:41" x14ac:dyDescent="0.2">
      <c r="D31" s="1" t="s">
        <v>851</v>
      </c>
      <c r="J31" s="98" t="s">
        <v>1205</v>
      </c>
      <c r="L31" s="99" t="s">
        <v>855</v>
      </c>
      <c r="Q31" s="25">
        <v>22718</v>
      </c>
      <c r="R31" s="25">
        <v>36485</v>
      </c>
    </row>
    <row r="32" spans="1:41" x14ac:dyDescent="0.2">
      <c r="D32" s="1" t="s">
        <v>852</v>
      </c>
      <c r="J32" s="98" t="s">
        <v>1205</v>
      </c>
      <c r="L32" s="99" t="s">
        <v>856</v>
      </c>
      <c r="Q32" s="25">
        <v>23</v>
      </c>
      <c r="R32" s="25">
        <v>22</v>
      </c>
    </row>
    <row r="33" spans="1:41" x14ac:dyDescent="0.2">
      <c r="D33" s="1" t="s">
        <v>853</v>
      </c>
      <c r="J33" s="98" t="s">
        <v>1205</v>
      </c>
      <c r="L33" s="99" t="s">
        <v>857</v>
      </c>
      <c r="Q33" s="25">
        <v>940</v>
      </c>
      <c r="R33" s="25">
        <v>892</v>
      </c>
    </row>
    <row r="34" spans="1:41" s="97" customFormat="1" ht="12.6" x14ac:dyDescent="0.25">
      <c r="A34" s="1"/>
      <c r="B34" s="1"/>
      <c r="D34" s="27" t="s">
        <v>858</v>
      </c>
      <c r="E34" s="27"/>
      <c r="F34" s="27"/>
      <c r="G34" s="27"/>
      <c r="H34" s="27"/>
      <c r="I34" s="27"/>
      <c r="J34" s="372" t="s">
        <v>1205</v>
      </c>
      <c r="K34" s="27"/>
      <c r="L34" s="83"/>
      <c r="M34" s="27"/>
      <c r="N34" s="66"/>
      <c r="O34" s="66"/>
      <c r="P34" s="66"/>
      <c r="Q34" s="66">
        <f>SUM(Q26:Q33)</f>
        <v>711382</v>
      </c>
      <c r="R34" s="66">
        <f>SUM(R26:R33)</f>
        <v>804051</v>
      </c>
      <c r="S34" s="66">
        <f t="shared" ref="S34:AD34" si="3">SUM(S26:S33)</f>
        <v>0</v>
      </c>
      <c r="T34" s="66">
        <f t="shared" si="3"/>
        <v>0</v>
      </c>
      <c r="U34" s="66">
        <f t="shared" si="3"/>
        <v>0</v>
      </c>
      <c r="V34" s="66">
        <f t="shared" si="3"/>
        <v>0</v>
      </c>
      <c r="W34" s="66">
        <f t="shared" si="3"/>
        <v>0</v>
      </c>
      <c r="X34" s="66">
        <f t="shared" si="3"/>
        <v>0</v>
      </c>
      <c r="Y34" s="66">
        <f t="shared" si="3"/>
        <v>0</v>
      </c>
      <c r="Z34" s="66">
        <f t="shared" si="3"/>
        <v>0</v>
      </c>
      <c r="AA34" s="66">
        <f t="shared" si="3"/>
        <v>0</v>
      </c>
      <c r="AB34" s="66">
        <f t="shared" si="3"/>
        <v>0</v>
      </c>
      <c r="AC34" s="66">
        <f t="shared" si="3"/>
        <v>0</v>
      </c>
      <c r="AD34" s="66">
        <f t="shared" si="3"/>
        <v>0</v>
      </c>
      <c r="AE34" s="103"/>
      <c r="AF34" s="101"/>
      <c r="AG34" s="101"/>
      <c r="AH34" s="101"/>
      <c r="AI34" s="101"/>
      <c r="AJ34" s="101"/>
      <c r="AK34" s="101"/>
      <c r="AL34" s="101"/>
      <c r="AM34" s="101"/>
      <c r="AN34" s="101"/>
      <c r="AO34" s="101"/>
    </row>
    <row r="35" spans="1:41" s="97" customFormat="1" ht="12.6" x14ac:dyDescent="0.25">
      <c r="A35" s="1"/>
      <c r="B35" s="1"/>
      <c r="D35" s="32"/>
      <c r="J35" s="98"/>
      <c r="L35" s="99"/>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1" ht="12.6" x14ac:dyDescent="0.25">
      <c r="D36" s="27" t="s">
        <v>859</v>
      </c>
      <c r="E36" s="28"/>
      <c r="F36" s="28"/>
      <c r="G36" s="28"/>
      <c r="H36" s="28"/>
      <c r="I36" s="28"/>
      <c r="J36" s="372" t="s">
        <v>1205</v>
      </c>
      <c r="K36" s="28"/>
      <c r="L36" s="30"/>
      <c r="M36" s="28"/>
      <c r="N36" s="28"/>
      <c r="O36" s="130"/>
      <c r="P36" s="130"/>
      <c r="Q36" s="66">
        <f>Q34+Q23</f>
        <v>1180912</v>
      </c>
      <c r="R36" s="66">
        <f t="shared" ref="R36:AD36" si="4">R34+R23</f>
        <v>1462895</v>
      </c>
      <c r="S36" s="66">
        <f t="shared" si="4"/>
        <v>0</v>
      </c>
      <c r="T36" s="66">
        <f t="shared" si="4"/>
        <v>0</v>
      </c>
      <c r="U36" s="66">
        <f t="shared" si="4"/>
        <v>0</v>
      </c>
      <c r="V36" s="66">
        <f t="shared" si="4"/>
        <v>0</v>
      </c>
      <c r="W36" s="66">
        <f t="shared" si="4"/>
        <v>0</v>
      </c>
      <c r="X36" s="66">
        <f t="shared" si="4"/>
        <v>0</v>
      </c>
      <c r="Y36" s="66">
        <f t="shared" si="4"/>
        <v>0</v>
      </c>
      <c r="Z36" s="66">
        <f t="shared" si="4"/>
        <v>0</v>
      </c>
      <c r="AA36" s="66">
        <f t="shared" si="4"/>
        <v>0</v>
      </c>
      <c r="AB36" s="66">
        <f t="shared" si="4"/>
        <v>0</v>
      </c>
      <c r="AC36" s="66">
        <f t="shared" si="4"/>
        <v>0</v>
      </c>
      <c r="AD36" s="66">
        <f t="shared" si="4"/>
        <v>0</v>
      </c>
    </row>
    <row r="37" spans="1:41" ht="12.6" x14ac:dyDescent="0.25">
      <c r="J37" s="37"/>
    </row>
    <row r="38" spans="1:41" ht="12.6" x14ac:dyDescent="0.25">
      <c r="C38" s="35" t="s">
        <v>27</v>
      </c>
      <c r="J38" s="37"/>
      <c r="Q38" s="25"/>
      <c r="R38" s="25"/>
    </row>
    <row r="39" spans="1:41" ht="12.6" x14ac:dyDescent="0.25">
      <c r="C39" s="35"/>
      <c r="D39" s="1" t="s">
        <v>860</v>
      </c>
      <c r="J39" s="98" t="s">
        <v>1205</v>
      </c>
      <c r="L39" s="99" t="s">
        <v>864</v>
      </c>
      <c r="Q39" s="25">
        <v>6343</v>
      </c>
      <c r="R39" s="25">
        <v>15392</v>
      </c>
    </row>
    <row r="40" spans="1:41" ht="12.6" x14ac:dyDescent="0.25">
      <c r="C40" s="35"/>
      <c r="D40" s="1" t="s">
        <v>861</v>
      </c>
      <c r="J40" s="98" t="s">
        <v>1205</v>
      </c>
      <c r="L40" s="99" t="s">
        <v>865</v>
      </c>
      <c r="Q40" s="25">
        <v>14388</v>
      </c>
      <c r="R40" s="25">
        <v>14616</v>
      </c>
    </row>
    <row r="41" spans="1:41" s="97" customFormat="1" x14ac:dyDescent="0.2">
      <c r="A41" s="1"/>
      <c r="B41" s="1"/>
      <c r="D41" s="97" t="s">
        <v>450</v>
      </c>
      <c r="J41" s="98" t="s">
        <v>1205</v>
      </c>
      <c r="L41" s="99" t="s">
        <v>46</v>
      </c>
      <c r="N41" s="101"/>
      <c r="O41" s="101"/>
      <c r="P41" s="101"/>
      <c r="Q41" s="101">
        <v>31319</v>
      </c>
      <c r="R41" s="101">
        <v>42549</v>
      </c>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row>
    <row r="42" spans="1:41" s="97" customFormat="1" x14ac:dyDescent="0.2">
      <c r="A42" s="1"/>
      <c r="B42" s="1"/>
      <c r="D42" s="97" t="s">
        <v>511</v>
      </c>
      <c r="J42" s="98" t="s">
        <v>1205</v>
      </c>
      <c r="L42" s="99" t="s">
        <v>875</v>
      </c>
      <c r="N42" s="101"/>
      <c r="O42" s="101"/>
      <c r="P42" s="101"/>
      <c r="Q42" s="101">
        <v>33150</v>
      </c>
      <c r="R42" s="101">
        <v>41848</v>
      </c>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row>
    <row r="43" spans="1:41" s="97" customFormat="1" x14ac:dyDescent="0.2">
      <c r="A43" s="1"/>
      <c r="B43" s="1"/>
      <c r="D43" s="97" t="s">
        <v>862</v>
      </c>
      <c r="J43" s="98" t="s">
        <v>1205</v>
      </c>
      <c r="L43" s="99" t="s">
        <v>877</v>
      </c>
      <c r="N43" s="101"/>
      <c r="O43" s="101"/>
      <c r="P43" s="101"/>
      <c r="Q43" s="101">
        <v>71067</v>
      </c>
      <c r="R43" s="101">
        <v>66477</v>
      </c>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row>
    <row r="44" spans="1:41" s="97" customFormat="1" x14ac:dyDescent="0.2">
      <c r="A44" s="1"/>
      <c r="B44" s="1"/>
      <c r="D44" s="97" t="s">
        <v>863</v>
      </c>
      <c r="J44" s="98" t="s">
        <v>1205</v>
      </c>
      <c r="L44" s="99" t="s">
        <v>879</v>
      </c>
      <c r="N44" s="101"/>
      <c r="O44" s="101"/>
      <c r="P44" s="101"/>
      <c r="Q44" s="101">
        <v>2338</v>
      </c>
      <c r="R44" s="101">
        <v>4172</v>
      </c>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row>
    <row r="45" spans="1:41" s="97" customFormat="1" x14ac:dyDescent="0.2">
      <c r="A45" s="1"/>
      <c r="B45" s="1"/>
      <c r="D45" s="97" t="s">
        <v>866</v>
      </c>
      <c r="J45" s="98" t="s">
        <v>1205</v>
      </c>
      <c r="L45" s="99" t="s">
        <v>867</v>
      </c>
      <c r="N45" s="101"/>
      <c r="O45" s="101"/>
      <c r="P45" s="101"/>
      <c r="Q45" s="101">
        <v>7305</v>
      </c>
      <c r="R45" s="101">
        <v>3362</v>
      </c>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row>
    <row r="46" spans="1:41" x14ac:dyDescent="0.2">
      <c r="D46" s="1" t="s">
        <v>881</v>
      </c>
      <c r="J46" s="98" t="s">
        <v>1205</v>
      </c>
      <c r="L46" s="99" t="s">
        <v>883</v>
      </c>
      <c r="Q46" s="25">
        <v>190</v>
      </c>
      <c r="R46" s="25">
        <v>0</v>
      </c>
    </row>
    <row r="47" spans="1:41" x14ac:dyDescent="0.2">
      <c r="D47" s="1" t="s">
        <v>882</v>
      </c>
      <c r="J47" s="98" t="s">
        <v>1205</v>
      </c>
      <c r="L47" s="99" t="s">
        <v>884</v>
      </c>
      <c r="Q47" s="25">
        <v>12855</v>
      </c>
      <c r="R47" s="25">
        <v>20043</v>
      </c>
    </row>
    <row r="48" spans="1:41" s="97" customFormat="1" ht="12.6" x14ac:dyDescent="0.25">
      <c r="A48" s="1"/>
      <c r="B48" s="1"/>
      <c r="D48" s="27" t="s">
        <v>868</v>
      </c>
      <c r="E48" s="27"/>
      <c r="F48" s="27"/>
      <c r="G48" s="27"/>
      <c r="H48" s="27"/>
      <c r="I48" s="27"/>
      <c r="J48" s="372" t="s">
        <v>1205</v>
      </c>
      <c r="K48" s="27"/>
      <c r="L48" s="83"/>
      <c r="M48" s="27"/>
      <c r="N48" s="66"/>
      <c r="O48" s="66"/>
      <c r="P48" s="66"/>
      <c r="Q48" s="66">
        <f>SUM(Q39:Q47)</f>
        <v>178955</v>
      </c>
      <c r="R48" s="66">
        <f>SUM(R39:R47)</f>
        <v>208459</v>
      </c>
      <c r="S48" s="66">
        <f t="shared" ref="S48:AD48" si="5">SUM(S39:S47)</f>
        <v>0</v>
      </c>
      <c r="T48" s="66">
        <f t="shared" si="5"/>
        <v>0</v>
      </c>
      <c r="U48" s="66">
        <f t="shared" si="5"/>
        <v>0</v>
      </c>
      <c r="V48" s="66">
        <f t="shared" si="5"/>
        <v>0</v>
      </c>
      <c r="W48" s="66">
        <f t="shared" si="5"/>
        <v>0</v>
      </c>
      <c r="X48" s="66">
        <f t="shared" si="5"/>
        <v>0</v>
      </c>
      <c r="Y48" s="66">
        <f t="shared" si="5"/>
        <v>0</v>
      </c>
      <c r="Z48" s="66">
        <f t="shared" si="5"/>
        <v>0</v>
      </c>
      <c r="AA48" s="66">
        <f t="shared" si="5"/>
        <v>0</v>
      </c>
      <c r="AB48" s="66">
        <f t="shared" si="5"/>
        <v>0</v>
      </c>
      <c r="AC48" s="66">
        <f t="shared" si="5"/>
        <v>0</v>
      </c>
      <c r="AD48" s="66">
        <f t="shared" si="5"/>
        <v>0</v>
      </c>
      <c r="AE48" s="103"/>
      <c r="AF48" s="101"/>
      <c r="AG48" s="101"/>
      <c r="AH48" s="101"/>
      <c r="AI48" s="101"/>
      <c r="AJ48" s="101"/>
      <c r="AK48" s="101"/>
      <c r="AL48" s="101"/>
      <c r="AM48" s="101"/>
      <c r="AN48" s="101"/>
      <c r="AO48" s="101"/>
    </row>
    <row r="49" spans="1:41" s="97" customFormat="1" x14ac:dyDescent="0.2">
      <c r="A49" s="1"/>
      <c r="B49" s="1"/>
      <c r="J49" s="98"/>
      <c r="L49" s="99"/>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row>
    <row r="50" spans="1:41" ht="12.6" x14ac:dyDescent="0.25">
      <c r="C50" s="35" t="s">
        <v>869</v>
      </c>
      <c r="Q50" s="25"/>
      <c r="R50" s="25"/>
    </row>
    <row r="51" spans="1:41" s="97" customFormat="1" x14ac:dyDescent="0.2">
      <c r="A51" s="1"/>
      <c r="B51" s="1"/>
      <c r="D51" s="97" t="s">
        <v>452</v>
      </c>
      <c r="J51" s="98" t="s">
        <v>1205</v>
      </c>
      <c r="L51" s="99" t="s">
        <v>872</v>
      </c>
      <c r="N51" s="101"/>
      <c r="O51" s="101"/>
      <c r="P51" s="101"/>
      <c r="Q51" s="101">
        <v>324886</v>
      </c>
      <c r="R51" s="101">
        <v>331019</v>
      </c>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row>
    <row r="52" spans="1:41" s="97" customFormat="1" x14ac:dyDescent="0.2">
      <c r="A52" s="1"/>
      <c r="B52" s="1"/>
      <c r="D52" s="97" t="s">
        <v>870</v>
      </c>
      <c r="J52" s="98" t="s">
        <v>1205</v>
      </c>
      <c r="L52" s="99" t="s">
        <v>871</v>
      </c>
      <c r="N52" s="101"/>
      <c r="O52" s="101"/>
      <c r="P52" s="101"/>
      <c r="Q52" s="101">
        <v>117482</v>
      </c>
      <c r="R52" s="101">
        <v>130938</v>
      </c>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row>
    <row r="53" spans="1:41" ht="12.6" x14ac:dyDescent="0.25">
      <c r="C53" s="35"/>
      <c r="D53" s="1" t="s">
        <v>873</v>
      </c>
      <c r="J53" s="98" t="s">
        <v>1205</v>
      </c>
      <c r="L53" s="99" t="s">
        <v>874</v>
      </c>
      <c r="Q53" s="25">
        <v>21199</v>
      </c>
      <c r="R53" s="25">
        <v>20399</v>
      </c>
    </row>
    <row r="54" spans="1:41" s="97" customFormat="1" x14ac:dyDescent="0.2">
      <c r="A54" s="1"/>
      <c r="B54" s="1"/>
      <c r="D54" s="97" t="s">
        <v>511</v>
      </c>
      <c r="J54" s="98" t="s">
        <v>1205</v>
      </c>
      <c r="L54" s="99" t="s">
        <v>876</v>
      </c>
      <c r="N54" s="101"/>
      <c r="O54" s="101"/>
      <c r="P54" s="101"/>
      <c r="Q54" s="101">
        <v>22538</v>
      </c>
      <c r="R54" s="101">
        <v>22899</v>
      </c>
      <c r="S54" s="101"/>
      <c r="T54" s="101"/>
      <c r="U54" s="101"/>
      <c r="V54" s="101"/>
      <c r="W54" s="101"/>
      <c r="X54" s="101"/>
      <c r="Y54" s="101"/>
      <c r="Z54" s="101"/>
      <c r="AA54" s="101"/>
      <c r="AB54" s="101"/>
      <c r="AC54" s="101"/>
      <c r="AD54" s="101"/>
      <c r="AE54" s="101"/>
      <c r="AF54" s="101"/>
      <c r="AG54" s="101"/>
      <c r="AH54" s="101"/>
      <c r="AI54" s="101"/>
      <c r="AJ54" s="101"/>
      <c r="AK54" s="101"/>
      <c r="AL54" s="101"/>
      <c r="AM54" s="101"/>
      <c r="AN54" s="101"/>
      <c r="AO54" s="101"/>
    </row>
    <row r="55" spans="1:41" s="97" customFormat="1" x14ac:dyDescent="0.2">
      <c r="A55" s="1"/>
      <c r="B55" s="1"/>
      <c r="D55" s="97" t="s">
        <v>862</v>
      </c>
      <c r="J55" s="98" t="s">
        <v>1205</v>
      </c>
      <c r="L55" s="99" t="s">
        <v>878</v>
      </c>
      <c r="N55" s="101"/>
      <c r="O55" s="101"/>
      <c r="P55" s="101"/>
      <c r="Q55" s="101">
        <v>33785</v>
      </c>
      <c r="R55" s="101">
        <v>22437</v>
      </c>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row>
    <row r="56" spans="1:41" s="97" customFormat="1" x14ac:dyDescent="0.2">
      <c r="A56" s="1"/>
      <c r="B56" s="1"/>
      <c r="D56" s="97" t="s">
        <v>863</v>
      </c>
      <c r="J56" s="98" t="s">
        <v>1205</v>
      </c>
      <c r="L56" s="99" t="s">
        <v>880</v>
      </c>
      <c r="N56" s="101"/>
      <c r="O56" s="101"/>
      <c r="P56" s="101"/>
      <c r="Q56" s="101">
        <v>5038</v>
      </c>
      <c r="R56" s="101">
        <v>3693</v>
      </c>
      <c r="S56" s="101"/>
      <c r="T56" s="101"/>
      <c r="U56" s="101"/>
      <c r="V56" s="101"/>
      <c r="W56" s="101"/>
      <c r="X56" s="101"/>
      <c r="Y56" s="101"/>
      <c r="Z56" s="101"/>
      <c r="AA56" s="101"/>
      <c r="AB56" s="101"/>
      <c r="AC56" s="101"/>
      <c r="AD56" s="101"/>
      <c r="AE56" s="101"/>
      <c r="AF56" s="101"/>
      <c r="AG56" s="101"/>
      <c r="AH56" s="101"/>
      <c r="AI56" s="101"/>
      <c r="AJ56" s="101"/>
      <c r="AK56" s="101"/>
      <c r="AL56" s="101"/>
      <c r="AM56" s="101"/>
      <c r="AN56" s="101"/>
      <c r="AO56" s="101"/>
    </row>
    <row r="57" spans="1:41" x14ac:dyDescent="0.2">
      <c r="D57" s="1" t="s">
        <v>881</v>
      </c>
      <c r="J57" s="98" t="s">
        <v>1205</v>
      </c>
      <c r="L57" s="99" t="s">
        <v>885</v>
      </c>
      <c r="Q57" s="25">
        <v>0</v>
      </c>
      <c r="R57" s="25">
        <v>205</v>
      </c>
    </row>
    <row r="58" spans="1:41" s="97" customFormat="1" ht="12.6" x14ac:dyDescent="0.25">
      <c r="A58" s="1"/>
      <c r="B58" s="1"/>
      <c r="D58" s="27" t="s">
        <v>886</v>
      </c>
      <c r="E58" s="27"/>
      <c r="F58" s="27"/>
      <c r="G58" s="27"/>
      <c r="H58" s="27"/>
      <c r="I58" s="27"/>
      <c r="J58" s="372" t="s">
        <v>1205</v>
      </c>
      <c r="K58" s="27"/>
      <c r="L58" s="83"/>
      <c r="M58" s="27"/>
      <c r="N58" s="66"/>
      <c r="O58" s="66"/>
      <c r="P58" s="66"/>
      <c r="Q58" s="66">
        <f>SUM(Q51:Q57)</f>
        <v>524928</v>
      </c>
      <c r="R58" s="66">
        <f>SUM(R51:R57)</f>
        <v>531590</v>
      </c>
      <c r="S58" s="66">
        <f t="shared" ref="S58:AD58" si="6">SUM(S51:S57)</f>
        <v>0</v>
      </c>
      <c r="T58" s="66">
        <f t="shared" si="6"/>
        <v>0</v>
      </c>
      <c r="U58" s="66">
        <f t="shared" si="6"/>
        <v>0</v>
      </c>
      <c r="V58" s="66">
        <f t="shared" si="6"/>
        <v>0</v>
      </c>
      <c r="W58" s="66">
        <f t="shared" si="6"/>
        <v>0</v>
      </c>
      <c r="X58" s="66">
        <f t="shared" si="6"/>
        <v>0</v>
      </c>
      <c r="Y58" s="66">
        <f t="shared" si="6"/>
        <v>0</v>
      </c>
      <c r="Z58" s="66">
        <f t="shared" si="6"/>
        <v>0</v>
      </c>
      <c r="AA58" s="66">
        <f t="shared" si="6"/>
        <v>0</v>
      </c>
      <c r="AB58" s="66">
        <f t="shared" si="6"/>
        <v>0</v>
      </c>
      <c r="AC58" s="66">
        <f t="shared" si="6"/>
        <v>0</v>
      </c>
      <c r="AD58" s="66">
        <f t="shared" si="6"/>
        <v>0</v>
      </c>
      <c r="AE58" s="103"/>
      <c r="AF58" s="101"/>
      <c r="AG58" s="101"/>
      <c r="AH58" s="101"/>
      <c r="AI58" s="101"/>
      <c r="AJ58" s="101"/>
      <c r="AK58" s="101"/>
      <c r="AL58" s="101"/>
      <c r="AM58" s="101"/>
      <c r="AN58" s="101"/>
      <c r="AO58" s="101"/>
    </row>
    <row r="59" spans="1:41" ht="12.6" x14ac:dyDescent="0.25">
      <c r="C59" s="35"/>
      <c r="Q59" s="25"/>
      <c r="R59" s="25"/>
    </row>
    <row r="60" spans="1:41" ht="12.6" x14ac:dyDescent="0.25">
      <c r="C60" s="35" t="s">
        <v>68</v>
      </c>
      <c r="Q60" s="25"/>
      <c r="R60" s="25"/>
    </row>
    <row r="61" spans="1:41" s="97" customFormat="1" x14ac:dyDescent="0.2">
      <c r="A61" s="1"/>
      <c r="B61" s="1"/>
      <c r="D61" s="97" t="s">
        <v>453</v>
      </c>
      <c r="J61" s="98" t="s">
        <v>1205</v>
      </c>
      <c r="L61" s="99" t="s">
        <v>470</v>
      </c>
      <c r="N61" s="101"/>
      <c r="O61" s="101"/>
      <c r="P61" s="101"/>
      <c r="Q61" s="101">
        <v>150903</v>
      </c>
      <c r="R61" s="101">
        <v>163915</v>
      </c>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row>
    <row r="62" spans="1:41" s="97" customFormat="1" x14ac:dyDescent="0.2">
      <c r="A62" s="1"/>
      <c r="B62" s="1"/>
      <c r="D62" s="97" t="s">
        <v>887</v>
      </c>
      <c r="J62" s="98" t="s">
        <v>1205</v>
      </c>
      <c r="L62" s="99" t="s">
        <v>888</v>
      </c>
      <c r="N62" s="101"/>
      <c r="O62" s="101"/>
      <c r="P62" s="101"/>
      <c r="Q62" s="101">
        <v>786865</v>
      </c>
      <c r="R62" s="101">
        <v>1030702</v>
      </c>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row>
    <row r="63" spans="1:41" s="97" customFormat="1" x14ac:dyDescent="0.2">
      <c r="A63" s="1"/>
      <c r="B63" s="1"/>
      <c r="D63" s="97" t="s">
        <v>454</v>
      </c>
      <c r="J63" s="98" t="s">
        <v>1205</v>
      </c>
      <c r="L63" s="99" t="s">
        <v>471</v>
      </c>
      <c r="N63" s="101"/>
      <c r="O63" s="101"/>
      <c r="P63" s="101"/>
      <c r="Q63" s="101">
        <f>-19562-441177</f>
        <v>-460739</v>
      </c>
      <c r="R63" s="101">
        <f>-37522-434249</f>
        <v>-471771</v>
      </c>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row>
    <row r="64" spans="1:41" s="97" customFormat="1" ht="12.6" x14ac:dyDescent="0.25">
      <c r="A64" s="1"/>
      <c r="B64" s="1"/>
      <c r="D64" s="27" t="s">
        <v>889</v>
      </c>
      <c r="E64" s="27"/>
      <c r="F64" s="27"/>
      <c r="G64" s="27"/>
      <c r="H64" s="27"/>
      <c r="I64" s="27"/>
      <c r="J64" s="372" t="s">
        <v>1205</v>
      </c>
      <c r="K64" s="27"/>
      <c r="L64" s="83" t="s">
        <v>472</v>
      </c>
      <c r="M64" s="27"/>
      <c r="N64" s="66"/>
      <c r="O64" s="66"/>
      <c r="P64" s="66"/>
      <c r="Q64" s="66">
        <f>SUM(Q61:Q63)</f>
        <v>477029</v>
      </c>
      <c r="R64" s="66">
        <f>SUM(R61:R63)</f>
        <v>722846</v>
      </c>
      <c r="S64" s="66"/>
      <c r="T64" s="66"/>
      <c r="U64" s="66"/>
      <c r="V64" s="66"/>
      <c r="W64" s="66"/>
      <c r="X64" s="66"/>
      <c r="Y64" s="66"/>
      <c r="Z64" s="66"/>
      <c r="AA64" s="66"/>
      <c r="AB64" s="66"/>
      <c r="AC64" s="66"/>
      <c r="AD64" s="66"/>
      <c r="AE64" s="103"/>
      <c r="AF64" s="101"/>
      <c r="AG64" s="101"/>
      <c r="AH64" s="101"/>
      <c r="AI64" s="101"/>
      <c r="AJ64" s="101"/>
      <c r="AK64" s="101"/>
      <c r="AL64" s="101"/>
      <c r="AM64" s="101"/>
      <c r="AN64" s="101"/>
      <c r="AO64" s="101"/>
    </row>
    <row r="65" spans="1:46" s="97" customFormat="1" ht="13.2" thickBot="1" x14ac:dyDescent="0.3">
      <c r="A65" s="1"/>
      <c r="B65" s="1"/>
      <c r="D65" s="657" t="s">
        <v>890</v>
      </c>
      <c r="E65" s="653"/>
      <c r="F65" s="653"/>
      <c r="G65" s="653"/>
      <c r="H65" s="653"/>
      <c r="I65" s="653"/>
      <c r="J65" s="654" t="s">
        <v>1205</v>
      </c>
      <c r="K65" s="653"/>
      <c r="L65" s="655"/>
      <c r="M65" s="653"/>
      <c r="N65" s="656"/>
      <c r="O65" s="656"/>
      <c r="P65" s="656"/>
      <c r="Q65" s="656">
        <f>Q64+Q58+Q48</f>
        <v>1180912</v>
      </c>
      <c r="R65" s="656">
        <f t="shared" ref="R65:AD65" si="7">R64+R58+R48</f>
        <v>1462895</v>
      </c>
      <c r="S65" s="656">
        <f t="shared" si="7"/>
        <v>0</v>
      </c>
      <c r="T65" s="656">
        <f t="shared" si="7"/>
        <v>0</v>
      </c>
      <c r="U65" s="656">
        <f t="shared" si="7"/>
        <v>0</v>
      </c>
      <c r="V65" s="656">
        <f t="shared" si="7"/>
        <v>0</v>
      </c>
      <c r="W65" s="656">
        <f t="shared" si="7"/>
        <v>0</v>
      </c>
      <c r="X65" s="656">
        <f t="shared" si="7"/>
        <v>0</v>
      </c>
      <c r="Y65" s="656">
        <f t="shared" si="7"/>
        <v>0</v>
      </c>
      <c r="Z65" s="656">
        <f t="shared" si="7"/>
        <v>0</v>
      </c>
      <c r="AA65" s="656">
        <f t="shared" si="7"/>
        <v>0</v>
      </c>
      <c r="AB65" s="656">
        <f t="shared" si="7"/>
        <v>0</v>
      </c>
      <c r="AC65" s="656">
        <f t="shared" si="7"/>
        <v>0</v>
      </c>
      <c r="AD65" s="656">
        <f t="shared" si="7"/>
        <v>0</v>
      </c>
      <c r="AE65" s="101"/>
      <c r="AF65" s="101"/>
      <c r="AG65" s="101"/>
      <c r="AH65" s="101"/>
      <c r="AI65" s="101"/>
      <c r="AJ65" s="101"/>
      <c r="AK65" s="101"/>
      <c r="AL65" s="101"/>
      <c r="AM65" s="101"/>
      <c r="AN65" s="101"/>
      <c r="AO65" s="101"/>
    </row>
    <row r="66" spans="1:46" s="97" customFormat="1" ht="13.2" thickTop="1" thickBot="1" x14ac:dyDescent="0.25">
      <c r="A66" s="1"/>
      <c r="B66" s="1"/>
      <c r="J66" s="98"/>
      <c r="L66" s="99"/>
      <c r="N66" s="101"/>
      <c r="O66" s="101"/>
      <c r="P66" s="101"/>
      <c r="Q66" s="658" t="b">
        <f>Q65=Q36</f>
        <v>1</v>
      </c>
      <c r="R66" s="658" t="b">
        <f t="shared" ref="R66" si="8">R65=R36</f>
        <v>1</v>
      </c>
      <c r="S66" s="658" t="b">
        <f t="shared" ref="S66" si="9">S65=S36</f>
        <v>1</v>
      </c>
      <c r="T66" s="658" t="b">
        <f t="shared" ref="T66" si="10">T65=T36</f>
        <v>1</v>
      </c>
      <c r="U66" s="658" t="b">
        <f t="shared" ref="U66" si="11">U65=U36</f>
        <v>1</v>
      </c>
      <c r="V66" s="658" t="b">
        <f t="shared" ref="V66" si="12">V65=V36</f>
        <v>1</v>
      </c>
      <c r="W66" s="658" t="b">
        <f t="shared" ref="W66" si="13">W65=W36</f>
        <v>1</v>
      </c>
      <c r="X66" s="658" t="b">
        <f t="shared" ref="X66" si="14">X65=X36</f>
        <v>1</v>
      </c>
      <c r="Y66" s="658" t="b">
        <f t="shared" ref="Y66" si="15">Y65=Y36</f>
        <v>1</v>
      </c>
      <c r="Z66" s="658" t="b">
        <f t="shared" ref="Z66" si="16">Z65=Z36</f>
        <v>1</v>
      </c>
      <c r="AA66" s="658" t="b">
        <f t="shared" ref="AA66" si="17">AA65=AA36</f>
        <v>1</v>
      </c>
      <c r="AB66" s="658" t="b">
        <f t="shared" ref="AB66" si="18">AB65=AB36</f>
        <v>1</v>
      </c>
      <c r="AC66" s="658" t="b">
        <f t="shared" ref="AC66" si="19">AC65=AC36</f>
        <v>1</v>
      </c>
      <c r="AD66" s="658" t="b">
        <f t="shared" ref="AD66" si="20">AD65=AD36</f>
        <v>1</v>
      </c>
      <c r="AE66" s="101"/>
      <c r="AF66" s="101"/>
      <c r="AG66" s="101"/>
      <c r="AH66" s="101"/>
      <c r="AI66" s="101"/>
      <c r="AJ66" s="101"/>
      <c r="AK66" s="101"/>
      <c r="AL66" s="101"/>
      <c r="AM66" s="101"/>
      <c r="AN66" s="101"/>
      <c r="AO66" s="101"/>
    </row>
    <row r="67" spans="1:46" s="97" customFormat="1" ht="13.2" thickTop="1" x14ac:dyDescent="0.25">
      <c r="A67" s="1"/>
      <c r="B67" s="39" t="s">
        <v>15</v>
      </c>
      <c r="C67" s="63"/>
      <c r="D67" s="63"/>
      <c r="E67" s="63"/>
      <c r="F67" s="41"/>
      <c r="G67" s="63"/>
      <c r="H67" s="63"/>
      <c r="I67" s="64"/>
      <c r="J67" s="64"/>
      <c r="K67" s="63"/>
      <c r="L67" s="65"/>
      <c r="M67" s="63"/>
      <c r="N67" s="64"/>
      <c r="O67" s="64"/>
      <c r="P67" s="64"/>
      <c r="Q67" s="356"/>
      <c r="R67" s="356"/>
      <c r="S67" s="64"/>
      <c r="T67" s="64"/>
      <c r="U67" s="64"/>
      <c r="V67" s="64"/>
      <c r="W67" s="64"/>
      <c r="X67" s="64"/>
      <c r="Y67" s="64"/>
      <c r="Z67" s="64"/>
      <c r="AA67" s="64"/>
      <c r="AB67" s="64"/>
      <c r="AC67" s="64"/>
      <c r="AD67" s="64"/>
      <c r="AE67" s="21"/>
      <c r="AF67" s="21"/>
      <c r="AG67" s="21"/>
      <c r="AH67" s="21"/>
      <c r="AI67" s="21"/>
      <c r="AJ67" s="21"/>
      <c r="AK67" s="21"/>
      <c r="AL67" s="21"/>
      <c r="AM67" s="21"/>
      <c r="AN67" s="21"/>
      <c r="AO67" s="21"/>
      <c r="AP67" s="1"/>
    </row>
    <row r="68" spans="1:46" s="97" customFormat="1" ht="12.6" x14ac:dyDescent="0.25">
      <c r="A68" s="1"/>
      <c r="B68" s="1"/>
      <c r="F68" s="32"/>
      <c r="J68" s="98"/>
      <c r="L68" s="99"/>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row>
    <row r="69" spans="1:46" s="97" customFormat="1" ht="12.6" x14ac:dyDescent="0.25">
      <c r="A69" s="1"/>
      <c r="B69" s="1"/>
      <c r="C69" s="32" t="s">
        <v>111</v>
      </c>
      <c r="D69" s="32"/>
      <c r="E69" s="32"/>
      <c r="F69" s="32"/>
      <c r="J69" s="98"/>
      <c r="L69" s="99"/>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row>
    <row r="70" spans="1:46" s="18" customFormat="1" x14ac:dyDescent="0.2">
      <c r="A70" s="10"/>
      <c r="B70" s="10"/>
      <c r="C70" s="97"/>
      <c r="D70" s="97" t="s">
        <v>991</v>
      </c>
      <c r="E70" s="97"/>
      <c r="F70" s="97"/>
      <c r="G70" s="1"/>
      <c r="H70" s="1"/>
      <c r="I70" s="1"/>
      <c r="J70" s="2" t="s">
        <v>1205</v>
      </c>
      <c r="K70" s="1"/>
      <c r="L70" s="3" t="s">
        <v>993</v>
      </c>
      <c r="M70" s="1"/>
      <c r="Q70" s="25"/>
      <c r="R70" s="25">
        <v>481879</v>
      </c>
      <c r="AP70" s="1"/>
      <c r="AQ70" s="1"/>
      <c r="AR70" s="1"/>
      <c r="AS70" s="1"/>
      <c r="AT70" s="1"/>
    </row>
    <row r="71" spans="1:46" s="18" customFormat="1" x14ac:dyDescent="0.2">
      <c r="A71" s="10"/>
      <c r="B71" s="10"/>
      <c r="C71" s="97"/>
      <c r="D71" s="97" t="s">
        <v>99</v>
      </c>
      <c r="E71" s="97"/>
      <c r="F71" s="97"/>
      <c r="G71" s="1"/>
      <c r="H71" s="1"/>
      <c r="I71" s="1"/>
      <c r="J71" s="2" t="s">
        <v>1205</v>
      </c>
      <c r="K71" s="1"/>
      <c r="L71" s="3"/>
      <c r="M71" s="1"/>
      <c r="Q71" s="19">
        <f>R71/R70</f>
        <v>8.7411985166400696E-2</v>
      </c>
      <c r="R71" s="25">
        <v>42122</v>
      </c>
      <c r="AP71" s="1"/>
      <c r="AQ71" s="1"/>
      <c r="AR71" s="1"/>
      <c r="AS71" s="1"/>
      <c r="AT71" s="1"/>
    </row>
    <row r="72" spans="1:46" s="18" customFormat="1" x14ac:dyDescent="0.2">
      <c r="A72" s="10"/>
      <c r="B72" s="10"/>
      <c r="C72" s="97"/>
      <c r="D72" s="97" t="s">
        <v>992</v>
      </c>
      <c r="E72" s="97"/>
      <c r="F72" s="97"/>
      <c r="G72" s="1"/>
      <c r="H72" s="1"/>
      <c r="I72" s="1"/>
      <c r="J72" s="2" t="s">
        <v>1205</v>
      </c>
      <c r="K72" s="1"/>
      <c r="L72" s="3" t="s">
        <v>994</v>
      </c>
      <c r="M72" s="1"/>
      <c r="Q72" s="25"/>
      <c r="R72" s="25">
        <v>144582</v>
      </c>
      <c r="AP72" s="1"/>
      <c r="AQ72" s="1"/>
      <c r="AR72" s="1"/>
      <c r="AS72" s="1"/>
      <c r="AT72" s="1"/>
    </row>
    <row r="73" spans="1:46" s="18" customFormat="1" x14ac:dyDescent="0.2">
      <c r="A73" s="10"/>
      <c r="B73" s="10"/>
      <c r="C73" s="97"/>
      <c r="D73" s="97"/>
      <c r="E73" s="97"/>
      <c r="F73" s="97"/>
      <c r="G73" s="1"/>
      <c r="H73" s="1"/>
      <c r="I73" s="1"/>
      <c r="J73" s="2"/>
      <c r="K73" s="1"/>
      <c r="L73" s="3"/>
      <c r="M73" s="1"/>
      <c r="Q73" s="25"/>
      <c r="R73" s="25"/>
      <c r="AP73" s="1"/>
      <c r="AQ73" s="1"/>
      <c r="AR73" s="1"/>
      <c r="AS73" s="1"/>
      <c r="AT73" s="1"/>
    </row>
    <row r="74" spans="1:46" s="18" customFormat="1" x14ac:dyDescent="0.2">
      <c r="A74" s="10"/>
      <c r="B74" s="10"/>
      <c r="C74" s="97"/>
      <c r="D74" s="97"/>
      <c r="E74" s="97"/>
      <c r="F74" s="97"/>
      <c r="G74" s="1"/>
      <c r="H74" s="1"/>
      <c r="I74" s="1"/>
      <c r="J74" s="2"/>
      <c r="K74" s="1"/>
      <c r="L74" s="3"/>
      <c r="M74" s="1"/>
      <c r="Q74" s="25"/>
      <c r="R74" s="25"/>
      <c r="AP74" s="1"/>
      <c r="AQ74" s="1"/>
      <c r="AR74" s="1"/>
      <c r="AS74" s="1"/>
      <c r="AT74" s="1"/>
    </row>
    <row r="75" spans="1:46" s="18" customFormat="1" ht="12.6" x14ac:dyDescent="0.25">
      <c r="A75" s="10"/>
      <c r="B75" s="10"/>
      <c r="C75" s="32" t="s">
        <v>26</v>
      </c>
      <c r="D75" s="32"/>
      <c r="E75" s="32"/>
      <c r="F75" s="32"/>
      <c r="G75" s="97"/>
      <c r="H75" s="97"/>
      <c r="I75" s="97"/>
      <c r="J75" s="98"/>
      <c r="K75" s="97"/>
      <c r="L75" s="99"/>
      <c r="M75" s="97"/>
      <c r="N75" s="101"/>
      <c r="O75" s="101"/>
      <c r="P75" s="101"/>
      <c r="Q75" s="101"/>
      <c r="R75" s="101"/>
      <c r="AP75" s="1"/>
      <c r="AQ75" s="1"/>
      <c r="AR75" s="1"/>
      <c r="AS75" s="1"/>
      <c r="AT75" s="1"/>
    </row>
    <row r="76" spans="1:46" s="18" customFormat="1" x14ac:dyDescent="0.2">
      <c r="A76" s="10"/>
      <c r="B76" s="10"/>
      <c r="C76" s="97"/>
      <c r="D76" s="97" t="s">
        <v>996</v>
      </c>
      <c r="E76" s="97"/>
      <c r="F76" s="97"/>
      <c r="G76" s="1"/>
      <c r="H76" s="1"/>
      <c r="I76" s="1"/>
      <c r="J76" s="2" t="s">
        <v>1205</v>
      </c>
      <c r="K76" s="1"/>
      <c r="L76" s="3" t="s">
        <v>998</v>
      </c>
      <c r="M76" s="1"/>
      <c r="Q76" s="25"/>
      <c r="R76" s="25">
        <v>245836</v>
      </c>
      <c r="AP76" s="1"/>
      <c r="AQ76" s="1"/>
      <c r="AR76" s="1"/>
      <c r="AS76" s="1"/>
      <c r="AT76" s="1"/>
    </row>
    <row r="77" spans="1:46" s="18" customFormat="1" x14ac:dyDescent="0.2">
      <c r="A77" s="10"/>
      <c r="B77" s="10"/>
      <c r="C77" s="97"/>
      <c r="D77" s="97" t="s">
        <v>112</v>
      </c>
      <c r="E77" s="97"/>
      <c r="F77" s="97"/>
      <c r="G77" s="1"/>
      <c r="H77" s="1"/>
      <c r="I77" s="1"/>
      <c r="J77" s="2" t="s">
        <v>1205</v>
      </c>
      <c r="K77" s="1"/>
      <c r="L77" s="3"/>
      <c r="M77" s="1"/>
      <c r="Q77" s="19">
        <f>R77/R76</f>
        <v>5.668819863648937E-2</v>
      </c>
      <c r="R77" s="25">
        <v>13936</v>
      </c>
      <c r="AP77" s="1"/>
      <c r="AQ77" s="1"/>
      <c r="AR77" s="1"/>
      <c r="AS77" s="1"/>
      <c r="AT77" s="1"/>
    </row>
    <row r="78" spans="1:46" s="18" customFormat="1" x14ac:dyDescent="0.2">
      <c r="A78" s="10"/>
      <c r="B78" s="10"/>
      <c r="C78" s="97"/>
      <c r="D78" s="97" t="s">
        <v>997</v>
      </c>
      <c r="E78" s="97"/>
      <c r="F78" s="97"/>
      <c r="G78" s="1"/>
      <c r="H78" s="1"/>
      <c r="I78" s="1"/>
      <c r="J78" s="2" t="s">
        <v>1205</v>
      </c>
      <c r="K78" s="1"/>
      <c r="L78" s="3" t="s">
        <v>999</v>
      </c>
      <c r="M78" s="1"/>
      <c r="Q78" s="25"/>
      <c r="R78" s="25">
        <v>147800</v>
      </c>
      <c r="AP78" s="1"/>
      <c r="AQ78" s="1"/>
      <c r="AR78" s="1"/>
      <c r="AS78" s="1"/>
      <c r="AT78" s="1"/>
    </row>
    <row r="79" spans="1:46" s="18" customFormat="1" x14ac:dyDescent="0.2">
      <c r="A79" s="10"/>
      <c r="B79" s="10"/>
      <c r="C79" s="97"/>
      <c r="D79" s="97"/>
      <c r="E79" s="97"/>
      <c r="F79" s="97"/>
      <c r="G79" s="1"/>
      <c r="H79" s="1"/>
      <c r="I79" s="1"/>
      <c r="J79" s="2"/>
      <c r="K79" s="1"/>
      <c r="L79" s="3"/>
      <c r="M79" s="1"/>
      <c r="Q79" s="25"/>
      <c r="R79" s="25"/>
      <c r="AP79" s="1"/>
      <c r="AQ79" s="1"/>
      <c r="AR79" s="1"/>
      <c r="AS79" s="1"/>
      <c r="AT79" s="1"/>
    </row>
    <row r="80" spans="1:46" s="18" customFormat="1" ht="12.6" x14ac:dyDescent="0.25">
      <c r="A80" s="10"/>
      <c r="B80" s="10"/>
      <c r="C80" s="32" t="s">
        <v>145</v>
      </c>
      <c r="D80" s="97"/>
      <c r="E80" s="97"/>
      <c r="F80" s="97"/>
      <c r="G80" s="1"/>
      <c r="H80" s="1"/>
      <c r="I80" s="1"/>
      <c r="J80" s="2"/>
      <c r="K80" s="1"/>
      <c r="L80" s="3"/>
      <c r="M80" s="1"/>
      <c r="Q80" s="25"/>
      <c r="R80" s="25"/>
      <c r="AP80" s="1"/>
      <c r="AQ80" s="1"/>
      <c r="AR80" s="1"/>
      <c r="AS80" s="1"/>
      <c r="AT80" s="1"/>
    </row>
    <row r="81" spans="1:46" s="18" customFormat="1" x14ac:dyDescent="0.2">
      <c r="A81" s="10"/>
      <c r="B81" s="10"/>
      <c r="C81" s="97"/>
      <c r="D81" s="97" t="s">
        <v>1036</v>
      </c>
      <c r="E81" s="97"/>
      <c r="F81" s="97"/>
      <c r="G81" s="1"/>
      <c r="H81" s="1"/>
      <c r="I81" s="1"/>
      <c r="J81" s="2" t="s">
        <v>1205</v>
      </c>
      <c r="K81" s="1"/>
      <c r="L81" s="3" t="s">
        <v>1040</v>
      </c>
      <c r="M81" s="1"/>
      <c r="Q81" s="25"/>
      <c r="R81" s="25">
        <v>249369</v>
      </c>
      <c r="AP81" s="1"/>
      <c r="AQ81" s="1"/>
      <c r="AR81" s="1"/>
      <c r="AS81" s="1"/>
      <c r="AT81" s="1"/>
    </row>
    <row r="82" spans="1:46" s="18" customFormat="1" x14ac:dyDescent="0.2">
      <c r="A82" s="10"/>
      <c r="B82" s="10"/>
      <c r="C82" s="97"/>
      <c r="D82" s="97" t="s">
        <v>1037</v>
      </c>
      <c r="E82" s="97"/>
      <c r="F82" s="97"/>
      <c r="G82" s="1"/>
      <c r="H82" s="1"/>
      <c r="I82" s="1"/>
      <c r="J82" s="2" t="s">
        <v>1205</v>
      </c>
      <c r="K82" s="1"/>
      <c r="L82" s="3" t="s">
        <v>1041</v>
      </c>
      <c r="M82" s="1"/>
      <c r="Q82" s="25"/>
      <c r="R82" s="25">
        <v>75000</v>
      </c>
      <c r="AP82" s="1"/>
      <c r="AQ82" s="1"/>
      <c r="AR82" s="1"/>
      <c r="AS82" s="1"/>
      <c r="AT82" s="1"/>
    </row>
    <row r="83" spans="1:46" s="18" customFormat="1" x14ac:dyDescent="0.2">
      <c r="A83" s="10"/>
      <c r="B83" s="10"/>
      <c r="C83" s="97"/>
      <c r="D83" s="97" t="s">
        <v>1038</v>
      </c>
      <c r="E83" s="97"/>
      <c r="F83" s="97"/>
      <c r="G83" s="1"/>
      <c r="H83" s="1"/>
      <c r="I83" s="1"/>
      <c r="J83" s="2" t="s">
        <v>1205</v>
      </c>
      <c r="K83" s="1"/>
      <c r="L83" s="3" t="s">
        <v>1042</v>
      </c>
      <c r="M83" s="1"/>
      <c r="Q83" s="25"/>
      <c r="R83" s="25">
        <v>16652</v>
      </c>
      <c r="AP83" s="1"/>
      <c r="AQ83" s="1"/>
      <c r="AR83" s="1"/>
      <c r="AS83" s="1"/>
      <c r="AT83" s="1"/>
    </row>
    <row r="84" spans="1:46" s="18" customFormat="1" x14ac:dyDescent="0.2">
      <c r="A84" s="10"/>
      <c r="B84" s="10"/>
      <c r="C84" s="97"/>
      <c r="D84" s="97" t="s">
        <v>1039</v>
      </c>
      <c r="E84" s="97"/>
      <c r="F84" s="97"/>
      <c r="G84" s="1"/>
      <c r="H84" s="1"/>
      <c r="I84" s="1"/>
      <c r="J84" s="2" t="s">
        <v>1205</v>
      </c>
      <c r="K84" s="1"/>
      <c r="L84" s="3" t="s">
        <v>1043</v>
      </c>
      <c r="M84" s="1"/>
      <c r="Q84" s="25"/>
      <c r="R84" s="25">
        <f>5000+178+212</f>
        <v>5390</v>
      </c>
      <c r="AP84" s="1"/>
      <c r="AQ84" s="1"/>
      <c r="AR84" s="1"/>
      <c r="AS84" s="1"/>
      <c r="AT84" s="1"/>
    </row>
    <row r="85" spans="1:46" s="18" customFormat="1" x14ac:dyDescent="0.2">
      <c r="A85" s="10"/>
      <c r="B85" s="10"/>
      <c r="C85" s="97"/>
      <c r="D85" s="97"/>
      <c r="E85" s="97"/>
      <c r="F85" s="97"/>
      <c r="G85" s="1"/>
      <c r="H85" s="1"/>
      <c r="I85" s="1"/>
      <c r="J85" s="2"/>
      <c r="K85" s="1"/>
      <c r="L85" s="3"/>
      <c r="M85" s="1"/>
      <c r="Q85" s="25"/>
      <c r="R85" s="25"/>
      <c r="AP85" s="1"/>
      <c r="AQ85" s="1"/>
      <c r="AR85" s="1"/>
      <c r="AS85" s="1"/>
      <c r="AT85" s="1"/>
    </row>
    <row r="86" spans="1:46" s="18" customFormat="1" x14ac:dyDescent="0.2">
      <c r="A86" s="10"/>
      <c r="B86" s="10"/>
      <c r="C86" s="97"/>
      <c r="D86" s="97"/>
      <c r="E86" s="97"/>
      <c r="F86" s="97"/>
      <c r="G86" s="1"/>
      <c r="H86" s="1"/>
      <c r="I86" s="1"/>
      <c r="J86" s="2"/>
      <c r="K86" s="1"/>
      <c r="L86" s="3"/>
      <c r="M86" s="1"/>
      <c r="Q86" s="25"/>
      <c r="R86" s="25"/>
      <c r="AP86" s="1"/>
      <c r="AQ86" s="1"/>
      <c r="AR86" s="1"/>
      <c r="AS86" s="1"/>
      <c r="AT86" s="1"/>
    </row>
    <row r="87" spans="1:46" s="18" customFormat="1" x14ac:dyDescent="0.2">
      <c r="A87" s="10"/>
      <c r="B87" s="10"/>
      <c r="C87" s="97"/>
      <c r="D87" s="97"/>
      <c r="E87" s="97"/>
      <c r="F87" s="97"/>
      <c r="G87" s="1"/>
      <c r="H87" s="1"/>
      <c r="I87" s="1"/>
      <c r="J87" s="2"/>
      <c r="K87" s="1"/>
      <c r="L87" s="3"/>
      <c r="M87" s="1"/>
      <c r="Q87" s="25"/>
      <c r="R87" s="25"/>
      <c r="AP87" s="1"/>
      <c r="AQ87" s="1"/>
      <c r="AR87" s="1"/>
      <c r="AS87" s="1"/>
      <c r="AT87" s="1"/>
    </row>
    <row r="88" spans="1:46" s="18" customFormat="1" x14ac:dyDescent="0.2">
      <c r="A88" s="10"/>
      <c r="B88" s="10"/>
      <c r="C88" s="97"/>
      <c r="D88" s="97"/>
      <c r="E88" s="97"/>
      <c r="F88" s="97"/>
      <c r="G88" s="1"/>
      <c r="H88" s="1"/>
      <c r="I88" s="1"/>
      <c r="J88" s="2"/>
      <c r="K88" s="1"/>
      <c r="L88" s="3"/>
      <c r="M88" s="1"/>
      <c r="Q88" s="25"/>
      <c r="R88" s="25"/>
      <c r="AP88" s="1"/>
      <c r="AQ88" s="1"/>
      <c r="AR88" s="1"/>
      <c r="AS88" s="1"/>
      <c r="AT88" s="1"/>
    </row>
    <row r="89" spans="1:46" s="18" customFormat="1" x14ac:dyDescent="0.2">
      <c r="A89" s="10"/>
      <c r="B89" s="10"/>
      <c r="C89" s="97"/>
      <c r="D89" s="97"/>
      <c r="E89" s="97"/>
      <c r="F89" s="97"/>
      <c r="G89" s="1"/>
      <c r="H89" s="1"/>
      <c r="I89" s="1"/>
      <c r="J89" s="2"/>
      <c r="K89" s="1"/>
      <c r="L89" s="3"/>
      <c r="M89" s="1"/>
      <c r="Q89" s="25"/>
      <c r="R89" s="25"/>
      <c r="AP89" s="1"/>
      <c r="AQ89" s="1"/>
      <c r="AR89" s="1"/>
      <c r="AS89" s="1"/>
      <c r="AT89" s="1"/>
    </row>
    <row r="90" spans="1:46" s="18" customFormat="1" x14ac:dyDescent="0.2">
      <c r="A90" s="10"/>
      <c r="B90" s="10"/>
      <c r="C90" s="97"/>
      <c r="D90" s="97"/>
      <c r="E90" s="97"/>
      <c r="F90" s="97"/>
      <c r="G90" s="1"/>
      <c r="H90" s="1"/>
      <c r="I90" s="1"/>
      <c r="J90" s="2"/>
      <c r="K90" s="1"/>
      <c r="L90" s="3"/>
      <c r="M90" s="1"/>
      <c r="Q90" s="25"/>
      <c r="R90" s="25"/>
      <c r="AP90" s="1"/>
      <c r="AQ90" s="1"/>
      <c r="AR90" s="1"/>
      <c r="AS90" s="1"/>
      <c r="AT90" s="1"/>
    </row>
    <row r="91" spans="1:46" s="18" customFormat="1" x14ac:dyDescent="0.2">
      <c r="A91" s="10"/>
      <c r="B91" s="10"/>
      <c r="C91" s="97"/>
      <c r="D91" s="97"/>
      <c r="E91" s="97"/>
      <c r="F91" s="97"/>
      <c r="G91" s="1"/>
      <c r="H91" s="1"/>
      <c r="I91" s="1"/>
      <c r="J91" s="2"/>
      <c r="K91" s="1"/>
      <c r="L91" s="3"/>
      <c r="M91" s="1"/>
      <c r="Q91" s="25"/>
      <c r="R91" s="25"/>
      <c r="AP91" s="1"/>
      <c r="AQ91" s="1"/>
      <c r="AR91" s="1"/>
      <c r="AS91" s="1"/>
      <c r="AT91" s="1"/>
    </row>
    <row r="92" spans="1:46" s="18" customFormat="1" x14ac:dyDescent="0.2">
      <c r="A92" s="10"/>
      <c r="B92" s="10"/>
      <c r="C92" s="97"/>
      <c r="D92" s="97"/>
      <c r="E92" s="97"/>
      <c r="F92" s="97"/>
      <c r="G92" s="1"/>
      <c r="H92" s="1"/>
      <c r="I92" s="1"/>
      <c r="J92" s="2"/>
      <c r="K92" s="1"/>
      <c r="L92" s="3"/>
      <c r="M92" s="1"/>
      <c r="Q92" s="25"/>
      <c r="R92" s="25"/>
      <c r="AP92" s="1"/>
      <c r="AQ92" s="1"/>
      <c r="AR92" s="1"/>
      <c r="AS92" s="1"/>
      <c r="AT92" s="1"/>
    </row>
    <row r="93" spans="1:46" s="18" customFormat="1" x14ac:dyDescent="0.2">
      <c r="A93" s="10"/>
      <c r="B93" s="10"/>
      <c r="C93" s="97"/>
      <c r="D93" s="97"/>
      <c r="E93" s="97"/>
      <c r="F93" s="97"/>
      <c r="G93" s="1"/>
      <c r="H93" s="1"/>
      <c r="I93" s="1"/>
      <c r="J93" s="2"/>
      <c r="K93" s="1"/>
      <c r="L93" s="3"/>
      <c r="M93" s="1"/>
      <c r="Q93" s="25"/>
      <c r="R93" s="25"/>
      <c r="AP93" s="1"/>
      <c r="AQ93" s="1"/>
      <c r="AR93" s="1"/>
      <c r="AS93" s="1"/>
      <c r="AT93" s="1"/>
    </row>
    <row r="94" spans="1:46" s="18" customFormat="1" x14ac:dyDescent="0.2">
      <c r="A94" s="10"/>
      <c r="B94" s="10"/>
      <c r="C94" s="97"/>
      <c r="D94" s="97"/>
      <c r="E94" s="97"/>
      <c r="F94" s="97"/>
      <c r="G94" s="1"/>
      <c r="H94" s="1"/>
      <c r="I94" s="1"/>
      <c r="J94" s="2"/>
      <c r="K94" s="1"/>
      <c r="L94" s="3"/>
      <c r="M94" s="1"/>
      <c r="Q94" s="25"/>
      <c r="R94" s="25"/>
      <c r="AP94" s="1"/>
      <c r="AQ94" s="1"/>
      <c r="AR94" s="1"/>
      <c r="AS94" s="1"/>
      <c r="AT94" s="1"/>
    </row>
    <row r="95" spans="1:46" s="18" customFormat="1" x14ac:dyDescent="0.2">
      <c r="A95" s="10"/>
      <c r="B95" s="10"/>
      <c r="C95" s="97"/>
      <c r="D95" s="97"/>
      <c r="E95" s="97"/>
      <c r="F95" s="97"/>
      <c r="G95" s="1"/>
      <c r="H95" s="1"/>
      <c r="I95" s="1"/>
      <c r="J95" s="2"/>
      <c r="K95" s="1"/>
      <c r="L95" s="3"/>
      <c r="M95" s="1"/>
      <c r="Q95" s="25"/>
      <c r="R95" s="25"/>
      <c r="AP95" s="1"/>
      <c r="AQ95" s="1"/>
      <c r="AR95" s="1"/>
      <c r="AS95" s="1"/>
      <c r="AT95" s="1"/>
    </row>
    <row r="96" spans="1:46" s="18" customFormat="1" x14ac:dyDescent="0.2">
      <c r="A96" s="10"/>
      <c r="B96" s="10"/>
      <c r="C96" s="97"/>
      <c r="D96" s="97"/>
      <c r="E96" s="97"/>
      <c r="F96" s="97"/>
      <c r="G96" s="1"/>
      <c r="H96" s="1"/>
      <c r="I96" s="1"/>
      <c r="J96" s="2"/>
      <c r="K96" s="1"/>
      <c r="L96" s="3"/>
      <c r="M96" s="1"/>
      <c r="Q96" s="25"/>
      <c r="R96" s="25"/>
      <c r="AP96" s="1"/>
      <c r="AQ96" s="1"/>
      <c r="AR96" s="1"/>
      <c r="AS96" s="1"/>
      <c r="AT96" s="1"/>
    </row>
    <row r="97" spans="1:46" s="18" customFormat="1" x14ac:dyDescent="0.2">
      <c r="A97" s="10"/>
      <c r="B97" s="10"/>
      <c r="C97" s="97"/>
      <c r="D97" s="97"/>
      <c r="E97" s="97"/>
      <c r="F97" s="97"/>
      <c r="G97" s="1"/>
      <c r="H97" s="1"/>
      <c r="I97" s="1"/>
      <c r="J97" s="2"/>
      <c r="K97" s="1"/>
      <c r="L97" s="3"/>
      <c r="M97" s="1"/>
      <c r="Q97" s="25"/>
      <c r="R97" s="25"/>
      <c r="AP97" s="1"/>
      <c r="AQ97" s="1"/>
      <c r="AR97" s="1"/>
      <c r="AS97" s="1"/>
      <c r="AT97" s="1"/>
    </row>
    <row r="98" spans="1:46" s="18" customFormat="1" x14ac:dyDescent="0.2">
      <c r="A98" s="10"/>
      <c r="B98" s="10"/>
      <c r="C98" s="97"/>
      <c r="D98" s="97"/>
      <c r="E98" s="97"/>
      <c r="F98" s="97"/>
      <c r="G98" s="1"/>
      <c r="H98" s="1"/>
      <c r="I98" s="1"/>
      <c r="J98" s="2"/>
      <c r="K98" s="1"/>
      <c r="L98" s="3"/>
      <c r="M98" s="1"/>
      <c r="Q98" s="25"/>
      <c r="R98" s="25"/>
      <c r="AP98" s="1"/>
      <c r="AQ98" s="1"/>
      <c r="AR98" s="1"/>
      <c r="AS98" s="1"/>
      <c r="AT98" s="1"/>
    </row>
    <row r="99" spans="1:46" s="18" customFormat="1" x14ac:dyDescent="0.2">
      <c r="A99" s="10"/>
      <c r="B99" s="10"/>
      <c r="C99" s="97"/>
      <c r="D99" s="97"/>
      <c r="E99" s="97"/>
      <c r="F99" s="97"/>
      <c r="G99" s="1"/>
      <c r="H99" s="1"/>
      <c r="I99" s="1"/>
      <c r="J99" s="2"/>
      <c r="K99" s="1"/>
      <c r="L99" s="3"/>
      <c r="M99" s="1"/>
      <c r="Q99" s="25"/>
      <c r="R99" s="25"/>
      <c r="AP99" s="1"/>
      <c r="AQ99" s="1"/>
      <c r="AR99" s="1"/>
      <c r="AS99" s="1"/>
      <c r="AT99" s="1"/>
    </row>
    <row r="100" spans="1:46" s="18" customFormat="1" x14ac:dyDescent="0.2">
      <c r="A100" s="10"/>
      <c r="B100" s="10"/>
      <c r="C100" s="97"/>
      <c r="D100" s="97"/>
      <c r="E100" s="97"/>
      <c r="F100" s="97"/>
      <c r="G100" s="1"/>
      <c r="H100" s="1"/>
      <c r="I100" s="1"/>
      <c r="J100" s="2"/>
      <c r="K100" s="1"/>
      <c r="L100" s="3"/>
      <c r="M100" s="1"/>
      <c r="Q100" s="25"/>
      <c r="R100" s="25"/>
      <c r="AP100" s="1"/>
      <c r="AQ100" s="1"/>
      <c r="AR100" s="1"/>
      <c r="AS100" s="1"/>
      <c r="AT100" s="1"/>
    </row>
    <row r="101" spans="1:46" s="18" customFormat="1" x14ac:dyDescent="0.2">
      <c r="A101" s="10"/>
      <c r="B101" s="10"/>
      <c r="C101" s="97"/>
      <c r="D101" s="97"/>
      <c r="E101" s="97"/>
      <c r="F101" s="97"/>
      <c r="G101" s="1"/>
      <c r="H101" s="1"/>
      <c r="I101" s="1"/>
      <c r="J101" s="2"/>
      <c r="K101" s="1"/>
      <c r="L101" s="3"/>
      <c r="M101" s="1"/>
      <c r="Q101" s="25"/>
      <c r="R101" s="25"/>
      <c r="AP101" s="1"/>
      <c r="AQ101" s="1"/>
      <c r="AR101" s="1"/>
      <c r="AS101" s="1"/>
      <c r="AT101" s="1"/>
    </row>
    <row r="102" spans="1:46" s="18" customFormat="1" x14ac:dyDescent="0.2">
      <c r="A102" s="10"/>
      <c r="B102" s="10"/>
      <c r="C102" s="97"/>
      <c r="D102" s="97"/>
      <c r="E102" s="97"/>
      <c r="F102" s="97"/>
      <c r="G102" s="1"/>
      <c r="H102" s="1"/>
      <c r="I102" s="1"/>
      <c r="J102" s="2"/>
      <c r="K102" s="1"/>
      <c r="L102" s="3"/>
      <c r="M102" s="1"/>
      <c r="Q102" s="25"/>
      <c r="R102" s="25"/>
      <c r="AP102" s="1"/>
      <c r="AQ102" s="1"/>
      <c r="AR102" s="1"/>
      <c r="AS102" s="1"/>
      <c r="AT102" s="1"/>
    </row>
    <row r="103" spans="1:46" s="18" customFormat="1" x14ac:dyDescent="0.2">
      <c r="A103" s="10"/>
      <c r="B103" s="10"/>
      <c r="C103" s="97"/>
      <c r="D103" s="97"/>
      <c r="E103" s="97"/>
      <c r="F103" s="97"/>
      <c r="G103" s="1"/>
      <c r="H103" s="1"/>
      <c r="I103" s="1"/>
      <c r="J103" s="2"/>
      <c r="K103" s="1"/>
      <c r="L103" s="3"/>
      <c r="M103" s="1"/>
      <c r="Q103" s="25"/>
      <c r="R103" s="25"/>
      <c r="AP103" s="1"/>
      <c r="AQ103" s="1"/>
      <c r="AR103" s="1"/>
      <c r="AS103" s="1"/>
      <c r="AT103" s="1"/>
    </row>
    <row r="104" spans="1:46" s="18" customFormat="1" x14ac:dyDescent="0.2">
      <c r="A104" s="10"/>
      <c r="B104" s="10"/>
      <c r="C104" s="97"/>
      <c r="D104" s="97"/>
      <c r="E104" s="97"/>
      <c r="F104" s="97"/>
      <c r="G104" s="1"/>
      <c r="H104" s="1"/>
      <c r="I104" s="1"/>
      <c r="J104" s="2"/>
      <c r="K104" s="1"/>
      <c r="L104" s="3"/>
      <c r="M104" s="1"/>
      <c r="Q104" s="25"/>
      <c r="R104" s="25"/>
      <c r="AP104" s="1"/>
      <c r="AQ104" s="1"/>
      <c r="AR104" s="1"/>
      <c r="AS104" s="1"/>
      <c r="AT104" s="1"/>
    </row>
    <row r="105" spans="1:46" s="18" customFormat="1" x14ac:dyDescent="0.2">
      <c r="A105" s="10"/>
      <c r="B105" s="10"/>
      <c r="C105" s="97"/>
      <c r="D105" s="97"/>
      <c r="E105" s="97"/>
      <c r="F105" s="97"/>
      <c r="G105" s="1"/>
      <c r="H105" s="1"/>
      <c r="I105" s="1"/>
      <c r="J105" s="2"/>
      <c r="K105" s="1"/>
      <c r="L105" s="3"/>
      <c r="M105" s="1"/>
      <c r="Q105" s="25"/>
      <c r="R105" s="25"/>
      <c r="AP105" s="1"/>
      <c r="AQ105" s="1"/>
      <c r="AR105" s="1"/>
      <c r="AS105" s="1"/>
      <c r="AT105" s="1"/>
    </row>
    <row r="106" spans="1:46" s="18" customFormat="1" x14ac:dyDescent="0.2">
      <c r="A106" s="10"/>
      <c r="B106" s="10"/>
      <c r="C106" s="97"/>
      <c r="D106" s="97"/>
      <c r="E106" s="97"/>
      <c r="F106" s="97"/>
      <c r="G106" s="1"/>
      <c r="H106" s="1"/>
      <c r="I106" s="1"/>
      <c r="J106" s="2"/>
      <c r="K106" s="1"/>
      <c r="L106" s="3"/>
      <c r="M106" s="1"/>
      <c r="Q106" s="25"/>
      <c r="R106" s="25"/>
      <c r="AP106" s="1"/>
      <c r="AQ106" s="1"/>
      <c r="AR106" s="1"/>
      <c r="AS106" s="1"/>
      <c r="AT106" s="1"/>
    </row>
    <row r="107" spans="1:46" s="18" customFormat="1" x14ac:dyDescent="0.2">
      <c r="A107" s="10"/>
      <c r="B107" s="10"/>
      <c r="C107" s="97"/>
      <c r="D107" s="97"/>
      <c r="E107" s="97"/>
      <c r="F107" s="97"/>
      <c r="G107" s="1"/>
      <c r="H107" s="1"/>
      <c r="I107" s="1"/>
      <c r="J107" s="2"/>
      <c r="K107" s="1"/>
      <c r="L107" s="3"/>
      <c r="M107" s="1"/>
      <c r="Q107" s="25"/>
      <c r="R107" s="25"/>
      <c r="AP107" s="1"/>
      <c r="AQ107" s="1"/>
      <c r="AR107" s="1"/>
      <c r="AS107" s="1"/>
      <c r="AT107" s="1"/>
    </row>
    <row r="108" spans="1:46" s="18" customFormat="1" x14ac:dyDescent="0.2">
      <c r="A108" s="10"/>
      <c r="B108" s="10"/>
      <c r="C108" s="97"/>
      <c r="D108" s="97"/>
      <c r="E108" s="97"/>
      <c r="F108" s="97"/>
      <c r="G108" s="1"/>
      <c r="H108" s="1"/>
      <c r="I108" s="1"/>
      <c r="J108" s="2"/>
      <c r="K108" s="1"/>
      <c r="L108" s="3"/>
      <c r="M108" s="1"/>
      <c r="Q108" s="25"/>
      <c r="R108" s="25"/>
      <c r="AP108" s="1"/>
      <c r="AQ108" s="1"/>
      <c r="AR108" s="1"/>
      <c r="AS108" s="1"/>
      <c r="AT108" s="1"/>
    </row>
    <row r="109" spans="1:46" s="18" customFormat="1" x14ac:dyDescent="0.2">
      <c r="A109" s="10"/>
      <c r="B109" s="10"/>
      <c r="C109" s="97"/>
      <c r="D109" s="97"/>
      <c r="E109" s="97"/>
      <c r="F109" s="97"/>
      <c r="G109" s="1"/>
      <c r="H109" s="1"/>
      <c r="I109" s="1"/>
      <c r="J109" s="2"/>
      <c r="K109" s="1"/>
      <c r="L109" s="3"/>
      <c r="M109" s="1"/>
      <c r="Q109" s="25"/>
      <c r="R109" s="25"/>
      <c r="AP109" s="1"/>
      <c r="AQ109" s="1"/>
      <c r="AR109" s="1"/>
      <c r="AS109" s="1"/>
      <c r="AT109" s="1"/>
    </row>
    <row r="110" spans="1:46" s="18" customFormat="1" x14ac:dyDescent="0.2">
      <c r="A110" s="10"/>
      <c r="B110" s="10"/>
      <c r="C110" s="97"/>
      <c r="D110" s="97"/>
      <c r="E110" s="97"/>
      <c r="F110" s="97"/>
      <c r="G110" s="1"/>
      <c r="H110" s="1"/>
      <c r="I110" s="1"/>
      <c r="J110" s="2"/>
      <c r="K110" s="1"/>
      <c r="L110" s="3"/>
      <c r="M110" s="1"/>
      <c r="Q110" s="25"/>
      <c r="R110" s="25"/>
      <c r="AP110" s="1"/>
      <c r="AQ110" s="1"/>
      <c r="AR110" s="1"/>
      <c r="AS110" s="1"/>
      <c r="AT110" s="1"/>
    </row>
    <row r="111" spans="1:46" s="18" customFormat="1" x14ac:dyDescent="0.2">
      <c r="A111" s="10"/>
      <c r="B111" s="10"/>
      <c r="C111" s="97"/>
      <c r="D111" s="97"/>
      <c r="E111" s="97"/>
      <c r="F111" s="97"/>
      <c r="G111" s="1"/>
      <c r="H111" s="1"/>
      <c r="I111" s="1"/>
      <c r="J111" s="2"/>
      <c r="K111" s="1"/>
      <c r="L111" s="3"/>
      <c r="M111" s="1"/>
      <c r="Q111" s="25"/>
      <c r="R111" s="25"/>
      <c r="AP111" s="1"/>
      <c r="AQ111" s="1"/>
      <c r="AR111" s="1"/>
      <c r="AS111" s="1"/>
      <c r="AT111" s="1"/>
    </row>
    <row r="112" spans="1:46" s="18" customFormat="1" x14ac:dyDescent="0.2">
      <c r="A112" s="10"/>
      <c r="B112" s="10"/>
      <c r="C112" s="97"/>
      <c r="D112" s="97"/>
      <c r="E112" s="97"/>
      <c r="F112" s="97"/>
      <c r="G112" s="1"/>
      <c r="H112" s="1"/>
      <c r="I112" s="1"/>
      <c r="J112" s="2"/>
      <c r="K112" s="1"/>
      <c r="L112" s="3"/>
      <c r="M112" s="1"/>
      <c r="Q112" s="25"/>
      <c r="R112" s="25"/>
      <c r="AP112" s="1"/>
      <c r="AQ112" s="1"/>
      <c r="AR112" s="1"/>
      <c r="AS112" s="1"/>
      <c r="AT112" s="1"/>
    </row>
    <row r="113" spans="1:46" s="18" customFormat="1" x14ac:dyDescent="0.2">
      <c r="A113" s="10"/>
      <c r="B113" s="10"/>
      <c r="C113" s="97"/>
      <c r="D113" s="97"/>
      <c r="E113" s="97"/>
      <c r="F113" s="97"/>
      <c r="G113" s="1"/>
      <c r="H113" s="1"/>
      <c r="I113" s="1"/>
      <c r="J113" s="2"/>
      <c r="K113" s="1"/>
      <c r="L113" s="3"/>
      <c r="M113" s="1"/>
      <c r="Q113" s="25"/>
      <c r="R113" s="25"/>
      <c r="AP113" s="1"/>
      <c r="AQ113" s="1"/>
      <c r="AR113" s="1"/>
      <c r="AS113" s="1"/>
      <c r="AT113" s="1"/>
    </row>
    <row r="114" spans="1:46" s="18" customFormat="1" x14ac:dyDescent="0.2">
      <c r="A114" s="10"/>
      <c r="B114" s="10"/>
      <c r="C114" s="97"/>
      <c r="D114" s="97"/>
      <c r="E114" s="97"/>
      <c r="F114" s="97"/>
      <c r="G114" s="1"/>
      <c r="H114" s="1"/>
      <c r="I114" s="1"/>
      <c r="J114" s="2"/>
      <c r="K114" s="1"/>
      <c r="L114" s="3"/>
      <c r="M114" s="1"/>
      <c r="Q114" s="25"/>
      <c r="R114" s="25"/>
      <c r="AP114" s="1"/>
      <c r="AQ114" s="1"/>
      <c r="AR114" s="1"/>
      <c r="AS114" s="1"/>
      <c r="AT114" s="1"/>
    </row>
    <row r="115" spans="1:46" s="18" customFormat="1" x14ac:dyDescent="0.2">
      <c r="A115" s="10"/>
      <c r="B115" s="10"/>
      <c r="C115" s="97"/>
      <c r="D115" s="97"/>
      <c r="E115" s="97"/>
      <c r="F115" s="97"/>
      <c r="G115" s="1"/>
      <c r="H115" s="1"/>
      <c r="I115" s="1"/>
      <c r="J115" s="2"/>
      <c r="K115" s="1"/>
      <c r="L115" s="3"/>
      <c r="M115" s="1"/>
      <c r="Q115" s="25"/>
      <c r="R115" s="25"/>
      <c r="AP115" s="1"/>
      <c r="AQ115" s="1"/>
      <c r="AR115" s="1"/>
      <c r="AS115" s="1"/>
      <c r="AT115" s="1"/>
    </row>
    <row r="116" spans="1:46" s="18" customFormat="1" x14ac:dyDescent="0.2">
      <c r="A116" s="10"/>
      <c r="B116" s="10"/>
      <c r="C116" s="97"/>
      <c r="D116" s="97"/>
      <c r="E116" s="97"/>
      <c r="F116" s="97"/>
      <c r="G116" s="1"/>
      <c r="H116" s="1"/>
      <c r="I116" s="1"/>
      <c r="J116" s="2"/>
      <c r="K116" s="1"/>
      <c r="L116" s="3"/>
      <c r="M116" s="1"/>
      <c r="Q116" s="25"/>
      <c r="R116" s="25"/>
      <c r="AP116" s="1"/>
      <c r="AQ116" s="1"/>
      <c r="AR116" s="1"/>
      <c r="AS116" s="1"/>
      <c r="AT116" s="1"/>
    </row>
    <row r="117" spans="1:46" s="18" customFormat="1" x14ac:dyDescent="0.2">
      <c r="A117" s="10"/>
      <c r="B117" s="10"/>
      <c r="C117" s="97"/>
      <c r="D117" s="97"/>
      <c r="E117" s="97"/>
      <c r="F117" s="97"/>
      <c r="G117" s="1"/>
      <c r="H117" s="1"/>
      <c r="I117" s="1"/>
      <c r="J117" s="2"/>
      <c r="K117" s="1"/>
      <c r="L117" s="3"/>
      <c r="M117" s="1"/>
      <c r="Q117" s="25"/>
      <c r="R117" s="25"/>
      <c r="AP117" s="1"/>
      <c r="AQ117" s="1"/>
      <c r="AR117" s="1"/>
      <c r="AS117" s="1"/>
      <c r="AT117" s="1"/>
    </row>
    <row r="118" spans="1:46" s="18" customFormat="1" x14ac:dyDescent="0.2">
      <c r="A118" s="10"/>
      <c r="B118" s="10"/>
      <c r="C118" s="97"/>
      <c r="D118" s="97"/>
      <c r="E118" s="97"/>
      <c r="F118" s="97"/>
      <c r="G118" s="1"/>
      <c r="H118" s="1"/>
      <c r="I118" s="1"/>
      <c r="J118" s="2"/>
      <c r="K118" s="1"/>
      <c r="L118" s="3"/>
      <c r="M118" s="1"/>
      <c r="Q118" s="25"/>
      <c r="R118" s="25"/>
      <c r="AP118" s="1"/>
      <c r="AQ118" s="1"/>
      <c r="AR118" s="1"/>
      <c r="AS118" s="1"/>
      <c r="AT118" s="1"/>
    </row>
    <row r="119" spans="1:46" s="18" customFormat="1" x14ac:dyDescent="0.2">
      <c r="A119" s="10"/>
      <c r="B119" s="10"/>
      <c r="C119" s="97"/>
      <c r="D119" s="97"/>
      <c r="E119" s="97"/>
      <c r="F119" s="97"/>
      <c r="G119" s="1"/>
      <c r="H119" s="1"/>
      <c r="I119" s="1"/>
      <c r="J119" s="2"/>
      <c r="K119" s="1"/>
      <c r="L119" s="3"/>
      <c r="M119" s="1"/>
      <c r="Q119" s="25"/>
      <c r="R119" s="25"/>
      <c r="AP119" s="1"/>
      <c r="AQ119" s="1"/>
      <c r="AR119" s="1"/>
      <c r="AS119" s="1"/>
      <c r="AT119" s="1"/>
    </row>
    <row r="120" spans="1:46" s="18" customFormat="1" x14ac:dyDescent="0.2">
      <c r="A120" s="10"/>
      <c r="B120" s="10"/>
      <c r="C120" s="97"/>
      <c r="D120" s="97"/>
      <c r="E120" s="97"/>
      <c r="F120" s="97"/>
      <c r="G120" s="1"/>
      <c r="H120" s="1"/>
      <c r="I120" s="1"/>
      <c r="J120" s="2"/>
      <c r="K120" s="1"/>
      <c r="L120" s="3"/>
      <c r="M120" s="1"/>
      <c r="Q120" s="25"/>
      <c r="R120" s="25"/>
      <c r="AP120" s="1"/>
      <c r="AQ120" s="1"/>
      <c r="AR120" s="1"/>
      <c r="AS120" s="1"/>
      <c r="AT120" s="1"/>
    </row>
    <row r="121" spans="1:46" s="18" customFormat="1" x14ac:dyDescent="0.2">
      <c r="A121" s="10"/>
      <c r="B121" s="10"/>
      <c r="C121" s="97"/>
      <c r="D121" s="97"/>
      <c r="E121" s="97"/>
      <c r="F121" s="97"/>
      <c r="G121" s="1"/>
      <c r="H121" s="1"/>
      <c r="I121" s="1"/>
      <c r="J121" s="2"/>
      <c r="K121" s="1"/>
      <c r="L121" s="3"/>
      <c r="M121" s="1"/>
      <c r="Q121" s="25"/>
      <c r="R121" s="25"/>
      <c r="AP121" s="1"/>
      <c r="AQ121" s="1"/>
      <c r="AR121" s="1"/>
      <c r="AS121" s="1"/>
      <c r="AT121" s="1"/>
    </row>
    <row r="122" spans="1:46" s="18" customFormat="1" x14ac:dyDescent="0.2">
      <c r="A122" s="10"/>
      <c r="B122" s="10"/>
      <c r="C122" s="97"/>
      <c r="D122" s="97"/>
      <c r="E122" s="97"/>
      <c r="F122" s="97"/>
      <c r="G122" s="1"/>
      <c r="H122" s="1"/>
      <c r="I122" s="1"/>
      <c r="J122" s="2"/>
      <c r="K122" s="1"/>
      <c r="L122" s="3"/>
      <c r="M122" s="1"/>
      <c r="Q122" s="25"/>
      <c r="R122" s="25"/>
      <c r="AP122" s="1"/>
      <c r="AQ122" s="1"/>
      <c r="AR122" s="1"/>
      <c r="AS122" s="1"/>
      <c r="AT122" s="1"/>
    </row>
    <row r="123" spans="1:46" s="18" customFormat="1" x14ac:dyDescent="0.2">
      <c r="A123" s="10"/>
      <c r="B123" s="10"/>
      <c r="C123" s="97"/>
      <c r="D123" s="97"/>
      <c r="E123" s="97"/>
      <c r="F123" s="97"/>
      <c r="G123" s="1"/>
      <c r="H123" s="1"/>
      <c r="I123" s="1"/>
      <c r="J123" s="2"/>
      <c r="K123" s="1"/>
      <c r="L123" s="3"/>
      <c r="M123" s="1"/>
      <c r="Q123" s="25"/>
      <c r="R123" s="25"/>
      <c r="AP123" s="1"/>
      <c r="AQ123" s="1"/>
      <c r="AR123" s="1"/>
      <c r="AS123" s="1"/>
      <c r="AT123" s="1"/>
    </row>
    <row r="124" spans="1:46" s="18" customFormat="1" x14ac:dyDescent="0.2">
      <c r="A124" s="10"/>
      <c r="B124" s="10"/>
      <c r="C124" s="97"/>
      <c r="D124" s="97"/>
      <c r="E124" s="97"/>
      <c r="F124" s="97"/>
      <c r="G124" s="1"/>
      <c r="H124" s="1"/>
      <c r="I124" s="1"/>
      <c r="J124" s="2"/>
      <c r="K124" s="1"/>
      <c r="L124" s="3"/>
      <c r="M124" s="1"/>
      <c r="Q124" s="25"/>
      <c r="R124" s="25"/>
      <c r="AP124" s="1"/>
      <c r="AQ124" s="1"/>
      <c r="AR124" s="1"/>
      <c r="AS124" s="1"/>
      <c r="AT124" s="1"/>
    </row>
    <row r="125" spans="1:46" s="18" customFormat="1" x14ac:dyDescent="0.2">
      <c r="A125" s="10"/>
      <c r="B125" s="10"/>
      <c r="C125" s="97"/>
      <c r="D125" s="97"/>
      <c r="E125" s="97"/>
      <c r="F125" s="97"/>
      <c r="G125" s="1"/>
      <c r="H125" s="1"/>
      <c r="I125" s="1"/>
      <c r="J125" s="2"/>
      <c r="K125" s="1"/>
      <c r="L125" s="3"/>
      <c r="M125" s="1"/>
      <c r="Q125" s="25"/>
      <c r="R125" s="25"/>
      <c r="AP125" s="1"/>
      <c r="AQ125" s="1"/>
      <c r="AR125" s="1"/>
      <c r="AS125" s="1"/>
      <c r="AT125" s="1"/>
    </row>
    <row r="126" spans="1:46" s="18" customFormat="1" x14ac:dyDescent="0.2">
      <c r="A126" s="10"/>
      <c r="B126" s="10"/>
      <c r="C126" s="97"/>
      <c r="D126" s="97"/>
      <c r="E126" s="97"/>
      <c r="F126" s="97"/>
      <c r="G126" s="1"/>
      <c r="H126" s="1"/>
      <c r="I126" s="1"/>
      <c r="J126" s="2"/>
      <c r="K126" s="1"/>
      <c r="L126" s="3"/>
      <c r="M126" s="1"/>
      <c r="Q126" s="25"/>
      <c r="R126" s="25"/>
      <c r="AP126" s="1"/>
      <c r="AQ126" s="1"/>
      <c r="AR126" s="1"/>
      <c r="AS126" s="1"/>
      <c r="AT126" s="1"/>
    </row>
    <row r="127" spans="1:46" s="18" customFormat="1" x14ac:dyDescent="0.2">
      <c r="A127" s="10"/>
      <c r="B127" s="10"/>
      <c r="C127" s="97"/>
      <c r="D127" s="97"/>
      <c r="E127" s="97"/>
      <c r="F127" s="97"/>
      <c r="G127" s="1"/>
      <c r="H127" s="1"/>
      <c r="I127" s="1"/>
      <c r="J127" s="2"/>
      <c r="K127" s="1"/>
      <c r="L127" s="3"/>
      <c r="M127" s="1"/>
      <c r="Q127" s="25"/>
      <c r="R127" s="25"/>
      <c r="AP127" s="1"/>
      <c r="AQ127" s="1"/>
      <c r="AR127" s="1"/>
      <c r="AS127" s="1"/>
      <c r="AT127" s="1"/>
    </row>
    <row r="128" spans="1:46" s="18" customFormat="1" x14ac:dyDescent="0.2">
      <c r="A128" s="10"/>
      <c r="B128" s="10"/>
      <c r="C128" s="97"/>
      <c r="D128" s="97"/>
      <c r="E128" s="97"/>
      <c r="F128" s="97"/>
      <c r="G128" s="1"/>
      <c r="H128" s="1"/>
      <c r="I128" s="1"/>
      <c r="J128" s="2"/>
      <c r="K128" s="1"/>
      <c r="L128" s="3"/>
      <c r="M128" s="1"/>
      <c r="Q128" s="25"/>
      <c r="R128" s="25"/>
      <c r="AP128" s="1"/>
      <c r="AQ128" s="1"/>
      <c r="AR128" s="1"/>
      <c r="AS128" s="1"/>
      <c r="AT128" s="1"/>
    </row>
    <row r="129" spans="1:46" s="18" customFormat="1" x14ac:dyDescent="0.2">
      <c r="A129" s="10"/>
      <c r="B129" s="10"/>
      <c r="C129" s="97"/>
      <c r="D129" s="97"/>
      <c r="E129" s="97"/>
      <c r="F129" s="97"/>
      <c r="G129" s="1"/>
      <c r="H129" s="1"/>
      <c r="I129" s="1"/>
      <c r="J129" s="2"/>
      <c r="K129" s="1"/>
      <c r="L129" s="3"/>
      <c r="M129" s="1"/>
      <c r="Q129" s="25"/>
      <c r="R129" s="25"/>
      <c r="AP129" s="1"/>
      <c r="AQ129" s="1"/>
      <c r="AR129" s="1"/>
      <c r="AS129" s="1"/>
      <c r="AT129" s="1"/>
    </row>
    <row r="130" spans="1:46" s="18" customFormat="1" x14ac:dyDescent="0.2">
      <c r="A130" s="10"/>
      <c r="B130" s="10"/>
      <c r="C130" s="97"/>
      <c r="D130" s="97"/>
      <c r="E130" s="97"/>
      <c r="F130" s="97"/>
      <c r="G130" s="1"/>
      <c r="H130" s="1"/>
      <c r="I130" s="1"/>
      <c r="J130" s="2"/>
      <c r="K130" s="1"/>
      <c r="L130" s="3"/>
      <c r="M130" s="1"/>
      <c r="Q130" s="25"/>
      <c r="R130" s="25"/>
      <c r="AP130" s="1"/>
      <c r="AQ130" s="1"/>
      <c r="AR130" s="1"/>
      <c r="AS130" s="1"/>
      <c r="AT130" s="1"/>
    </row>
    <row r="131" spans="1:46" s="18" customFormat="1" x14ac:dyDescent="0.2">
      <c r="A131" s="10"/>
      <c r="B131" s="10"/>
      <c r="C131" s="97"/>
      <c r="D131" s="97"/>
      <c r="E131" s="97"/>
      <c r="F131" s="97"/>
      <c r="G131" s="1"/>
      <c r="H131" s="1"/>
      <c r="I131" s="1"/>
      <c r="J131" s="2"/>
      <c r="K131" s="1"/>
      <c r="L131" s="3"/>
      <c r="M131" s="1"/>
      <c r="Q131" s="25"/>
      <c r="R131" s="25"/>
      <c r="AP131" s="1"/>
      <c r="AQ131" s="1"/>
      <c r="AR131" s="1"/>
      <c r="AS131" s="1"/>
      <c r="AT131" s="1"/>
    </row>
    <row r="132" spans="1:46" s="18" customFormat="1" x14ac:dyDescent="0.2">
      <c r="A132" s="10"/>
      <c r="B132" s="10"/>
      <c r="C132" s="97"/>
      <c r="D132" s="97"/>
      <c r="E132" s="97"/>
      <c r="F132" s="97"/>
      <c r="G132" s="1"/>
      <c r="H132" s="1"/>
      <c r="I132" s="1"/>
      <c r="J132" s="2"/>
      <c r="K132" s="1"/>
      <c r="L132" s="3"/>
      <c r="M132" s="1"/>
      <c r="Q132" s="25"/>
      <c r="R132" s="25"/>
      <c r="AP132" s="1"/>
      <c r="AQ132" s="1"/>
      <c r="AR132" s="1"/>
      <c r="AS132" s="1"/>
      <c r="AT132" s="1"/>
    </row>
    <row r="133" spans="1:46" s="18" customFormat="1" x14ac:dyDescent="0.2">
      <c r="A133" s="10"/>
      <c r="B133" s="10"/>
      <c r="C133" s="97"/>
      <c r="D133" s="97"/>
      <c r="E133" s="97"/>
      <c r="F133" s="97"/>
      <c r="G133" s="1"/>
      <c r="H133" s="1"/>
      <c r="I133" s="1"/>
      <c r="J133" s="2"/>
      <c r="K133" s="1"/>
      <c r="L133" s="3"/>
      <c r="M133" s="1"/>
      <c r="Q133" s="25"/>
      <c r="R133" s="25"/>
      <c r="AP133" s="1"/>
      <c r="AQ133" s="1"/>
      <c r="AR133" s="1"/>
      <c r="AS133" s="1"/>
      <c r="AT133" s="1"/>
    </row>
    <row r="134" spans="1:46" s="18" customFormat="1" x14ac:dyDescent="0.2">
      <c r="A134" s="10"/>
      <c r="B134" s="10"/>
      <c r="C134" s="97"/>
      <c r="D134" s="97"/>
      <c r="E134" s="97"/>
      <c r="F134" s="97"/>
      <c r="G134" s="1"/>
      <c r="H134" s="1"/>
      <c r="I134" s="1"/>
      <c r="J134" s="2"/>
      <c r="K134" s="1"/>
      <c r="L134" s="3"/>
      <c r="M134" s="1"/>
      <c r="Q134" s="25"/>
      <c r="R134" s="25"/>
      <c r="AP134" s="1"/>
      <c r="AQ134" s="1"/>
      <c r="AR134" s="1"/>
      <c r="AS134" s="1"/>
      <c r="AT134" s="1"/>
    </row>
    <row r="135" spans="1:46" s="18" customFormat="1" x14ac:dyDescent="0.2">
      <c r="A135" s="10"/>
      <c r="B135" s="10"/>
      <c r="C135" s="97"/>
      <c r="D135" s="97"/>
      <c r="E135" s="97"/>
      <c r="F135" s="97"/>
      <c r="G135" s="1"/>
      <c r="H135" s="1"/>
      <c r="I135" s="1"/>
      <c r="J135" s="2"/>
      <c r="K135" s="1"/>
      <c r="L135" s="3"/>
      <c r="M135" s="1"/>
      <c r="Q135" s="25"/>
      <c r="R135" s="25"/>
      <c r="AP135" s="1"/>
      <c r="AQ135" s="1"/>
      <c r="AR135" s="1"/>
      <c r="AS135" s="1"/>
      <c r="AT135" s="1"/>
    </row>
    <row r="136" spans="1:46" s="18" customFormat="1" x14ac:dyDescent="0.2">
      <c r="A136" s="10"/>
      <c r="B136" s="10"/>
      <c r="C136" s="97"/>
      <c r="D136" s="97"/>
      <c r="E136" s="97"/>
      <c r="F136" s="97"/>
      <c r="G136" s="1"/>
      <c r="H136" s="1"/>
      <c r="I136" s="1"/>
      <c r="J136" s="2"/>
      <c r="K136" s="1"/>
      <c r="L136" s="3"/>
      <c r="M136" s="1"/>
      <c r="Q136" s="25"/>
      <c r="R136" s="25"/>
      <c r="AP136" s="1"/>
      <c r="AQ136" s="1"/>
      <c r="AR136" s="1"/>
      <c r="AS136" s="1"/>
      <c r="AT136" s="1"/>
    </row>
    <row r="137" spans="1:46" s="18" customFormat="1" x14ac:dyDescent="0.2">
      <c r="A137" s="10"/>
      <c r="B137" s="10"/>
      <c r="C137" s="97"/>
      <c r="D137" s="97"/>
      <c r="E137" s="97"/>
      <c r="F137" s="97"/>
      <c r="G137" s="1"/>
      <c r="H137" s="1"/>
      <c r="I137" s="1"/>
      <c r="J137" s="2"/>
      <c r="K137" s="1"/>
      <c r="L137" s="3"/>
      <c r="M137" s="1"/>
      <c r="Q137" s="25"/>
      <c r="R137" s="25"/>
      <c r="AP137" s="1"/>
      <c r="AQ137" s="1"/>
      <c r="AR137" s="1"/>
      <c r="AS137" s="1"/>
      <c r="AT137" s="1"/>
    </row>
    <row r="138" spans="1:46" s="18" customFormat="1" x14ac:dyDescent="0.2">
      <c r="A138" s="10"/>
      <c r="B138" s="10"/>
      <c r="C138" s="10"/>
      <c r="D138" s="10"/>
      <c r="E138" s="10"/>
      <c r="F138" s="10"/>
      <c r="G138" s="1"/>
      <c r="H138" s="1"/>
      <c r="I138" s="1"/>
      <c r="J138" s="2"/>
      <c r="K138" s="1"/>
      <c r="L138" s="3"/>
      <c r="M138" s="1"/>
      <c r="Q138" s="25"/>
      <c r="R138" s="25"/>
      <c r="AP138" s="1"/>
      <c r="AQ138" s="1"/>
      <c r="AR138" s="1"/>
      <c r="AS138" s="1"/>
      <c r="AT138" s="1"/>
    </row>
    <row r="139" spans="1:46" s="18" customFormat="1" x14ac:dyDescent="0.2">
      <c r="A139" s="10"/>
      <c r="B139" s="10"/>
      <c r="C139" s="10"/>
      <c r="D139" s="10"/>
      <c r="E139" s="10"/>
      <c r="F139" s="10"/>
      <c r="G139" s="1"/>
      <c r="H139" s="1"/>
      <c r="I139" s="1"/>
      <c r="J139" s="2"/>
      <c r="K139" s="1"/>
      <c r="L139" s="3"/>
      <c r="M139" s="1"/>
      <c r="Q139" s="25"/>
      <c r="R139" s="25"/>
      <c r="AP139" s="1"/>
      <c r="AQ139" s="1"/>
      <c r="AR139" s="1"/>
      <c r="AS139" s="1"/>
      <c r="AT139" s="1"/>
    </row>
    <row r="140" spans="1:46" s="18" customFormat="1" x14ac:dyDescent="0.2">
      <c r="A140" s="10"/>
      <c r="B140" s="10"/>
      <c r="C140" s="10"/>
      <c r="D140" s="10"/>
      <c r="E140" s="10"/>
      <c r="F140" s="10"/>
      <c r="G140" s="1"/>
      <c r="H140" s="1"/>
      <c r="I140" s="1"/>
      <c r="J140" s="2"/>
      <c r="K140" s="1"/>
      <c r="L140" s="3"/>
      <c r="M140" s="1"/>
      <c r="Q140" s="25"/>
      <c r="R140" s="25"/>
      <c r="AP140" s="1"/>
      <c r="AQ140" s="1"/>
      <c r="AR140" s="1"/>
      <c r="AS140" s="1"/>
      <c r="AT140" s="1"/>
    </row>
    <row r="141" spans="1:46" s="18" customFormat="1" x14ac:dyDescent="0.2">
      <c r="A141" s="10"/>
      <c r="B141" s="10"/>
      <c r="C141" s="10"/>
      <c r="D141" s="10"/>
      <c r="E141" s="10"/>
      <c r="F141" s="10"/>
      <c r="G141" s="1"/>
      <c r="H141" s="1"/>
      <c r="I141" s="1"/>
      <c r="J141" s="2"/>
      <c r="K141" s="1"/>
      <c r="L141" s="3"/>
      <c r="M141" s="1"/>
      <c r="Q141" s="25"/>
      <c r="R141" s="25"/>
      <c r="AP141" s="1"/>
      <c r="AQ141" s="1"/>
      <c r="AR141" s="1"/>
      <c r="AS141" s="1"/>
      <c r="AT141" s="1"/>
    </row>
    <row r="142" spans="1:46" s="18" customFormat="1" x14ac:dyDescent="0.2">
      <c r="A142" s="10"/>
      <c r="B142" s="10"/>
      <c r="C142" s="10"/>
      <c r="D142" s="10"/>
      <c r="E142" s="10"/>
      <c r="F142" s="10"/>
      <c r="G142" s="1"/>
      <c r="H142" s="1"/>
      <c r="I142" s="1"/>
      <c r="J142" s="2"/>
      <c r="K142" s="1"/>
      <c r="L142" s="3"/>
      <c r="M142" s="1"/>
      <c r="Q142" s="25"/>
      <c r="R142" s="25"/>
      <c r="AP142" s="1"/>
      <c r="AQ142" s="1"/>
      <c r="AR142" s="1"/>
      <c r="AS142" s="1"/>
      <c r="AT142" s="1"/>
    </row>
    <row r="143" spans="1:46" s="18" customFormat="1" x14ac:dyDescent="0.2">
      <c r="A143" s="10"/>
      <c r="B143" s="10"/>
      <c r="C143" s="10"/>
      <c r="D143" s="10"/>
      <c r="E143" s="10"/>
      <c r="F143" s="10"/>
      <c r="G143" s="1"/>
      <c r="H143" s="1"/>
      <c r="I143" s="1"/>
      <c r="J143" s="2"/>
      <c r="K143" s="1"/>
      <c r="L143" s="3"/>
      <c r="M143" s="1"/>
      <c r="Q143" s="25"/>
      <c r="R143" s="25"/>
      <c r="AP143" s="1"/>
      <c r="AQ143" s="1"/>
      <c r="AR143" s="1"/>
      <c r="AS143" s="1"/>
      <c r="AT143" s="1"/>
    </row>
    <row r="144" spans="1:46" s="18" customFormat="1" x14ac:dyDescent="0.2">
      <c r="A144" s="10"/>
      <c r="B144" s="10"/>
      <c r="C144" s="10"/>
      <c r="D144" s="10"/>
      <c r="E144" s="10"/>
      <c r="F144" s="10"/>
      <c r="G144" s="1"/>
      <c r="H144" s="1"/>
      <c r="I144" s="1"/>
      <c r="J144" s="2"/>
      <c r="K144" s="1"/>
      <c r="L144" s="3"/>
      <c r="M144" s="1"/>
      <c r="Q144" s="25"/>
      <c r="R144" s="25"/>
      <c r="AP144" s="1"/>
      <c r="AQ144" s="1"/>
      <c r="AR144" s="1"/>
      <c r="AS144" s="1"/>
      <c r="AT144" s="1"/>
    </row>
    <row r="145" spans="1:46" s="18" customFormat="1" x14ac:dyDescent="0.2">
      <c r="A145" s="10"/>
      <c r="B145" s="10"/>
      <c r="C145" s="10"/>
      <c r="D145" s="10"/>
      <c r="E145" s="10"/>
      <c r="F145" s="10"/>
      <c r="G145" s="1"/>
      <c r="H145" s="1"/>
      <c r="I145" s="1"/>
      <c r="J145" s="2"/>
      <c r="K145" s="1"/>
      <c r="L145" s="3"/>
      <c r="M145" s="1"/>
      <c r="Q145" s="25"/>
      <c r="R145" s="25"/>
      <c r="AP145" s="1"/>
      <c r="AQ145" s="1"/>
      <c r="AR145" s="1"/>
      <c r="AS145" s="1"/>
      <c r="AT145" s="1"/>
    </row>
    <row r="146" spans="1:46" s="18" customFormat="1" x14ac:dyDescent="0.2">
      <c r="A146" s="10"/>
      <c r="B146" s="10"/>
      <c r="C146" s="10"/>
      <c r="D146" s="10"/>
      <c r="E146" s="10"/>
      <c r="F146" s="10"/>
      <c r="G146" s="1"/>
      <c r="H146" s="1"/>
      <c r="I146" s="1"/>
      <c r="J146" s="2"/>
      <c r="K146" s="1"/>
      <c r="L146" s="3"/>
      <c r="M146" s="1"/>
      <c r="Q146" s="25"/>
      <c r="R146" s="25"/>
      <c r="AP146" s="1"/>
      <c r="AQ146" s="1"/>
      <c r="AR146" s="1"/>
      <c r="AS146" s="1"/>
      <c r="AT146" s="1"/>
    </row>
    <row r="147" spans="1:46" s="18" customFormat="1" x14ac:dyDescent="0.2">
      <c r="A147" s="10"/>
      <c r="B147" s="10"/>
      <c r="C147" s="10"/>
      <c r="D147" s="10"/>
      <c r="E147" s="10"/>
      <c r="F147" s="10"/>
      <c r="G147" s="1"/>
      <c r="H147" s="1"/>
      <c r="I147" s="1"/>
      <c r="J147" s="2"/>
      <c r="K147" s="1"/>
      <c r="L147" s="3"/>
      <c r="M147" s="1"/>
      <c r="Q147" s="25"/>
      <c r="R147" s="25"/>
      <c r="AP147" s="1"/>
      <c r="AQ147" s="1"/>
      <c r="AR147" s="1"/>
      <c r="AS147" s="1"/>
      <c r="AT147" s="1"/>
    </row>
    <row r="148" spans="1:46" s="18" customFormat="1" x14ac:dyDescent="0.2">
      <c r="A148" s="10"/>
      <c r="B148" s="10"/>
      <c r="C148" s="10"/>
      <c r="D148" s="10"/>
      <c r="E148" s="10"/>
      <c r="F148" s="10"/>
      <c r="G148" s="1"/>
      <c r="H148" s="1"/>
      <c r="I148" s="1"/>
      <c r="J148" s="2"/>
      <c r="K148" s="1"/>
      <c r="L148" s="3"/>
      <c r="M148" s="1"/>
      <c r="Q148" s="25"/>
      <c r="R148" s="25"/>
      <c r="AP148" s="1"/>
      <c r="AQ148" s="1"/>
      <c r="AR148" s="1"/>
      <c r="AS148" s="1"/>
      <c r="AT148" s="1"/>
    </row>
    <row r="149" spans="1:46" s="18" customFormat="1" x14ac:dyDescent="0.2">
      <c r="A149" s="10"/>
      <c r="B149" s="10"/>
      <c r="C149" s="10"/>
      <c r="D149" s="10"/>
      <c r="E149" s="10"/>
      <c r="F149" s="10"/>
      <c r="G149" s="1"/>
      <c r="H149" s="1"/>
      <c r="I149" s="1"/>
      <c r="J149" s="2"/>
      <c r="K149" s="1"/>
      <c r="L149" s="3"/>
      <c r="M149" s="1"/>
      <c r="Q149" s="25"/>
      <c r="R149" s="25"/>
      <c r="AP149" s="1"/>
      <c r="AQ149" s="1"/>
      <c r="AR149" s="1"/>
      <c r="AS149" s="1"/>
      <c r="AT149" s="1"/>
    </row>
    <row r="150" spans="1:46" s="18" customFormat="1" x14ac:dyDescent="0.2">
      <c r="A150" s="10"/>
      <c r="B150" s="10"/>
      <c r="C150" s="10"/>
      <c r="D150" s="10"/>
      <c r="E150" s="10"/>
      <c r="F150" s="10"/>
      <c r="G150" s="1"/>
      <c r="H150" s="1"/>
      <c r="I150" s="1"/>
      <c r="J150" s="2"/>
      <c r="K150" s="1"/>
      <c r="L150" s="3"/>
      <c r="M150" s="1"/>
      <c r="Q150" s="25"/>
      <c r="R150" s="25"/>
      <c r="AP150" s="1"/>
      <c r="AQ150" s="1"/>
      <c r="AR150" s="1"/>
      <c r="AS150" s="1"/>
      <c r="AT150" s="1"/>
    </row>
    <row r="151" spans="1:46" s="18" customFormat="1" x14ac:dyDescent="0.2">
      <c r="A151" s="10"/>
      <c r="B151" s="10"/>
      <c r="C151" s="10"/>
      <c r="D151" s="10"/>
      <c r="E151" s="10"/>
      <c r="F151" s="10"/>
      <c r="G151" s="1"/>
      <c r="H151" s="1"/>
      <c r="I151" s="1"/>
      <c r="J151" s="2"/>
      <c r="K151" s="1"/>
      <c r="L151" s="3"/>
      <c r="M151" s="1"/>
      <c r="Q151" s="25"/>
      <c r="R151" s="25"/>
      <c r="AP151" s="1"/>
      <c r="AQ151" s="1"/>
      <c r="AR151" s="1"/>
      <c r="AS151" s="1"/>
      <c r="AT151" s="1"/>
    </row>
    <row r="152" spans="1:46" s="18" customFormat="1" x14ac:dyDescent="0.2">
      <c r="A152" s="10"/>
      <c r="B152" s="10"/>
      <c r="C152" s="10"/>
      <c r="D152" s="10"/>
      <c r="E152" s="10"/>
      <c r="F152" s="10"/>
      <c r="G152" s="1"/>
      <c r="H152" s="1"/>
      <c r="I152" s="1"/>
      <c r="J152" s="2"/>
      <c r="K152" s="1"/>
      <c r="L152" s="3"/>
      <c r="M152" s="1"/>
      <c r="Q152" s="25"/>
      <c r="R152" s="25"/>
      <c r="AP152" s="1"/>
      <c r="AQ152" s="1"/>
      <c r="AR152" s="1"/>
      <c r="AS152" s="1"/>
      <c r="AT152" s="1"/>
    </row>
    <row r="153" spans="1:46" s="18" customFormat="1" x14ac:dyDescent="0.2">
      <c r="A153" s="10"/>
      <c r="B153" s="10"/>
      <c r="C153" s="10"/>
      <c r="D153" s="10"/>
      <c r="E153" s="10"/>
      <c r="F153" s="10"/>
      <c r="G153" s="1"/>
      <c r="H153" s="1"/>
      <c r="I153" s="1"/>
      <c r="J153" s="2"/>
      <c r="K153" s="1"/>
      <c r="L153" s="3"/>
      <c r="M153" s="1"/>
      <c r="Q153" s="25"/>
      <c r="R153" s="25"/>
      <c r="AP153" s="1"/>
      <c r="AQ153" s="1"/>
      <c r="AR153" s="1"/>
      <c r="AS153" s="1"/>
      <c r="AT153" s="1"/>
    </row>
    <row r="154" spans="1:46" s="18" customFormat="1" x14ac:dyDescent="0.2">
      <c r="A154" s="10"/>
      <c r="B154" s="10"/>
      <c r="C154" s="10"/>
      <c r="D154" s="10"/>
      <c r="E154" s="10"/>
      <c r="F154" s="10"/>
      <c r="G154" s="1"/>
      <c r="H154" s="1"/>
      <c r="I154" s="1"/>
      <c r="J154" s="2"/>
      <c r="K154" s="1"/>
      <c r="L154" s="3"/>
      <c r="M154" s="1"/>
      <c r="Q154" s="25"/>
      <c r="R154" s="25"/>
      <c r="AP154" s="1"/>
      <c r="AQ154" s="1"/>
      <c r="AR154" s="1"/>
      <c r="AS154" s="1"/>
      <c r="AT154" s="1"/>
    </row>
    <row r="155" spans="1:46" s="18" customFormat="1" x14ac:dyDescent="0.2">
      <c r="A155" s="10"/>
      <c r="B155" s="10"/>
      <c r="C155" s="10"/>
      <c r="D155" s="10"/>
      <c r="E155" s="10"/>
      <c r="F155" s="10"/>
      <c r="G155" s="1"/>
      <c r="H155" s="1"/>
      <c r="I155" s="1"/>
      <c r="J155" s="2"/>
      <c r="K155" s="1"/>
      <c r="L155" s="3"/>
      <c r="M155" s="1"/>
      <c r="Q155" s="25"/>
      <c r="R155" s="25"/>
      <c r="AP155" s="1"/>
      <c r="AQ155" s="1"/>
      <c r="AR155" s="1"/>
      <c r="AS155" s="1"/>
      <c r="AT155" s="1"/>
    </row>
    <row r="156" spans="1:46" s="18" customFormat="1" x14ac:dyDescent="0.2">
      <c r="A156" s="10"/>
      <c r="B156" s="10"/>
      <c r="C156" s="10"/>
      <c r="D156" s="10"/>
      <c r="E156" s="10"/>
      <c r="F156" s="10"/>
      <c r="G156" s="1"/>
      <c r="H156" s="1"/>
      <c r="I156" s="1"/>
      <c r="J156" s="2"/>
      <c r="K156" s="1"/>
      <c r="L156" s="3"/>
      <c r="M156" s="1"/>
      <c r="Q156" s="25"/>
      <c r="R156" s="25"/>
      <c r="AP156" s="1"/>
      <c r="AQ156" s="1"/>
      <c r="AR156" s="1"/>
      <c r="AS156" s="1"/>
      <c r="AT156" s="1"/>
    </row>
    <row r="157" spans="1:46" s="18" customFormat="1" x14ac:dyDescent="0.2">
      <c r="A157" s="10"/>
      <c r="B157" s="10"/>
      <c r="C157" s="10"/>
      <c r="D157" s="10"/>
      <c r="E157" s="10"/>
      <c r="F157" s="10"/>
      <c r="G157" s="1"/>
      <c r="H157" s="1"/>
      <c r="I157" s="1"/>
      <c r="J157" s="2"/>
      <c r="K157" s="1"/>
      <c r="L157" s="3"/>
      <c r="M157" s="1"/>
      <c r="Q157" s="25"/>
      <c r="R157" s="25"/>
      <c r="AP157" s="1"/>
      <c r="AQ157" s="1"/>
      <c r="AR157" s="1"/>
      <c r="AS157" s="1"/>
      <c r="AT157" s="1"/>
    </row>
    <row r="158" spans="1:46" s="18" customFormat="1" x14ac:dyDescent="0.2">
      <c r="A158" s="10"/>
      <c r="B158" s="10"/>
      <c r="C158" s="10"/>
      <c r="D158" s="10"/>
      <c r="E158" s="10"/>
      <c r="F158" s="10"/>
      <c r="G158" s="1"/>
      <c r="H158" s="1"/>
      <c r="I158" s="1"/>
      <c r="J158" s="2"/>
      <c r="K158" s="1"/>
      <c r="L158" s="3"/>
      <c r="M158" s="1"/>
      <c r="Q158" s="25"/>
      <c r="R158" s="25"/>
      <c r="AP158" s="1"/>
      <c r="AQ158" s="1"/>
      <c r="AR158" s="1"/>
      <c r="AS158" s="1"/>
      <c r="AT158" s="1"/>
    </row>
    <row r="159" spans="1:46" s="18" customFormat="1" x14ac:dyDescent="0.2">
      <c r="A159" s="10"/>
      <c r="B159" s="10"/>
      <c r="C159" s="10"/>
      <c r="D159" s="10"/>
      <c r="E159" s="10"/>
      <c r="F159" s="10"/>
      <c r="G159" s="1"/>
      <c r="H159" s="1"/>
      <c r="I159" s="1"/>
      <c r="J159" s="2"/>
      <c r="K159" s="1"/>
      <c r="L159" s="3"/>
      <c r="M159" s="1"/>
      <c r="Q159" s="25"/>
      <c r="R159" s="25"/>
      <c r="AP159" s="1"/>
      <c r="AQ159" s="1"/>
      <c r="AR159" s="1"/>
      <c r="AS159" s="1"/>
      <c r="AT159" s="1"/>
    </row>
    <row r="160" spans="1:46" s="18" customFormat="1" x14ac:dyDescent="0.2">
      <c r="A160" s="10"/>
      <c r="B160" s="10"/>
      <c r="C160" s="10"/>
      <c r="D160" s="10"/>
      <c r="E160" s="10"/>
      <c r="F160" s="10"/>
      <c r="G160" s="1"/>
      <c r="H160" s="1"/>
      <c r="I160" s="1"/>
      <c r="J160" s="2"/>
      <c r="K160" s="1"/>
      <c r="L160" s="3"/>
      <c r="M160" s="1"/>
      <c r="Q160" s="25"/>
      <c r="R160" s="25"/>
      <c r="AP160" s="1"/>
      <c r="AQ160" s="1"/>
      <c r="AR160" s="1"/>
      <c r="AS160" s="1"/>
      <c r="AT160" s="1"/>
    </row>
    <row r="161" spans="1:46" s="18" customFormat="1" x14ac:dyDescent="0.2">
      <c r="A161" s="10"/>
      <c r="B161" s="10"/>
      <c r="C161" s="10"/>
      <c r="D161" s="10"/>
      <c r="E161" s="10"/>
      <c r="F161" s="10"/>
      <c r="G161" s="1"/>
      <c r="H161" s="1"/>
      <c r="I161" s="1"/>
      <c r="J161" s="2"/>
      <c r="K161" s="1"/>
      <c r="L161" s="3"/>
      <c r="M161" s="1"/>
      <c r="Q161" s="25"/>
      <c r="R161" s="25"/>
      <c r="AP161" s="1"/>
      <c r="AQ161" s="1"/>
      <c r="AR161" s="1"/>
      <c r="AS161" s="1"/>
      <c r="AT161" s="1"/>
    </row>
    <row r="162" spans="1:46" s="18" customFormat="1" x14ac:dyDescent="0.2">
      <c r="A162" s="10"/>
      <c r="B162" s="10"/>
      <c r="C162" s="10"/>
      <c r="D162" s="10"/>
      <c r="E162" s="10"/>
      <c r="F162" s="10"/>
      <c r="G162" s="1"/>
      <c r="H162" s="1"/>
      <c r="I162" s="1"/>
      <c r="J162" s="2"/>
      <c r="K162" s="1"/>
      <c r="L162" s="3"/>
      <c r="M162" s="1"/>
      <c r="Q162" s="25"/>
      <c r="R162" s="25"/>
      <c r="AP162" s="1"/>
      <c r="AQ162" s="1"/>
      <c r="AR162" s="1"/>
      <c r="AS162" s="1"/>
      <c r="AT162" s="1"/>
    </row>
    <row r="163" spans="1:46" s="18" customFormat="1" x14ac:dyDescent="0.2">
      <c r="A163" s="10"/>
      <c r="B163" s="10"/>
      <c r="C163" s="10"/>
      <c r="D163" s="10"/>
      <c r="E163" s="10"/>
      <c r="F163" s="10"/>
      <c r="G163" s="1"/>
      <c r="H163" s="1"/>
      <c r="I163" s="1"/>
      <c r="J163" s="2"/>
      <c r="K163" s="1"/>
      <c r="L163" s="3"/>
      <c r="M163" s="1"/>
      <c r="Q163" s="25"/>
      <c r="R163" s="25"/>
      <c r="AP163" s="1"/>
      <c r="AQ163" s="1"/>
      <c r="AR163" s="1"/>
      <c r="AS163" s="1"/>
      <c r="AT163" s="1"/>
    </row>
    <row r="164" spans="1:46" s="18" customFormat="1" x14ac:dyDescent="0.2">
      <c r="A164" s="10"/>
      <c r="B164" s="10"/>
      <c r="C164" s="10"/>
      <c r="D164" s="10"/>
      <c r="E164" s="10"/>
      <c r="F164" s="10"/>
      <c r="G164" s="1"/>
      <c r="H164" s="1"/>
      <c r="I164" s="1"/>
      <c r="J164" s="2"/>
      <c r="K164" s="1"/>
      <c r="L164" s="3"/>
      <c r="M164" s="1"/>
      <c r="Q164" s="25"/>
      <c r="R164" s="25"/>
      <c r="AP164" s="1"/>
      <c r="AQ164" s="1"/>
      <c r="AR164" s="1"/>
      <c r="AS164" s="1"/>
      <c r="AT164" s="1"/>
    </row>
    <row r="165" spans="1:46" s="18" customFormat="1" x14ac:dyDescent="0.2">
      <c r="A165" s="10"/>
      <c r="B165" s="10"/>
      <c r="C165" s="10"/>
      <c r="D165" s="10"/>
      <c r="E165" s="10"/>
      <c r="F165" s="10"/>
      <c r="G165" s="1"/>
      <c r="H165" s="1"/>
      <c r="I165" s="1"/>
      <c r="J165" s="2"/>
      <c r="K165" s="1"/>
      <c r="L165" s="3"/>
      <c r="M165" s="1"/>
      <c r="Q165" s="25"/>
      <c r="R165" s="25"/>
      <c r="AP165" s="1"/>
      <c r="AQ165" s="1"/>
      <c r="AR165" s="1"/>
      <c r="AS165" s="1"/>
      <c r="AT165" s="1"/>
    </row>
    <row r="166" spans="1:46" s="18" customFormat="1" x14ac:dyDescent="0.2">
      <c r="A166" s="10"/>
      <c r="B166" s="10"/>
      <c r="C166" s="10"/>
      <c r="D166" s="10"/>
      <c r="E166" s="10"/>
      <c r="F166" s="10"/>
      <c r="G166" s="1"/>
      <c r="H166" s="1"/>
      <c r="I166" s="1"/>
      <c r="J166" s="2"/>
      <c r="K166" s="1"/>
      <c r="L166" s="3"/>
      <c r="M166" s="1"/>
      <c r="Q166" s="25"/>
      <c r="R166" s="25"/>
      <c r="AP166" s="1"/>
      <c r="AQ166" s="1"/>
      <c r="AR166" s="1"/>
      <c r="AS166" s="1"/>
      <c r="AT166" s="1"/>
    </row>
    <row r="167" spans="1:46" s="18" customFormat="1" x14ac:dyDescent="0.2">
      <c r="A167" s="10"/>
      <c r="B167" s="10"/>
      <c r="C167" s="10"/>
      <c r="D167" s="10"/>
      <c r="E167" s="10"/>
      <c r="F167" s="10"/>
      <c r="G167" s="1"/>
      <c r="H167" s="1"/>
      <c r="I167" s="1"/>
      <c r="J167" s="2"/>
      <c r="K167" s="1"/>
      <c r="L167" s="3"/>
      <c r="M167" s="1"/>
      <c r="Q167" s="25"/>
      <c r="R167" s="25"/>
      <c r="AP167" s="1"/>
      <c r="AQ167" s="1"/>
      <c r="AR167" s="1"/>
      <c r="AS167" s="1"/>
      <c r="AT167" s="1"/>
    </row>
    <row r="168" spans="1:46" s="18" customFormat="1" x14ac:dyDescent="0.2">
      <c r="A168" s="10"/>
      <c r="B168" s="10"/>
      <c r="C168" s="10"/>
      <c r="D168" s="10"/>
      <c r="E168" s="10"/>
      <c r="F168" s="10"/>
      <c r="G168" s="1"/>
      <c r="H168" s="1"/>
      <c r="I168" s="1"/>
      <c r="J168" s="2"/>
      <c r="K168" s="1"/>
      <c r="L168" s="3"/>
      <c r="M168" s="1"/>
      <c r="Q168" s="25"/>
      <c r="R168" s="25"/>
      <c r="AP168" s="1"/>
      <c r="AQ168" s="1"/>
      <c r="AR168" s="1"/>
      <c r="AS168" s="1"/>
      <c r="AT168" s="1"/>
    </row>
    <row r="169" spans="1:46" s="18" customFormat="1" x14ac:dyDescent="0.2">
      <c r="A169" s="10"/>
      <c r="B169" s="10"/>
      <c r="C169" s="10"/>
      <c r="D169" s="10"/>
      <c r="E169" s="10"/>
      <c r="F169" s="10"/>
      <c r="G169" s="1"/>
      <c r="H169" s="1"/>
      <c r="I169" s="1"/>
      <c r="J169" s="2"/>
      <c r="K169" s="1"/>
      <c r="L169" s="3"/>
      <c r="M169" s="1"/>
      <c r="Q169" s="25"/>
      <c r="R169" s="25"/>
      <c r="AP169" s="1"/>
      <c r="AQ169" s="1"/>
      <c r="AR169" s="1"/>
      <c r="AS169" s="1"/>
      <c r="AT169" s="1"/>
    </row>
    <row r="170" spans="1:46" s="18" customFormat="1" x14ac:dyDescent="0.2">
      <c r="A170" s="10"/>
      <c r="B170" s="10"/>
      <c r="C170" s="10"/>
      <c r="D170" s="10"/>
      <c r="E170" s="10"/>
      <c r="F170" s="10"/>
      <c r="G170" s="1"/>
      <c r="H170" s="1"/>
      <c r="I170" s="1"/>
      <c r="J170" s="2"/>
      <c r="K170" s="1"/>
      <c r="L170" s="3"/>
      <c r="M170" s="1"/>
      <c r="Q170" s="25"/>
      <c r="R170" s="25"/>
      <c r="AP170" s="1"/>
      <c r="AQ170" s="1"/>
      <c r="AR170" s="1"/>
      <c r="AS170" s="1"/>
      <c r="AT170" s="1"/>
    </row>
    <row r="171" spans="1:46" s="18" customFormat="1" x14ac:dyDescent="0.2">
      <c r="A171" s="10"/>
      <c r="B171" s="10"/>
      <c r="C171" s="10"/>
      <c r="D171" s="10"/>
      <c r="E171" s="10"/>
      <c r="F171" s="10"/>
      <c r="G171" s="1"/>
      <c r="H171" s="1"/>
      <c r="I171" s="1"/>
      <c r="J171" s="2"/>
      <c r="K171" s="1"/>
      <c r="L171" s="3"/>
      <c r="M171" s="1"/>
      <c r="Q171" s="25"/>
      <c r="R171" s="25"/>
      <c r="AP171" s="1"/>
      <c r="AQ171" s="1"/>
      <c r="AR171" s="1"/>
      <c r="AS171" s="1"/>
      <c r="AT171" s="1"/>
    </row>
    <row r="172" spans="1:46" s="18" customFormat="1" x14ac:dyDescent="0.2">
      <c r="A172" s="10"/>
      <c r="B172" s="10"/>
      <c r="C172" s="10"/>
      <c r="D172" s="10"/>
      <c r="E172" s="10"/>
      <c r="F172" s="10"/>
      <c r="G172" s="1"/>
      <c r="H172" s="1"/>
      <c r="I172" s="1"/>
      <c r="J172" s="2"/>
      <c r="K172" s="1"/>
      <c r="L172" s="3"/>
      <c r="M172" s="1"/>
      <c r="Q172" s="25"/>
      <c r="R172" s="25"/>
      <c r="AP172" s="1"/>
      <c r="AQ172" s="1"/>
      <c r="AR172" s="1"/>
      <c r="AS172" s="1"/>
      <c r="AT172" s="1"/>
    </row>
    <row r="173" spans="1:46" s="18" customFormat="1" x14ac:dyDescent="0.2">
      <c r="A173" s="10"/>
      <c r="B173" s="10"/>
      <c r="C173" s="10"/>
      <c r="D173" s="10"/>
      <c r="E173" s="10"/>
      <c r="F173" s="10"/>
      <c r="G173" s="1"/>
      <c r="H173" s="1"/>
      <c r="I173" s="1"/>
      <c r="J173" s="2"/>
      <c r="K173" s="1"/>
      <c r="L173" s="3"/>
      <c r="M173" s="1"/>
      <c r="Q173" s="25"/>
      <c r="R173" s="25"/>
      <c r="AP173" s="1"/>
      <c r="AQ173" s="1"/>
      <c r="AR173" s="1"/>
      <c r="AS173" s="1"/>
      <c r="AT173" s="1"/>
    </row>
    <row r="174" spans="1:46" s="18" customFormat="1" x14ac:dyDescent="0.2">
      <c r="A174" s="10"/>
      <c r="B174" s="10"/>
      <c r="C174" s="10"/>
      <c r="D174" s="10"/>
      <c r="E174" s="10"/>
      <c r="F174" s="10"/>
      <c r="G174" s="1"/>
      <c r="H174" s="1"/>
      <c r="I174" s="1"/>
      <c r="J174" s="2"/>
      <c r="K174" s="1"/>
      <c r="L174" s="3"/>
      <c r="M174" s="1"/>
      <c r="Q174" s="25"/>
      <c r="R174" s="25"/>
      <c r="AP174" s="1"/>
      <c r="AQ174" s="1"/>
      <c r="AR174" s="1"/>
      <c r="AS174" s="1"/>
      <c r="AT174" s="1"/>
    </row>
    <row r="175" spans="1:46" s="18" customFormat="1" x14ac:dyDescent="0.2">
      <c r="A175" s="10"/>
      <c r="B175" s="10"/>
      <c r="C175" s="10"/>
      <c r="D175" s="10"/>
      <c r="E175" s="10"/>
      <c r="F175" s="10"/>
      <c r="G175" s="1"/>
      <c r="H175" s="1"/>
      <c r="I175" s="1"/>
      <c r="J175" s="2"/>
      <c r="K175" s="1"/>
      <c r="L175" s="3"/>
      <c r="M175" s="1"/>
      <c r="Q175" s="25"/>
      <c r="R175" s="25"/>
      <c r="AP175" s="1"/>
      <c r="AQ175" s="1"/>
      <c r="AR175" s="1"/>
      <c r="AS175" s="1"/>
      <c r="AT175" s="1"/>
    </row>
    <row r="176" spans="1:46" s="18" customFormat="1" x14ac:dyDescent="0.2">
      <c r="A176" s="10"/>
      <c r="B176" s="10"/>
      <c r="C176" s="10"/>
      <c r="D176" s="10"/>
      <c r="E176" s="10"/>
      <c r="F176" s="10"/>
      <c r="G176" s="1"/>
      <c r="H176" s="1"/>
      <c r="I176" s="1"/>
      <c r="J176" s="2"/>
      <c r="K176" s="1"/>
      <c r="L176" s="3"/>
      <c r="M176" s="1"/>
      <c r="Q176" s="25"/>
      <c r="R176" s="25"/>
      <c r="AP176" s="1"/>
      <c r="AQ176" s="1"/>
      <c r="AR176" s="1"/>
      <c r="AS176" s="1"/>
      <c r="AT176" s="1"/>
    </row>
    <row r="177" spans="1:46" s="18" customFormat="1" x14ac:dyDescent="0.2">
      <c r="A177" s="10"/>
      <c r="B177" s="10"/>
      <c r="C177" s="10"/>
      <c r="D177" s="10"/>
      <c r="E177" s="10"/>
      <c r="F177" s="10"/>
      <c r="G177" s="1"/>
      <c r="H177" s="1"/>
      <c r="I177" s="1"/>
      <c r="J177" s="2"/>
      <c r="K177" s="1"/>
      <c r="L177" s="3"/>
      <c r="M177" s="1"/>
      <c r="Q177" s="25"/>
      <c r="R177" s="25"/>
      <c r="AP177" s="1"/>
      <c r="AQ177" s="1"/>
      <c r="AR177" s="1"/>
      <c r="AS177" s="1"/>
      <c r="AT177" s="1"/>
    </row>
    <row r="178" spans="1:46" s="18" customFormat="1" x14ac:dyDescent="0.2">
      <c r="A178" s="10"/>
      <c r="B178" s="10"/>
      <c r="C178" s="10"/>
      <c r="D178" s="10"/>
      <c r="E178" s="10"/>
      <c r="F178" s="10"/>
      <c r="G178" s="1"/>
      <c r="H178" s="1"/>
      <c r="I178" s="1"/>
      <c r="J178" s="2"/>
      <c r="K178" s="1"/>
      <c r="L178" s="3"/>
      <c r="M178" s="1"/>
      <c r="Q178" s="25"/>
      <c r="R178" s="25"/>
      <c r="AP178" s="1"/>
      <c r="AQ178" s="1"/>
      <c r="AR178" s="1"/>
      <c r="AS178" s="1"/>
      <c r="AT178" s="1"/>
    </row>
    <row r="179" spans="1:46" s="18" customFormat="1" x14ac:dyDescent="0.2">
      <c r="A179" s="10"/>
      <c r="B179" s="10"/>
      <c r="C179" s="10"/>
      <c r="D179" s="10"/>
      <c r="E179" s="10"/>
      <c r="F179" s="10"/>
      <c r="G179" s="1"/>
      <c r="H179" s="1"/>
      <c r="I179" s="1"/>
      <c r="J179" s="2"/>
      <c r="K179" s="1"/>
      <c r="L179" s="3"/>
      <c r="M179" s="1"/>
      <c r="Q179" s="25"/>
      <c r="R179" s="25"/>
      <c r="AP179" s="1"/>
      <c r="AQ179" s="1"/>
      <c r="AR179" s="1"/>
      <c r="AS179" s="1"/>
      <c r="AT179" s="1"/>
    </row>
    <row r="180" spans="1:46" s="18" customFormat="1" x14ac:dyDescent="0.2">
      <c r="A180" s="10"/>
      <c r="B180" s="10"/>
      <c r="C180" s="10"/>
      <c r="D180" s="10"/>
      <c r="E180" s="10"/>
      <c r="F180" s="10"/>
      <c r="G180" s="1"/>
      <c r="H180" s="1"/>
      <c r="I180" s="1"/>
      <c r="J180" s="2"/>
      <c r="K180" s="1"/>
      <c r="L180" s="3"/>
      <c r="M180" s="1"/>
      <c r="Q180" s="25"/>
      <c r="R180" s="25"/>
      <c r="AP180" s="1"/>
      <c r="AQ180" s="1"/>
      <c r="AR180" s="1"/>
      <c r="AS180" s="1"/>
      <c r="AT180" s="1"/>
    </row>
    <row r="181" spans="1:46" s="18" customFormat="1" x14ac:dyDescent="0.2">
      <c r="A181" s="10"/>
      <c r="B181" s="10"/>
      <c r="C181" s="10"/>
      <c r="D181" s="10"/>
      <c r="E181" s="10"/>
      <c r="F181" s="10"/>
      <c r="G181" s="1"/>
      <c r="H181" s="1"/>
      <c r="I181" s="1"/>
      <c r="J181" s="2"/>
      <c r="K181" s="1"/>
      <c r="L181" s="3"/>
      <c r="M181" s="1"/>
      <c r="Q181" s="25"/>
      <c r="R181" s="25"/>
      <c r="AP181" s="1"/>
      <c r="AQ181" s="1"/>
      <c r="AR181" s="1"/>
      <c r="AS181" s="1"/>
      <c r="AT181" s="1"/>
    </row>
    <row r="182" spans="1:46" s="18" customFormat="1" x14ac:dyDescent="0.2">
      <c r="A182" s="10"/>
      <c r="B182" s="10"/>
      <c r="C182" s="10"/>
      <c r="D182" s="10"/>
      <c r="E182" s="10"/>
      <c r="F182" s="10"/>
      <c r="G182" s="1"/>
      <c r="H182" s="1"/>
      <c r="I182" s="1"/>
      <c r="J182" s="2"/>
      <c r="K182" s="1"/>
      <c r="L182" s="3"/>
      <c r="M182" s="1"/>
      <c r="Q182" s="25"/>
      <c r="R182" s="25"/>
      <c r="AP182" s="1"/>
      <c r="AQ182" s="1"/>
      <c r="AR182" s="1"/>
      <c r="AS182" s="1"/>
      <c r="AT182" s="1"/>
    </row>
    <row r="183" spans="1:46" s="18" customFormat="1" x14ac:dyDescent="0.2">
      <c r="A183" s="10"/>
      <c r="B183" s="10"/>
      <c r="C183" s="10"/>
      <c r="D183" s="10"/>
      <c r="E183" s="10"/>
      <c r="F183" s="10"/>
      <c r="G183" s="1"/>
      <c r="H183" s="1"/>
      <c r="I183" s="1"/>
      <c r="J183" s="2"/>
      <c r="K183" s="1"/>
      <c r="L183" s="3"/>
      <c r="M183" s="1"/>
      <c r="Q183" s="25"/>
      <c r="R183" s="25"/>
      <c r="AP183" s="1"/>
      <c r="AQ183" s="1"/>
      <c r="AR183" s="1"/>
      <c r="AS183" s="1"/>
      <c r="AT183" s="1"/>
    </row>
    <row r="184" spans="1:46" s="18" customFormat="1" x14ac:dyDescent="0.2">
      <c r="A184" s="10"/>
      <c r="B184" s="10"/>
      <c r="C184" s="10"/>
      <c r="D184" s="10"/>
      <c r="E184" s="10"/>
      <c r="F184" s="10"/>
      <c r="G184" s="1"/>
      <c r="H184" s="1"/>
      <c r="I184" s="1"/>
      <c r="J184" s="2"/>
      <c r="K184" s="1"/>
      <c r="L184" s="3"/>
      <c r="M184" s="1"/>
      <c r="Q184" s="25"/>
      <c r="R184" s="25"/>
      <c r="AP184" s="1"/>
      <c r="AQ184" s="1"/>
      <c r="AR184" s="1"/>
      <c r="AS184" s="1"/>
      <c r="AT184" s="1"/>
    </row>
    <row r="185" spans="1:46" s="18" customFormat="1" x14ac:dyDescent="0.2">
      <c r="A185" s="10"/>
      <c r="B185" s="10"/>
      <c r="C185" s="10"/>
      <c r="D185" s="10"/>
      <c r="E185" s="10"/>
      <c r="F185" s="10"/>
      <c r="G185" s="1"/>
      <c r="H185" s="1"/>
      <c r="I185" s="1"/>
      <c r="J185" s="2"/>
      <c r="K185" s="1"/>
      <c r="L185" s="3"/>
      <c r="M185" s="1"/>
      <c r="Q185" s="25"/>
      <c r="R185" s="25"/>
      <c r="AP185" s="1"/>
      <c r="AQ185" s="1"/>
      <c r="AR185" s="1"/>
      <c r="AS185" s="1"/>
      <c r="AT185" s="1"/>
    </row>
    <row r="186" spans="1:46" s="18" customFormat="1" x14ac:dyDescent="0.2">
      <c r="A186" s="10"/>
      <c r="B186" s="10"/>
      <c r="C186" s="10"/>
      <c r="D186" s="10"/>
      <c r="E186" s="10"/>
      <c r="F186" s="10"/>
      <c r="G186" s="1"/>
      <c r="H186" s="1"/>
      <c r="I186" s="1"/>
      <c r="J186" s="2"/>
      <c r="K186" s="1"/>
      <c r="L186" s="3"/>
      <c r="M186" s="1"/>
      <c r="Q186" s="25"/>
      <c r="R186" s="25"/>
      <c r="AP186" s="1"/>
      <c r="AQ186" s="1"/>
      <c r="AR186" s="1"/>
      <c r="AS186" s="1"/>
      <c r="AT186" s="1"/>
    </row>
    <row r="187" spans="1:46" s="18" customFormat="1" x14ac:dyDescent="0.2">
      <c r="A187" s="10"/>
      <c r="B187" s="10"/>
      <c r="C187" s="10"/>
      <c r="D187" s="10"/>
      <c r="E187" s="10"/>
      <c r="F187" s="10"/>
      <c r="G187" s="1"/>
      <c r="H187" s="1"/>
      <c r="I187" s="1"/>
      <c r="J187" s="2"/>
      <c r="K187" s="1"/>
      <c r="L187" s="3"/>
      <c r="M187" s="1"/>
      <c r="Q187" s="25"/>
      <c r="R187" s="25"/>
      <c r="AP187" s="1"/>
      <c r="AQ187" s="1"/>
      <c r="AR187" s="1"/>
      <c r="AS187" s="1"/>
      <c r="AT187" s="1"/>
    </row>
    <row r="188" spans="1:46" s="18" customFormat="1" x14ac:dyDescent="0.2">
      <c r="A188" s="10"/>
      <c r="B188" s="10"/>
      <c r="C188" s="10"/>
      <c r="D188" s="10"/>
      <c r="E188" s="10"/>
      <c r="F188" s="10"/>
      <c r="G188" s="1"/>
      <c r="H188" s="1"/>
      <c r="I188" s="1"/>
      <c r="J188" s="2"/>
      <c r="K188" s="1"/>
      <c r="L188" s="3"/>
      <c r="M188" s="1"/>
      <c r="Q188" s="25"/>
      <c r="R188" s="25"/>
      <c r="AP188" s="1"/>
      <c r="AQ188" s="1"/>
      <c r="AR188" s="1"/>
      <c r="AS188" s="1"/>
      <c r="AT188" s="1"/>
    </row>
    <row r="189" spans="1:46" s="18" customFormat="1" x14ac:dyDescent="0.2">
      <c r="A189" s="10"/>
      <c r="B189" s="10"/>
      <c r="C189" s="10"/>
      <c r="D189" s="10"/>
      <c r="E189" s="10"/>
      <c r="F189" s="10"/>
      <c r="G189" s="1"/>
      <c r="H189" s="1"/>
      <c r="I189" s="1"/>
      <c r="J189" s="2"/>
      <c r="K189" s="1"/>
      <c r="L189" s="3"/>
      <c r="M189" s="1"/>
      <c r="Q189" s="25"/>
      <c r="R189" s="25"/>
      <c r="AP189" s="1"/>
      <c r="AQ189" s="1"/>
      <c r="AR189" s="1"/>
      <c r="AS189" s="1"/>
      <c r="AT189" s="1"/>
    </row>
    <row r="190" spans="1:46" s="18" customFormat="1" x14ac:dyDescent="0.2">
      <c r="A190" s="10"/>
      <c r="B190" s="10"/>
      <c r="C190" s="10"/>
      <c r="D190" s="10"/>
      <c r="E190" s="10"/>
      <c r="F190" s="10"/>
      <c r="G190" s="1"/>
      <c r="H190" s="1"/>
      <c r="I190" s="1"/>
      <c r="J190" s="2"/>
      <c r="K190" s="1"/>
      <c r="L190" s="3"/>
      <c r="M190" s="1"/>
      <c r="Q190" s="25"/>
      <c r="R190" s="25"/>
      <c r="AP190" s="1"/>
      <c r="AQ190" s="1"/>
      <c r="AR190" s="1"/>
      <c r="AS190" s="1"/>
      <c r="AT190" s="1"/>
    </row>
    <row r="191" spans="1:46" s="18" customFormat="1" x14ac:dyDescent="0.2">
      <c r="A191" s="10"/>
      <c r="B191" s="10"/>
      <c r="C191" s="10"/>
      <c r="D191" s="10"/>
      <c r="E191" s="10"/>
      <c r="F191" s="10"/>
      <c r="G191" s="1"/>
      <c r="H191" s="1"/>
      <c r="I191" s="1"/>
      <c r="J191" s="2"/>
      <c r="K191" s="1"/>
      <c r="L191" s="3"/>
      <c r="M191" s="1"/>
      <c r="Q191" s="25"/>
      <c r="R191" s="25"/>
      <c r="AP191" s="1"/>
      <c r="AQ191" s="1"/>
      <c r="AR191" s="1"/>
      <c r="AS191" s="1"/>
      <c r="AT191" s="1"/>
    </row>
    <row r="192" spans="1:46" s="18" customFormat="1" x14ac:dyDescent="0.2">
      <c r="A192" s="10"/>
      <c r="B192" s="10"/>
      <c r="C192" s="10"/>
      <c r="D192" s="10"/>
      <c r="E192" s="10"/>
      <c r="F192" s="10"/>
      <c r="G192" s="1"/>
      <c r="H192" s="1"/>
      <c r="I192" s="1"/>
      <c r="J192" s="2"/>
      <c r="K192" s="1"/>
      <c r="L192" s="3"/>
      <c r="M192" s="1"/>
      <c r="Q192" s="25"/>
      <c r="R192" s="25"/>
      <c r="AP192" s="1"/>
      <c r="AQ192" s="1"/>
      <c r="AR192" s="1"/>
      <c r="AS192" s="1"/>
      <c r="AT192" s="1"/>
    </row>
    <row r="193" spans="1:46" s="18" customFormat="1" x14ac:dyDescent="0.2">
      <c r="A193" s="10"/>
      <c r="B193" s="10"/>
      <c r="C193" s="10"/>
      <c r="D193" s="10"/>
      <c r="E193" s="10"/>
      <c r="F193" s="10"/>
      <c r="G193" s="1"/>
      <c r="H193" s="1"/>
      <c r="I193" s="1"/>
      <c r="J193" s="2"/>
      <c r="K193" s="1"/>
      <c r="L193" s="3"/>
      <c r="M193" s="1"/>
      <c r="Q193" s="25"/>
      <c r="R193" s="25"/>
      <c r="AP193" s="1"/>
      <c r="AQ193" s="1"/>
      <c r="AR193" s="1"/>
      <c r="AS193" s="1"/>
      <c r="AT193" s="1"/>
    </row>
    <row r="194" spans="1:46" s="18" customFormat="1" x14ac:dyDescent="0.2">
      <c r="A194" s="10"/>
      <c r="B194" s="10"/>
      <c r="C194" s="10"/>
      <c r="D194" s="10"/>
      <c r="E194" s="10"/>
      <c r="F194" s="10"/>
      <c r="G194" s="1"/>
      <c r="H194" s="1"/>
      <c r="I194" s="1"/>
      <c r="J194" s="2"/>
      <c r="K194" s="1"/>
      <c r="L194" s="3"/>
      <c r="M194" s="1"/>
      <c r="Q194" s="25"/>
      <c r="R194" s="25"/>
      <c r="AP194" s="1"/>
      <c r="AQ194" s="1"/>
      <c r="AR194" s="1"/>
      <c r="AS194" s="1"/>
      <c r="AT194" s="1"/>
    </row>
    <row r="195" spans="1:46" s="18" customFormat="1" x14ac:dyDescent="0.2">
      <c r="A195" s="10"/>
      <c r="B195" s="10"/>
      <c r="C195" s="10"/>
      <c r="D195" s="10"/>
      <c r="E195" s="10"/>
      <c r="F195" s="10"/>
      <c r="G195" s="1"/>
      <c r="H195" s="1"/>
      <c r="I195" s="1"/>
      <c r="J195" s="2"/>
      <c r="K195" s="1"/>
      <c r="L195" s="3"/>
      <c r="M195" s="1"/>
      <c r="Q195" s="25"/>
      <c r="R195" s="25"/>
      <c r="AP195" s="1"/>
      <c r="AQ195" s="1"/>
      <c r="AR195" s="1"/>
      <c r="AS195" s="1"/>
      <c r="AT195" s="1"/>
    </row>
    <row r="196" spans="1:46" s="18" customFormat="1" x14ac:dyDescent="0.2">
      <c r="A196" s="10"/>
      <c r="B196" s="10"/>
      <c r="C196" s="10"/>
      <c r="D196" s="10"/>
      <c r="E196" s="10"/>
      <c r="F196" s="10"/>
      <c r="G196" s="1"/>
      <c r="H196" s="1"/>
      <c r="I196" s="1"/>
      <c r="J196" s="2"/>
      <c r="K196" s="1"/>
      <c r="L196" s="3"/>
      <c r="M196" s="1"/>
      <c r="Q196" s="25"/>
      <c r="R196" s="25"/>
      <c r="AP196" s="1"/>
      <c r="AQ196" s="1"/>
      <c r="AR196" s="1"/>
      <c r="AS196" s="1"/>
      <c r="AT196" s="1"/>
    </row>
    <row r="197" spans="1:46" s="18" customFormat="1" x14ac:dyDescent="0.2">
      <c r="A197" s="10"/>
      <c r="B197" s="10"/>
      <c r="C197" s="10"/>
      <c r="D197" s="10"/>
      <c r="E197" s="10"/>
      <c r="F197" s="10"/>
      <c r="G197" s="1"/>
      <c r="H197" s="1"/>
      <c r="I197" s="1"/>
      <c r="J197" s="2"/>
      <c r="K197" s="1"/>
      <c r="L197" s="3"/>
      <c r="M197" s="1"/>
      <c r="Q197" s="25"/>
      <c r="R197" s="25"/>
      <c r="AP197" s="1"/>
      <c r="AQ197" s="1"/>
      <c r="AR197" s="1"/>
      <c r="AS197" s="1"/>
      <c r="AT197" s="1"/>
    </row>
    <row r="198" spans="1:46" s="18" customFormat="1" x14ac:dyDescent="0.2">
      <c r="A198" s="10"/>
      <c r="B198" s="10"/>
      <c r="C198" s="10"/>
      <c r="D198" s="10"/>
      <c r="E198" s="10"/>
      <c r="F198" s="10"/>
      <c r="G198" s="1"/>
      <c r="H198" s="1"/>
      <c r="I198" s="1"/>
      <c r="J198" s="2"/>
      <c r="K198" s="1"/>
      <c r="L198" s="3"/>
      <c r="M198" s="1"/>
      <c r="Q198" s="25"/>
      <c r="R198" s="25"/>
      <c r="AP198" s="1"/>
      <c r="AQ198" s="1"/>
      <c r="AR198" s="1"/>
      <c r="AS198" s="1"/>
      <c r="AT198" s="1"/>
    </row>
    <row r="199" spans="1:46" s="18" customFormat="1" x14ac:dyDescent="0.2">
      <c r="A199" s="10"/>
      <c r="B199" s="10"/>
      <c r="C199" s="10"/>
      <c r="D199" s="10"/>
      <c r="E199" s="10"/>
      <c r="F199" s="10"/>
      <c r="G199" s="1"/>
      <c r="H199" s="1"/>
      <c r="I199" s="1"/>
      <c r="J199" s="2"/>
      <c r="K199" s="1"/>
      <c r="L199" s="3"/>
      <c r="M199" s="1"/>
      <c r="Q199" s="25"/>
      <c r="R199" s="25"/>
      <c r="AP199" s="1"/>
      <c r="AQ199" s="1"/>
      <c r="AR199" s="1"/>
      <c r="AS199" s="1"/>
      <c r="AT199" s="1"/>
    </row>
    <row r="200" spans="1:46" s="18" customFormat="1" x14ac:dyDescent="0.2">
      <c r="A200" s="10"/>
      <c r="B200" s="10"/>
      <c r="C200" s="10"/>
      <c r="D200" s="10"/>
      <c r="E200" s="10"/>
      <c r="F200" s="10"/>
      <c r="G200" s="1"/>
      <c r="H200" s="1"/>
      <c r="I200" s="1"/>
      <c r="J200" s="2"/>
      <c r="K200" s="1"/>
      <c r="L200" s="3"/>
      <c r="M200" s="1"/>
      <c r="Q200" s="25"/>
      <c r="R200" s="25"/>
      <c r="AP200" s="1"/>
      <c r="AQ200" s="1"/>
      <c r="AR200" s="1"/>
      <c r="AS200" s="1"/>
      <c r="AT200" s="1"/>
    </row>
    <row r="201" spans="1:46" s="18" customFormat="1" x14ac:dyDescent="0.2">
      <c r="A201" s="10"/>
      <c r="B201" s="10"/>
      <c r="C201" s="10"/>
      <c r="D201" s="10"/>
      <c r="E201" s="10"/>
      <c r="F201" s="10"/>
      <c r="G201" s="1"/>
      <c r="H201" s="1"/>
      <c r="I201" s="1"/>
      <c r="J201" s="2"/>
      <c r="K201" s="1"/>
      <c r="L201" s="3"/>
      <c r="M201" s="1"/>
      <c r="Q201" s="25"/>
      <c r="R201" s="25"/>
      <c r="AP201" s="1"/>
      <c r="AQ201" s="1"/>
      <c r="AR201" s="1"/>
      <c r="AS201" s="1"/>
      <c r="AT201" s="1"/>
    </row>
    <row r="202" spans="1:46" s="18" customFormat="1" x14ac:dyDescent="0.2">
      <c r="A202" s="10"/>
      <c r="B202" s="10"/>
      <c r="C202" s="10"/>
      <c r="D202" s="10"/>
      <c r="E202" s="10"/>
      <c r="F202" s="10"/>
      <c r="G202" s="1"/>
      <c r="H202" s="1"/>
      <c r="I202" s="1"/>
      <c r="J202" s="2"/>
      <c r="K202" s="1"/>
      <c r="L202" s="3"/>
      <c r="M202" s="1"/>
      <c r="Q202" s="25"/>
      <c r="R202" s="25"/>
      <c r="AP202" s="1"/>
      <c r="AQ202" s="1"/>
      <c r="AR202" s="1"/>
      <c r="AS202" s="1"/>
      <c r="AT202" s="1"/>
    </row>
    <row r="203" spans="1:46" s="18" customFormat="1" x14ac:dyDescent="0.2">
      <c r="A203" s="10"/>
      <c r="B203" s="10"/>
      <c r="C203" s="10"/>
      <c r="D203" s="10"/>
      <c r="E203" s="10"/>
      <c r="F203" s="10"/>
      <c r="G203" s="1"/>
      <c r="H203" s="1"/>
      <c r="I203" s="1"/>
      <c r="J203" s="2"/>
      <c r="K203" s="1"/>
      <c r="L203" s="3"/>
      <c r="M203" s="1"/>
      <c r="Q203" s="25"/>
      <c r="R203" s="25"/>
      <c r="AP203" s="1"/>
      <c r="AQ203" s="1"/>
      <c r="AR203" s="1"/>
      <c r="AS203" s="1"/>
      <c r="AT203" s="1"/>
    </row>
    <row r="204" spans="1:46" s="18" customFormat="1" x14ac:dyDescent="0.2">
      <c r="A204" s="10"/>
      <c r="B204" s="10"/>
      <c r="C204" s="10"/>
      <c r="D204" s="10"/>
      <c r="E204" s="10"/>
      <c r="F204" s="10"/>
      <c r="G204" s="1"/>
      <c r="H204" s="1"/>
      <c r="I204" s="1"/>
      <c r="J204" s="2"/>
      <c r="K204" s="1"/>
      <c r="L204" s="3"/>
      <c r="M204" s="1"/>
      <c r="Q204" s="25"/>
      <c r="R204" s="25"/>
      <c r="AP204" s="1"/>
      <c r="AQ204" s="1"/>
      <c r="AR204" s="1"/>
      <c r="AS204" s="1"/>
      <c r="AT204" s="1"/>
    </row>
    <row r="205" spans="1:46" s="18" customFormat="1" x14ac:dyDescent="0.2">
      <c r="A205" s="10"/>
      <c r="B205" s="10"/>
      <c r="C205" s="10"/>
      <c r="D205" s="10"/>
      <c r="E205" s="10"/>
      <c r="F205" s="10"/>
      <c r="G205" s="1"/>
      <c r="H205" s="1"/>
      <c r="I205" s="1"/>
      <c r="J205" s="2"/>
      <c r="K205" s="1"/>
      <c r="L205" s="3"/>
      <c r="M205" s="1"/>
      <c r="Q205" s="25"/>
      <c r="R205" s="25"/>
      <c r="AP205" s="1"/>
      <c r="AQ205" s="1"/>
      <c r="AR205" s="1"/>
      <c r="AS205" s="1"/>
      <c r="AT205" s="1"/>
    </row>
    <row r="206" spans="1:46" s="18" customFormat="1" x14ac:dyDescent="0.2">
      <c r="A206" s="10"/>
      <c r="B206" s="10"/>
      <c r="C206" s="10"/>
      <c r="D206" s="10"/>
      <c r="E206" s="10"/>
      <c r="F206" s="10"/>
      <c r="G206" s="1"/>
      <c r="H206" s="1"/>
      <c r="I206" s="1"/>
      <c r="J206" s="2"/>
      <c r="K206" s="1"/>
      <c r="L206" s="3"/>
      <c r="M206" s="1"/>
      <c r="Q206" s="25"/>
      <c r="R206" s="25"/>
      <c r="AP206" s="1"/>
      <c r="AQ206" s="1"/>
      <c r="AR206" s="1"/>
      <c r="AS206" s="1"/>
      <c r="AT206" s="1"/>
    </row>
    <row r="207" spans="1:46" s="18" customFormat="1" x14ac:dyDescent="0.2">
      <c r="A207" s="10"/>
      <c r="B207" s="10"/>
      <c r="C207" s="10"/>
      <c r="D207" s="10"/>
      <c r="E207" s="10"/>
      <c r="F207" s="10"/>
      <c r="G207" s="1"/>
      <c r="H207" s="1"/>
      <c r="I207" s="1"/>
      <c r="J207" s="2"/>
      <c r="K207" s="1"/>
      <c r="L207" s="3"/>
      <c r="M207" s="1"/>
      <c r="Q207" s="25"/>
      <c r="R207" s="25"/>
      <c r="AP207" s="1"/>
      <c r="AQ207" s="1"/>
      <c r="AR207" s="1"/>
      <c r="AS207" s="1"/>
      <c r="AT207" s="1"/>
    </row>
    <row r="208" spans="1:46" s="18" customFormat="1" x14ac:dyDescent="0.2">
      <c r="A208" s="10"/>
      <c r="B208" s="10"/>
      <c r="C208" s="10"/>
      <c r="D208" s="10"/>
      <c r="E208" s="10"/>
      <c r="F208" s="10"/>
      <c r="G208" s="1"/>
      <c r="H208" s="1"/>
      <c r="I208" s="1"/>
      <c r="J208" s="2"/>
      <c r="K208" s="1"/>
      <c r="L208" s="3"/>
      <c r="M208" s="1"/>
      <c r="Q208" s="25"/>
      <c r="R208" s="25"/>
      <c r="AP208" s="1"/>
      <c r="AQ208" s="1"/>
      <c r="AR208" s="1"/>
      <c r="AS208" s="1"/>
      <c r="AT208" s="1"/>
    </row>
    <row r="209" spans="1:46" s="18" customFormat="1" x14ac:dyDescent="0.2">
      <c r="A209" s="10"/>
      <c r="B209" s="10"/>
      <c r="C209" s="10"/>
      <c r="D209" s="10"/>
      <c r="E209" s="10"/>
      <c r="F209" s="10"/>
      <c r="G209" s="1"/>
      <c r="H209" s="1"/>
      <c r="I209" s="1"/>
      <c r="J209" s="2"/>
      <c r="K209" s="1"/>
      <c r="L209" s="3"/>
      <c r="M209" s="1"/>
      <c r="Q209" s="25"/>
      <c r="R209" s="25"/>
      <c r="AP209" s="1"/>
      <c r="AQ209" s="1"/>
      <c r="AR209" s="1"/>
      <c r="AS209" s="1"/>
      <c r="AT209" s="1"/>
    </row>
    <row r="210" spans="1:46" s="18" customFormat="1" x14ac:dyDescent="0.2">
      <c r="A210" s="10"/>
      <c r="B210" s="10"/>
      <c r="C210" s="10"/>
      <c r="D210" s="10"/>
      <c r="E210" s="10"/>
      <c r="F210" s="10"/>
      <c r="G210" s="1"/>
      <c r="H210" s="1"/>
      <c r="I210" s="1"/>
      <c r="J210" s="2"/>
      <c r="K210" s="1"/>
      <c r="L210" s="3"/>
      <c r="M210" s="1"/>
      <c r="Q210" s="25"/>
      <c r="R210" s="25"/>
      <c r="AP210" s="1"/>
      <c r="AQ210" s="1"/>
      <c r="AR210" s="1"/>
      <c r="AS210" s="1"/>
      <c r="AT210" s="1"/>
    </row>
    <row r="211" spans="1:46" s="18" customFormat="1" x14ac:dyDescent="0.2">
      <c r="A211" s="10"/>
      <c r="B211" s="10"/>
      <c r="C211" s="10"/>
      <c r="D211" s="10"/>
      <c r="E211" s="10"/>
      <c r="F211" s="10"/>
      <c r="G211" s="1"/>
      <c r="H211" s="1"/>
      <c r="I211" s="1"/>
      <c r="J211" s="2"/>
      <c r="K211" s="1"/>
      <c r="L211" s="3"/>
      <c r="M211" s="1"/>
      <c r="Q211" s="25"/>
      <c r="R211" s="25"/>
      <c r="AP211" s="1"/>
      <c r="AQ211" s="1"/>
      <c r="AR211" s="1"/>
      <c r="AS211" s="1"/>
      <c r="AT211" s="1"/>
    </row>
    <row r="212" spans="1:46" s="18" customFormat="1" x14ac:dyDescent="0.2">
      <c r="A212" s="10"/>
      <c r="B212" s="10"/>
      <c r="C212" s="10"/>
      <c r="D212" s="10"/>
      <c r="E212" s="10"/>
      <c r="F212" s="10"/>
      <c r="G212" s="1"/>
      <c r="H212" s="1"/>
      <c r="I212" s="1"/>
      <c r="J212" s="2"/>
      <c r="K212" s="1"/>
      <c r="L212" s="3"/>
      <c r="M212" s="1"/>
      <c r="Q212" s="25"/>
      <c r="R212" s="25"/>
      <c r="AP212" s="1"/>
      <c r="AQ212" s="1"/>
      <c r="AR212" s="1"/>
      <c r="AS212" s="1"/>
      <c r="AT212" s="1"/>
    </row>
    <row r="213" spans="1:46" s="18" customFormat="1" x14ac:dyDescent="0.2">
      <c r="A213" s="10"/>
      <c r="B213" s="10"/>
      <c r="C213" s="10"/>
      <c r="D213" s="10"/>
      <c r="E213" s="10"/>
      <c r="F213" s="10"/>
      <c r="G213" s="1"/>
      <c r="H213" s="1"/>
      <c r="I213" s="1"/>
      <c r="J213" s="2"/>
      <c r="K213" s="1"/>
      <c r="L213" s="3"/>
      <c r="M213" s="1"/>
      <c r="Q213" s="25"/>
      <c r="R213" s="25"/>
      <c r="AP213" s="1"/>
      <c r="AQ213" s="1"/>
      <c r="AR213" s="1"/>
      <c r="AS213" s="1"/>
      <c r="AT213" s="1"/>
    </row>
    <row r="214" spans="1:46" s="18" customFormat="1" x14ac:dyDescent="0.2">
      <c r="A214" s="10"/>
      <c r="B214" s="10"/>
      <c r="C214" s="10"/>
      <c r="D214" s="10"/>
      <c r="E214" s="10"/>
      <c r="F214" s="10"/>
      <c r="G214" s="1"/>
      <c r="H214" s="1"/>
      <c r="I214" s="1"/>
      <c r="J214" s="2"/>
      <c r="K214" s="1"/>
      <c r="L214" s="3"/>
      <c r="M214" s="1"/>
      <c r="Q214" s="25"/>
      <c r="R214" s="25"/>
      <c r="AP214" s="1"/>
      <c r="AQ214" s="1"/>
      <c r="AR214" s="1"/>
      <c r="AS214" s="1"/>
      <c r="AT214" s="1"/>
    </row>
    <row r="215" spans="1:46" s="18" customFormat="1" x14ac:dyDescent="0.2">
      <c r="A215" s="10"/>
      <c r="B215" s="10"/>
      <c r="C215" s="10"/>
      <c r="D215" s="10"/>
      <c r="E215" s="10"/>
      <c r="F215" s="10"/>
      <c r="G215" s="1"/>
      <c r="H215" s="1"/>
      <c r="I215" s="1"/>
      <c r="J215" s="2"/>
      <c r="K215" s="1"/>
      <c r="L215" s="3"/>
      <c r="M215" s="1"/>
      <c r="Q215" s="25"/>
      <c r="R215" s="25"/>
      <c r="AP215" s="1"/>
      <c r="AQ215" s="1"/>
      <c r="AR215" s="1"/>
      <c r="AS215" s="1"/>
      <c r="AT215" s="1"/>
    </row>
    <row r="216" spans="1:46" s="18" customFormat="1" x14ac:dyDescent="0.2">
      <c r="A216" s="10"/>
      <c r="B216" s="10"/>
      <c r="C216" s="10"/>
      <c r="D216" s="10"/>
      <c r="E216" s="10"/>
      <c r="F216" s="10"/>
      <c r="G216" s="1"/>
      <c r="H216" s="1"/>
      <c r="I216" s="1"/>
      <c r="J216" s="2"/>
      <c r="K216" s="1"/>
      <c r="L216" s="3"/>
      <c r="M216" s="1"/>
      <c r="Q216" s="25"/>
      <c r="R216" s="25"/>
      <c r="AP216" s="1"/>
      <c r="AQ216" s="1"/>
      <c r="AR216" s="1"/>
      <c r="AS216" s="1"/>
      <c r="AT216" s="1"/>
    </row>
    <row r="217" spans="1:46" s="18" customFormat="1" x14ac:dyDescent="0.2">
      <c r="A217" s="10"/>
      <c r="B217" s="10"/>
      <c r="C217" s="10"/>
      <c r="D217" s="10"/>
      <c r="E217" s="10"/>
      <c r="F217" s="10"/>
      <c r="G217" s="1"/>
      <c r="H217" s="1"/>
      <c r="I217" s="1"/>
      <c r="J217" s="2"/>
      <c r="K217" s="1"/>
      <c r="L217" s="3"/>
      <c r="M217" s="1"/>
      <c r="Q217" s="25"/>
      <c r="R217" s="25"/>
      <c r="AP217" s="1"/>
      <c r="AQ217" s="1"/>
      <c r="AR217" s="1"/>
      <c r="AS217" s="1"/>
      <c r="AT217" s="1"/>
    </row>
    <row r="218" spans="1:46" s="18" customFormat="1" x14ac:dyDescent="0.2">
      <c r="A218" s="10"/>
      <c r="B218" s="10"/>
      <c r="C218" s="10"/>
      <c r="D218" s="10"/>
      <c r="E218" s="10"/>
      <c r="F218" s="10"/>
      <c r="G218" s="1"/>
      <c r="H218" s="1"/>
      <c r="I218" s="1"/>
      <c r="J218" s="2"/>
      <c r="K218" s="1"/>
      <c r="L218" s="3"/>
      <c r="M218" s="1"/>
      <c r="Q218" s="25"/>
      <c r="R218" s="25"/>
      <c r="AP218" s="1"/>
      <c r="AQ218" s="1"/>
      <c r="AR218" s="1"/>
      <c r="AS218" s="1"/>
      <c r="AT218" s="1"/>
    </row>
    <row r="219" spans="1:46" s="18" customFormat="1" x14ac:dyDescent="0.2">
      <c r="A219" s="10"/>
      <c r="B219" s="10"/>
      <c r="C219" s="10"/>
      <c r="D219" s="10"/>
      <c r="E219" s="10"/>
      <c r="F219" s="10"/>
      <c r="G219" s="1"/>
      <c r="H219" s="1"/>
      <c r="I219" s="1"/>
      <c r="J219" s="2"/>
      <c r="K219" s="1"/>
      <c r="L219" s="3"/>
      <c r="M219" s="1"/>
      <c r="Q219" s="25"/>
      <c r="R219" s="25"/>
      <c r="AP219" s="1"/>
      <c r="AQ219" s="1"/>
      <c r="AR219" s="1"/>
      <c r="AS219" s="1"/>
      <c r="AT219" s="1"/>
    </row>
    <row r="220" spans="1:46" s="18" customFormat="1" x14ac:dyDescent="0.2">
      <c r="A220" s="10"/>
      <c r="B220" s="10"/>
      <c r="C220" s="10"/>
      <c r="D220" s="10"/>
      <c r="E220" s="10"/>
      <c r="F220" s="10"/>
      <c r="G220" s="1"/>
      <c r="H220" s="1"/>
      <c r="I220" s="1"/>
      <c r="J220" s="2"/>
      <c r="K220" s="1"/>
      <c r="L220" s="3"/>
      <c r="M220" s="1"/>
      <c r="Q220" s="25"/>
      <c r="R220" s="25"/>
      <c r="AP220" s="1"/>
      <c r="AQ220" s="1"/>
      <c r="AR220" s="1"/>
      <c r="AS220" s="1"/>
      <c r="AT220" s="1"/>
    </row>
    <row r="221" spans="1:46" s="18" customFormat="1" x14ac:dyDescent="0.2">
      <c r="A221" s="10"/>
      <c r="B221" s="10"/>
      <c r="C221" s="10"/>
      <c r="D221" s="10"/>
      <c r="E221" s="10"/>
      <c r="F221" s="10"/>
      <c r="G221" s="1"/>
      <c r="H221" s="1"/>
      <c r="I221" s="1"/>
      <c r="J221" s="2"/>
      <c r="K221" s="1"/>
      <c r="L221" s="3"/>
      <c r="M221" s="1"/>
      <c r="Q221" s="25"/>
      <c r="R221" s="25"/>
      <c r="AP221" s="1"/>
      <c r="AQ221" s="1"/>
      <c r="AR221" s="1"/>
      <c r="AS221" s="1"/>
      <c r="AT221" s="1"/>
    </row>
    <row r="222" spans="1:46" s="18" customFormat="1" x14ac:dyDescent="0.2">
      <c r="A222" s="10"/>
      <c r="B222" s="10"/>
      <c r="C222" s="10"/>
      <c r="D222" s="10"/>
      <c r="E222" s="10"/>
      <c r="F222" s="10"/>
      <c r="G222" s="1"/>
      <c r="H222" s="1"/>
      <c r="I222" s="1"/>
      <c r="J222" s="2"/>
      <c r="K222" s="1"/>
      <c r="L222" s="3"/>
      <c r="M222" s="1"/>
      <c r="Q222" s="25"/>
      <c r="R222" s="25"/>
      <c r="AP222" s="1"/>
      <c r="AQ222" s="1"/>
      <c r="AR222" s="1"/>
      <c r="AS222" s="1"/>
      <c r="AT222" s="1"/>
    </row>
    <row r="223" spans="1:46" s="18" customFormat="1" x14ac:dyDescent="0.2">
      <c r="A223" s="10"/>
      <c r="B223" s="10"/>
      <c r="C223" s="10"/>
      <c r="D223" s="10"/>
      <c r="E223" s="10"/>
      <c r="F223" s="10"/>
      <c r="G223" s="1"/>
      <c r="H223" s="1"/>
      <c r="I223" s="1"/>
      <c r="J223" s="2"/>
      <c r="K223" s="1"/>
      <c r="L223" s="3"/>
      <c r="M223" s="1"/>
      <c r="Q223" s="25"/>
      <c r="R223" s="25"/>
      <c r="AP223" s="1"/>
      <c r="AQ223" s="1"/>
      <c r="AR223" s="1"/>
      <c r="AS223" s="1"/>
      <c r="AT223" s="1"/>
    </row>
    <row r="224" spans="1:46" s="18" customFormat="1" x14ac:dyDescent="0.2">
      <c r="A224" s="10"/>
      <c r="B224" s="10"/>
      <c r="C224" s="10"/>
      <c r="D224" s="10"/>
      <c r="E224" s="10"/>
      <c r="F224" s="10"/>
      <c r="G224" s="1"/>
      <c r="H224" s="1"/>
      <c r="I224" s="1"/>
      <c r="J224" s="2"/>
      <c r="K224" s="1"/>
      <c r="L224" s="3"/>
      <c r="M224" s="1"/>
      <c r="Q224" s="25"/>
      <c r="R224" s="25"/>
      <c r="AP224" s="1"/>
      <c r="AQ224" s="1"/>
      <c r="AR224" s="1"/>
      <c r="AS224" s="1"/>
      <c r="AT224" s="1"/>
    </row>
    <row r="225" spans="1:46" s="18" customFormat="1" x14ac:dyDescent="0.2">
      <c r="A225" s="10"/>
      <c r="B225" s="10"/>
      <c r="C225" s="10"/>
      <c r="D225" s="10"/>
      <c r="E225" s="10"/>
      <c r="F225" s="10"/>
      <c r="G225" s="1"/>
      <c r="H225" s="1"/>
      <c r="I225" s="1"/>
      <c r="J225" s="2"/>
      <c r="K225" s="1"/>
      <c r="L225" s="3"/>
      <c r="M225" s="1"/>
      <c r="Q225" s="25"/>
      <c r="R225" s="25"/>
      <c r="AP225" s="1"/>
      <c r="AQ225" s="1"/>
      <c r="AR225" s="1"/>
      <c r="AS225" s="1"/>
      <c r="AT225" s="1"/>
    </row>
    <row r="226" spans="1:46" s="18" customFormat="1" x14ac:dyDescent="0.2">
      <c r="A226" s="10"/>
      <c r="B226" s="10"/>
      <c r="C226" s="10"/>
      <c r="D226" s="10"/>
      <c r="E226" s="10"/>
      <c r="F226" s="10"/>
      <c r="G226" s="1"/>
      <c r="H226" s="1"/>
      <c r="I226" s="1"/>
      <c r="J226" s="2"/>
      <c r="K226" s="1"/>
      <c r="L226" s="3"/>
      <c r="M226" s="1"/>
      <c r="Q226" s="25"/>
      <c r="R226" s="25"/>
      <c r="AP226" s="1"/>
      <c r="AQ226" s="1"/>
      <c r="AR226" s="1"/>
      <c r="AS226" s="1"/>
      <c r="AT226" s="1"/>
    </row>
    <row r="227" spans="1:46" s="18" customFormat="1" x14ac:dyDescent="0.2">
      <c r="A227" s="10"/>
      <c r="B227" s="10"/>
      <c r="C227" s="10"/>
      <c r="D227" s="10"/>
      <c r="E227" s="10"/>
      <c r="F227" s="10"/>
      <c r="G227" s="1"/>
      <c r="H227" s="1"/>
      <c r="I227" s="1"/>
      <c r="J227" s="2"/>
      <c r="K227" s="1"/>
      <c r="L227" s="3"/>
      <c r="M227" s="1"/>
      <c r="Q227" s="25"/>
      <c r="R227" s="25"/>
      <c r="AP227" s="1"/>
      <c r="AQ227" s="1"/>
      <c r="AR227" s="1"/>
      <c r="AS227" s="1"/>
      <c r="AT227" s="1"/>
    </row>
    <row r="228" spans="1:46" s="18" customFormat="1" x14ac:dyDescent="0.2">
      <c r="A228" s="10"/>
      <c r="B228" s="10"/>
      <c r="C228" s="10"/>
      <c r="D228" s="10"/>
      <c r="E228" s="10"/>
      <c r="F228" s="10"/>
      <c r="G228" s="1"/>
      <c r="H228" s="1"/>
      <c r="I228" s="1"/>
      <c r="J228" s="2"/>
      <c r="K228" s="1"/>
      <c r="L228" s="3"/>
      <c r="M228" s="1"/>
      <c r="Q228" s="25"/>
      <c r="R228" s="25"/>
      <c r="AP228" s="1"/>
      <c r="AQ228" s="1"/>
      <c r="AR228" s="1"/>
      <c r="AS228" s="1"/>
      <c r="AT228" s="1"/>
    </row>
    <row r="229" spans="1:46" s="18" customFormat="1" x14ac:dyDescent="0.2">
      <c r="A229" s="10"/>
      <c r="B229" s="10"/>
      <c r="C229" s="10"/>
      <c r="D229" s="10"/>
      <c r="E229" s="10"/>
      <c r="F229" s="10"/>
      <c r="G229" s="1"/>
      <c r="H229" s="1"/>
      <c r="I229" s="1"/>
      <c r="J229" s="2"/>
      <c r="K229" s="1"/>
      <c r="L229" s="3"/>
      <c r="M229" s="1"/>
      <c r="Q229" s="25"/>
      <c r="R229" s="25"/>
      <c r="AP229" s="1"/>
      <c r="AQ229" s="1"/>
      <c r="AR229" s="1"/>
      <c r="AS229" s="1"/>
      <c r="AT229" s="1"/>
    </row>
    <row r="230" spans="1:46" s="18" customFormat="1" x14ac:dyDescent="0.2">
      <c r="A230" s="10"/>
      <c r="B230" s="10"/>
      <c r="C230" s="10"/>
      <c r="D230" s="10"/>
      <c r="E230" s="10"/>
      <c r="F230" s="10"/>
      <c r="G230" s="1"/>
      <c r="H230" s="1"/>
      <c r="I230" s="1"/>
      <c r="J230" s="2"/>
      <c r="K230" s="1"/>
      <c r="L230" s="3"/>
      <c r="M230" s="1"/>
      <c r="Q230" s="25"/>
      <c r="R230" s="25"/>
      <c r="AP230" s="1"/>
      <c r="AQ230" s="1"/>
      <c r="AR230" s="1"/>
      <c r="AS230" s="1"/>
      <c r="AT230" s="1"/>
    </row>
    <row r="231" spans="1:46" s="18" customFormat="1" x14ac:dyDescent="0.2">
      <c r="A231" s="10"/>
      <c r="B231" s="10"/>
      <c r="C231" s="10"/>
      <c r="D231" s="10"/>
      <c r="E231" s="10"/>
      <c r="F231" s="10"/>
      <c r="G231" s="1"/>
      <c r="H231" s="1"/>
      <c r="I231" s="1"/>
      <c r="J231" s="2"/>
      <c r="K231" s="1"/>
      <c r="L231" s="3"/>
      <c r="M231" s="1"/>
      <c r="Q231" s="25"/>
      <c r="R231" s="25"/>
      <c r="AP231" s="1"/>
      <c r="AQ231" s="1"/>
      <c r="AR231" s="1"/>
      <c r="AS231" s="1"/>
      <c r="AT231" s="1"/>
    </row>
    <row r="232" spans="1:46" s="18" customFormat="1" x14ac:dyDescent="0.2">
      <c r="A232" s="10"/>
      <c r="B232" s="10"/>
      <c r="C232" s="10"/>
      <c r="D232" s="10"/>
      <c r="E232" s="10"/>
      <c r="F232" s="10"/>
      <c r="G232" s="1"/>
      <c r="H232" s="1"/>
      <c r="I232" s="1"/>
      <c r="J232" s="2"/>
      <c r="K232" s="1"/>
      <c r="L232" s="3"/>
      <c r="M232" s="1"/>
      <c r="Q232" s="25"/>
      <c r="R232" s="25"/>
      <c r="AP232" s="1"/>
      <c r="AQ232" s="1"/>
      <c r="AR232" s="1"/>
      <c r="AS232" s="1"/>
      <c r="AT232" s="1"/>
    </row>
    <row r="233" spans="1:46" s="18" customFormat="1" x14ac:dyDescent="0.2">
      <c r="A233" s="10"/>
      <c r="B233" s="10"/>
      <c r="C233" s="10"/>
      <c r="D233" s="10"/>
      <c r="E233" s="10"/>
      <c r="F233" s="10"/>
      <c r="G233" s="1"/>
      <c r="H233" s="1"/>
      <c r="I233" s="1"/>
      <c r="J233" s="2"/>
      <c r="K233" s="1"/>
      <c r="L233" s="3"/>
      <c r="M233" s="1"/>
      <c r="AP233" s="1"/>
      <c r="AQ233" s="1"/>
      <c r="AR233" s="1"/>
      <c r="AS233" s="1"/>
      <c r="AT233" s="1"/>
    </row>
    <row r="234" spans="1:46" s="18" customFormat="1" x14ac:dyDescent="0.2">
      <c r="A234" s="10"/>
      <c r="B234" s="10"/>
      <c r="C234" s="10"/>
      <c r="D234" s="10"/>
      <c r="E234" s="10"/>
      <c r="F234" s="10"/>
      <c r="G234" s="1"/>
      <c r="H234" s="1"/>
      <c r="I234" s="1"/>
      <c r="J234" s="2"/>
      <c r="K234" s="1"/>
      <c r="L234" s="3"/>
      <c r="M234" s="1"/>
      <c r="AP234" s="1"/>
      <c r="AQ234" s="1"/>
      <c r="AR234" s="1"/>
      <c r="AS234" s="1"/>
      <c r="AT234" s="1"/>
    </row>
    <row r="235" spans="1:46" s="18" customFormat="1" x14ac:dyDescent="0.2">
      <c r="A235" s="10"/>
      <c r="B235" s="10"/>
      <c r="C235" s="10"/>
      <c r="D235" s="10"/>
      <c r="E235" s="10"/>
      <c r="F235" s="10"/>
      <c r="G235" s="1"/>
      <c r="H235" s="1"/>
      <c r="I235" s="1"/>
      <c r="J235" s="2"/>
      <c r="K235" s="1"/>
      <c r="L235" s="3"/>
      <c r="M235" s="1"/>
      <c r="AP235" s="1"/>
      <c r="AQ235" s="1"/>
      <c r="AR235" s="1"/>
      <c r="AS235" s="1"/>
      <c r="AT235" s="1"/>
    </row>
    <row r="236" spans="1:46" s="18" customFormat="1" x14ac:dyDescent="0.2">
      <c r="A236" s="10"/>
      <c r="B236" s="10"/>
      <c r="C236" s="10"/>
      <c r="D236" s="10"/>
      <c r="E236" s="10"/>
      <c r="F236" s="10"/>
      <c r="G236" s="1"/>
      <c r="H236" s="1"/>
      <c r="I236" s="1"/>
      <c r="J236" s="2"/>
      <c r="K236" s="1"/>
      <c r="L236" s="3"/>
      <c r="M236" s="1"/>
      <c r="N236" s="1"/>
      <c r="AP236" s="1"/>
      <c r="AQ236" s="1"/>
      <c r="AR236" s="1"/>
      <c r="AS236" s="1"/>
      <c r="AT236" s="1"/>
    </row>
    <row r="237" spans="1:46" s="18" customFormat="1" x14ac:dyDescent="0.2">
      <c r="A237" s="10"/>
      <c r="B237" s="10"/>
      <c r="C237" s="10"/>
      <c r="D237" s="10"/>
      <c r="E237" s="10"/>
      <c r="F237" s="10"/>
      <c r="G237" s="1"/>
      <c r="H237" s="1"/>
      <c r="I237" s="1"/>
      <c r="J237" s="2"/>
      <c r="K237" s="1"/>
      <c r="L237" s="3"/>
      <c r="M237" s="1"/>
      <c r="N237" s="1"/>
      <c r="AP237" s="1"/>
      <c r="AQ237" s="1"/>
      <c r="AR237" s="1"/>
      <c r="AS237" s="1"/>
      <c r="AT237" s="1"/>
    </row>
  </sheetData>
  <mergeCells count="2">
    <mergeCell ref="N3:O3"/>
    <mergeCell ref="P3:R3"/>
  </mergeCells>
  <conditionalFormatting sqref="N68:AO69 N10:AO14 N16:AO21 N35:AO35 N24:AO28 N41:AO45 N49:AO49 N51:AO52 N61:AO66">
    <cfRule type="cellIs" dxfId="65" priority="48" operator="lessThan">
      <formula>0</formula>
    </cfRule>
  </conditionalFormatting>
  <conditionalFormatting sqref="N68:AO69">
    <cfRule type="cellIs" dxfId="64" priority="45" operator="equal">
      <formula>TRUE</formula>
    </cfRule>
    <cfRule type="cellIs" dxfId="63" priority="46" operator="equal">
      <formula>FALSE</formula>
    </cfRule>
    <cfRule type="cellIs" dxfId="62" priority="47" operator="equal">
      <formula>TRUE</formula>
    </cfRule>
  </conditionalFormatting>
  <conditionalFormatting sqref="N15:AO15">
    <cfRule type="cellIs" dxfId="61" priority="12" operator="lessThan">
      <formula>0</formula>
    </cfRule>
  </conditionalFormatting>
  <conditionalFormatting sqref="N22:AO23">
    <cfRule type="cellIs" dxfId="60" priority="11" operator="lessThan">
      <formula>0</formula>
    </cfRule>
  </conditionalFormatting>
  <conditionalFormatting sqref="N34:AO34">
    <cfRule type="cellIs" dxfId="59" priority="10" operator="lessThan">
      <formula>0</formula>
    </cfRule>
  </conditionalFormatting>
  <conditionalFormatting sqref="N48:AO48">
    <cfRule type="cellIs" dxfId="58" priority="9" operator="lessThan">
      <formula>0</formula>
    </cfRule>
  </conditionalFormatting>
  <conditionalFormatting sqref="N54:AO54">
    <cfRule type="cellIs" dxfId="57" priority="8" operator="lessThan">
      <formula>0</formula>
    </cfRule>
  </conditionalFormatting>
  <conditionalFormatting sqref="N55:AO55">
    <cfRule type="cellIs" dxfId="56" priority="7" operator="lessThan">
      <formula>0</formula>
    </cfRule>
  </conditionalFormatting>
  <conditionalFormatting sqref="N56:AO56">
    <cfRule type="cellIs" dxfId="55" priority="6" operator="lessThan">
      <formula>0</formula>
    </cfRule>
  </conditionalFormatting>
  <conditionalFormatting sqref="N58:AO58">
    <cfRule type="cellIs" dxfId="54" priority="5" operator="lessThan">
      <formula>0</formula>
    </cfRule>
  </conditionalFormatting>
  <conditionalFormatting sqref="N75:R75">
    <cfRule type="cellIs" dxfId="53" priority="4" operator="lessThan">
      <formula>0</formula>
    </cfRule>
  </conditionalFormatting>
  <conditionalFormatting sqref="N75:R75">
    <cfRule type="cellIs" dxfId="52" priority="1" operator="equal">
      <formula>TRUE</formula>
    </cfRule>
    <cfRule type="cellIs" dxfId="51" priority="2" operator="equal">
      <formula>FALSE</formula>
    </cfRule>
    <cfRule type="cellIs" dxfId="50" priority="3" operator="equal">
      <formula>TRUE</formula>
    </cfRule>
  </conditionalFormatting>
  <pageMargins left="0.7" right="0.7" top="0.75" bottom="0.75" header="0.3" footer="0.3"/>
  <pageSetup orientation="portrait" horizontalDpi="4294967295"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C00000"/>
  </sheetPr>
  <dimension ref="A1:BA233"/>
  <sheetViews>
    <sheetView zoomScale="85" zoomScaleNormal="85" workbookViewId="0">
      <pane xSplit="12" ySplit="6" topLeftCell="M7" activePane="bottomRight" state="frozen"/>
      <selection activeCell="P35" sqref="P35"/>
      <selection pane="topRight" activeCell="P35" sqref="P35"/>
      <selection pane="bottomLeft" activeCell="P35" sqref="P35"/>
      <selection pane="bottomRight" activeCell="D25" sqref="D25:D26"/>
    </sheetView>
  </sheetViews>
  <sheetFormatPr defaultColWidth="0" defaultRowHeight="12" outlineLevelCol="1" x14ac:dyDescent="0.2"/>
  <cols>
    <col min="1" max="5" width="2.6640625" style="1" customWidth="1"/>
    <col min="6" max="6" width="60.332031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5.88671875" style="3" customWidth="1" outlineLevel="1"/>
    <col min="13" max="13" width="2.6640625" style="1" customWidth="1"/>
    <col min="14" max="14" width="17.109375" style="1" hidden="1" customWidth="1" outlineLevel="1"/>
    <col min="15" max="15" width="16" style="18" hidden="1" customWidth="1" outlineLevel="1"/>
    <col min="16" max="16" width="16" style="18" customWidth="1" collapsed="1"/>
    <col min="17" max="32" width="16" style="18" customWidth="1"/>
    <col min="33" max="41" width="16" style="18" hidden="1" customWidth="1"/>
    <col min="42" max="42" width="14.109375" style="1" hidden="1" customWidth="1"/>
    <col min="43" max="53" width="0" style="1" hidden="1" customWidth="1"/>
    <col min="54" max="16384" width="9.109375" style="1" hidden="1"/>
  </cols>
  <sheetData>
    <row r="1" spans="1:43" s="74" customFormat="1" ht="13.2" thickBot="1" x14ac:dyDescent="0.3">
      <c r="A1" s="293"/>
      <c r="B1" s="294" t="str">
        <f>Cover!$F$11</f>
        <v>Alusystems - KSA</v>
      </c>
      <c r="C1" s="293"/>
      <c r="D1" s="293"/>
      <c r="E1" s="293"/>
      <c r="F1" s="293"/>
      <c r="G1" s="293"/>
      <c r="H1" s="293"/>
      <c r="I1" s="293"/>
      <c r="J1" s="295"/>
      <c r="K1" s="293"/>
      <c r="L1" s="296"/>
      <c r="M1" s="293"/>
      <c r="N1" s="293"/>
      <c r="O1" s="293"/>
      <c r="P1" s="293"/>
      <c r="Q1" s="293"/>
      <c r="R1" s="293"/>
      <c r="S1" s="293"/>
      <c r="T1" s="293"/>
      <c r="U1" s="293"/>
      <c r="V1" s="293"/>
      <c r="W1" s="293"/>
      <c r="X1" s="293"/>
      <c r="Y1" s="293"/>
      <c r="Z1" s="293"/>
      <c r="AA1" s="293"/>
      <c r="AB1" s="293"/>
      <c r="AC1" s="293"/>
      <c r="AD1" s="293"/>
      <c r="AE1" s="293"/>
      <c r="AF1" s="75"/>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473</v>
      </c>
      <c r="N3" s="751"/>
      <c r="O3" s="751"/>
      <c r="P3" s="751"/>
      <c r="Q3" s="751"/>
      <c r="R3" s="1"/>
      <c r="S3" s="1"/>
      <c r="T3" s="1"/>
      <c r="U3" s="1"/>
      <c r="V3" s="1"/>
      <c r="W3" s="1"/>
      <c r="X3" s="1"/>
      <c r="Y3" s="1"/>
      <c r="Z3" s="1"/>
      <c r="AA3" s="1"/>
      <c r="AB3" s="1"/>
      <c r="AC3" s="1"/>
      <c r="AD3" s="1"/>
      <c r="AE3" s="1"/>
      <c r="AF3" s="1"/>
      <c r="AG3" s="1"/>
      <c r="AH3" s="1"/>
      <c r="AI3" s="1"/>
      <c r="AJ3" s="1"/>
      <c r="AK3" s="1"/>
      <c r="AL3" s="1"/>
      <c r="AM3" s="1"/>
      <c r="AN3" s="1"/>
      <c r="AO3" s="1"/>
    </row>
    <row r="4" spans="1:43" x14ac:dyDescent="0.2">
      <c r="F4" s="5"/>
      <c r="N4" s="187" t="str">
        <f t="shared" ref="N4:AD4" si="0">Range</f>
        <v>Actual</v>
      </c>
      <c r="O4" s="187" t="str">
        <f t="shared" si="0"/>
        <v>Actual</v>
      </c>
      <c r="P4" s="187" t="str">
        <f t="shared" si="0"/>
        <v>Actual</v>
      </c>
      <c r="Q4" s="187" t="str">
        <f t="shared" si="0"/>
        <v>Actual</v>
      </c>
      <c r="R4" s="187" t="str">
        <f t="shared" si="0"/>
        <v>Actual</v>
      </c>
      <c r="S4" s="305" t="str">
        <f t="shared" si="0"/>
        <v>Forecast</v>
      </c>
      <c r="T4" s="305" t="str">
        <f t="shared" si="0"/>
        <v>Forecast</v>
      </c>
      <c r="U4" s="305" t="str">
        <f t="shared" si="0"/>
        <v>Forecast</v>
      </c>
      <c r="V4" s="305" t="str">
        <f t="shared" si="0"/>
        <v>Forecast</v>
      </c>
      <c r="W4" s="305" t="str">
        <f t="shared" si="0"/>
        <v>Forecast</v>
      </c>
      <c r="X4" s="305" t="str">
        <f t="shared" si="0"/>
        <v>Forecast</v>
      </c>
      <c r="Y4" s="305" t="str">
        <f t="shared" si="0"/>
        <v>Forecast</v>
      </c>
      <c r="Z4" s="305" t="str">
        <f t="shared" si="0"/>
        <v>Forecast</v>
      </c>
      <c r="AA4" s="305" t="str">
        <f t="shared" si="0"/>
        <v>Forecast</v>
      </c>
      <c r="AB4" s="305" t="str">
        <f t="shared" si="0"/>
        <v>Forecast</v>
      </c>
      <c r="AC4" s="305" t="str">
        <f t="shared" si="0"/>
        <v>Forecast</v>
      </c>
      <c r="AD4" s="305" t="str">
        <f t="shared" si="0"/>
        <v>Forecast</v>
      </c>
      <c r="AE4" s="5"/>
      <c r="AF4" s="5"/>
      <c r="AG4" s="5"/>
      <c r="AH4" s="5"/>
      <c r="AI4" s="5"/>
      <c r="AJ4" s="5"/>
      <c r="AK4" s="5"/>
      <c r="AL4" s="5"/>
      <c r="AM4" s="5"/>
      <c r="AN4" s="5"/>
      <c r="AO4" s="5"/>
    </row>
    <row r="5" spans="1:43" x14ac:dyDescent="0.2">
      <c r="B5" s="1" t="s">
        <v>3</v>
      </c>
      <c r="G5" s="1" t="s">
        <v>4</v>
      </c>
      <c r="H5" s="8" t="s">
        <v>5</v>
      </c>
      <c r="J5" s="2" t="s">
        <v>6</v>
      </c>
      <c r="L5" s="3" t="s">
        <v>7</v>
      </c>
      <c r="N5" s="9">
        <f t="shared" ref="N5:AD5" si="1">Support_Date</f>
        <v>42582</v>
      </c>
      <c r="O5" s="9">
        <f t="shared" si="1"/>
        <v>42947</v>
      </c>
      <c r="P5" s="9">
        <f t="shared" si="1"/>
        <v>43312</v>
      </c>
      <c r="Q5" s="9">
        <f t="shared" si="1"/>
        <v>43677</v>
      </c>
      <c r="R5" s="9">
        <f t="shared" si="1"/>
        <v>44043</v>
      </c>
      <c r="S5" s="9">
        <f t="shared" si="1"/>
        <v>44408</v>
      </c>
      <c r="T5" s="9">
        <f t="shared" si="1"/>
        <v>44773</v>
      </c>
      <c r="U5" s="9">
        <f t="shared" si="1"/>
        <v>45138</v>
      </c>
      <c r="V5" s="9">
        <f t="shared" si="1"/>
        <v>45504</v>
      </c>
      <c r="W5" s="9">
        <f t="shared" si="1"/>
        <v>45869</v>
      </c>
      <c r="X5" s="9">
        <f t="shared" si="1"/>
        <v>46234</v>
      </c>
      <c r="Y5" s="9">
        <f t="shared" si="1"/>
        <v>46599</v>
      </c>
      <c r="Z5" s="9">
        <f t="shared" si="1"/>
        <v>46965</v>
      </c>
      <c r="AA5" s="9">
        <f t="shared" si="1"/>
        <v>47330</v>
      </c>
      <c r="AB5" s="9">
        <f t="shared" si="1"/>
        <v>47695</v>
      </c>
      <c r="AC5" s="9">
        <f t="shared" si="1"/>
        <v>48060</v>
      </c>
      <c r="AD5" s="9">
        <f t="shared" si="1"/>
        <v>48426</v>
      </c>
      <c r="AE5" s="5"/>
      <c r="AF5" s="5"/>
      <c r="AG5" s="5"/>
      <c r="AH5" s="5"/>
      <c r="AI5" s="5"/>
      <c r="AJ5" s="5"/>
      <c r="AK5" s="5"/>
      <c r="AL5" s="5"/>
      <c r="AM5" s="5"/>
      <c r="AN5" s="5"/>
      <c r="AO5" s="5"/>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c r="AP6" s="10"/>
      <c r="AQ6" s="10"/>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c r="AP7" s="10"/>
      <c r="AQ7" s="10"/>
    </row>
    <row r="8" spans="1:43" ht="13.2" thickTop="1" x14ac:dyDescent="0.25">
      <c r="A8" s="11"/>
      <c r="B8" s="12" t="str">
        <f>B3</f>
        <v>Consolidated Statement of Cash Flow</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1209</v>
      </c>
      <c r="F9" s="18"/>
      <c r="N9" s="18"/>
      <c r="O9" s="19"/>
      <c r="Q9" s="18" t="s">
        <v>8</v>
      </c>
    </row>
    <row r="10" spans="1:43" s="10" customFormat="1" ht="12.6" thickBot="1" x14ac:dyDescent="0.25">
      <c r="A10" s="1"/>
      <c r="B10" s="1"/>
      <c r="J10" s="22"/>
      <c r="L10" s="23"/>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row>
    <row r="11" spans="1:43" s="10" customFormat="1" ht="12.6" thickTop="1" x14ac:dyDescent="0.2">
      <c r="C11" s="320" t="s">
        <v>29</v>
      </c>
      <c r="D11" s="320"/>
      <c r="E11" s="321"/>
      <c r="F11" s="321"/>
      <c r="G11" s="321"/>
      <c r="H11" s="321"/>
      <c r="I11" s="321"/>
      <c r="J11" s="322"/>
      <c r="K11" s="321"/>
      <c r="L11" s="323"/>
      <c r="M11" s="321"/>
      <c r="N11" s="332"/>
      <c r="O11" s="332"/>
      <c r="P11" s="332"/>
      <c r="Q11" s="332"/>
      <c r="R11" s="332"/>
      <c r="S11" s="332"/>
      <c r="T11" s="332"/>
      <c r="U11" s="332"/>
      <c r="V11" s="332"/>
      <c r="W11" s="332"/>
      <c r="X11" s="332"/>
      <c r="Y11" s="332"/>
      <c r="Z11" s="332"/>
      <c r="AA11" s="332"/>
      <c r="AB11" s="332"/>
      <c r="AC11" s="332"/>
      <c r="AD11" s="332"/>
      <c r="AE11" s="31"/>
      <c r="AF11" s="31"/>
      <c r="AG11" s="31"/>
      <c r="AH11" s="31"/>
      <c r="AI11" s="31"/>
      <c r="AJ11" s="31"/>
      <c r="AK11" s="31"/>
      <c r="AL11" s="31"/>
      <c r="AM11" s="31"/>
      <c r="AN11" s="31"/>
      <c r="AO11" s="31"/>
    </row>
    <row r="12" spans="1:43" s="10" customFormat="1" x14ac:dyDescent="0.2">
      <c r="F12" s="21"/>
      <c r="J12" s="22"/>
      <c r="L12" s="23"/>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row>
    <row r="13" spans="1:43" s="97" customFormat="1" ht="12.6" x14ac:dyDescent="0.25">
      <c r="D13" s="97" t="s">
        <v>12</v>
      </c>
      <c r="F13" s="21"/>
      <c r="J13" s="98" t="s">
        <v>1205</v>
      </c>
      <c r="L13" s="99" t="s">
        <v>488</v>
      </c>
      <c r="N13" s="101"/>
      <c r="O13" s="101"/>
      <c r="P13" s="101"/>
      <c r="Q13" s="101"/>
      <c r="R13" s="103">
        <f>6252+42122+13936+160+3244+5285+6269+43-70+17274-6839-1500+50-51+7490</f>
        <v>93665</v>
      </c>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row>
    <row r="14" spans="1:43" s="97" customFormat="1" ht="12.6" x14ac:dyDescent="0.25">
      <c r="D14" s="32" t="s">
        <v>455</v>
      </c>
      <c r="F14" s="21"/>
      <c r="J14" s="98" t="s">
        <v>1205</v>
      </c>
      <c r="L14" s="99" t="s">
        <v>474</v>
      </c>
      <c r="N14" s="101"/>
      <c r="O14" s="101"/>
      <c r="P14" s="101"/>
      <c r="Q14" s="103"/>
      <c r="R14" s="103"/>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row>
    <row r="15" spans="1:43" s="97" customFormat="1" x14ac:dyDescent="0.2">
      <c r="D15" s="106" t="s">
        <v>924</v>
      </c>
      <c r="F15" s="21"/>
      <c r="J15" s="98" t="s">
        <v>1205</v>
      </c>
      <c r="L15" s="99" t="s">
        <v>475</v>
      </c>
      <c r="N15" s="101"/>
      <c r="O15" s="101"/>
      <c r="P15" s="101"/>
      <c r="Q15" s="101"/>
      <c r="R15" s="101">
        <v>-4178</v>
      </c>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row>
    <row r="16" spans="1:43" s="97" customFormat="1" x14ac:dyDescent="0.2">
      <c r="D16" s="106" t="s">
        <v>920</v>
      </c>
      <c r="F16" s="21"/>
      <c r="J16" s="98" t="s">
        <v>1205</v>
      </c>
      <c r="L16" s="99" t="s">
        <v>921</v>
      </c>
      <c r="N16" s="101"/>
      <c r="O16" s="101"/>
      <c r="P16" s="101"/>
      <c r="Q16" s="101"/>
      <c r="R16" s="101">
        <v>-3631</v>
      </c>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4:41" s="97" customFormat="1" ht="12.6" x14ac:dyDescent="0.25">
      <c r="D17" s="106" t="s">
        <v>838</v>
      </c>
      <c r="E17" s="32"/>
      <c r="J17" s="98" t="s">
        <v>1205</v>
      </c>
      <c r="L17" s="99" t="s">
        <v>922</v>
      </c>
      <c r="N17" s="101"/>
      <c r="O17" s="101"/>
      <c r="P17" s="101"/>
      <c r="Q17" s="101"/>
      <c r="R17" s="101">
        <f>-25851</f>
        <v>-25851</v>
      </c>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row>
    <row r="18" spans="4:41" s="97" customFormat="1" x14ac:dyDescent="0.2">
      <c r="D18" s="106" t="s">
        <v>842</v>
      </c>
      <c r="F18" s="21"/>
      <c r="J18" s="98" t="s">
        <v>1205</v>
      </c>
      <c r="L18" s="99" t="s">
        <v>923</v>
      </c>
      <c r="N18" s="101"/>
      <c r="O18" s="101"/>
      <c r="P18" s="101"/>
      <c r="Q18" s="101"/>
      <c r="R18" s="101">
        <v>-13836</v>
      </c>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4:41" s="97" customFormat="1" x14ac:dyDescent="0.2">
      <c r="D19" s="106" t="s">
        <v>450</v>
      </c>
      <c r="F19" s="21"/>
      <c r="J19" s="98" t="s">
        <v>1205</v>
      </c>
      <c r="L19" s="99" t="s">
        <v>476</v>
      </c>
      <c r="N19" s="101"/>
      <c r="O19" s="101"/>
      <c r="P19" s="101"/>
      <c r="Q19" s="101"/>
      <c r="R19" s="101">
        <v>2165</v>
      </c>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4:41" s="97" customFormat="1" x14ac:dyDescent="0.2">
      <c r="D20" s="106" t="s">
        <v>511</v>
      </c>
      <c r="F20" s="21"/>
      <c r="J20" s="98" t="s">
        <v>1205</v>
      </c>
      <c r="L20" s="99" t="s">
        <v>925</v>
      </c>
      <c r="N20" s="101"/>
      <c r="O20" s="101"/>
      <c r="P20" s="101"/>
      <c r="Q20" s="101"/>
      <c r="R20" s="101">
        <f>-14618+4912</f>
        <v>-9706</v>
      </c>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01"/>
    </row>
    <row r="21" spans="4:41" s="97" customFormat="1" x14ac:dyDescent="0.2">
      <c r="D21" s="106" t="s">
        <v>862</v>
      </c>
      <c r="F21" s="21"/>
      <c r="J21" s="98" t="s">
        <v>1205</v>
      </c>
      <c r="L21" s="99" t="s">
        <v>926</v>
      </c>
      <c r="N21" s="101"/>
      <c r="O21" s="101"/>
      <c r="P21" s="101"/>
      <c r="Q21" s="101"/>
      <c r="R21" s="101">
        <f>15486+2677</f>
        <v>18163</v>
      </c>
      <c r="S21" s="101"/>
      <c r="T21" s="101"/>
      <c r="U21" s="101"/>
      <c r="V21" s="101"/>
      <c r="W21" s="101"/>
      <c r="X21" s="101"/>
      <c r="Y21" s="101"/>
      <c r="Z21" s="101"/>
      <c r="AA21" s="101"/>
      <c r="AB21" s="101"/>
      <c r="AC21" s="101"/>
      <c r="AD21" s="101"/>
      <c r="AE21" s="101"/>
      <c r="AF21" s="101"/>
      <c r="AG21" s="101"/>
      <c r="AH21" s="101"/>
      <c r="AI21" s="101"/>
      <c r="AJ21" s="101"/>
      <c r="AK21" s="101"/>
      <c r="AL21" s="101"/>
      <c r="AM21" s="101"/>
      <c r="AN21" s="101"/>
      <c r="AO21" s="101"/>
    </row>
    <row r="22" spans="4:41" s="97" customFormat="1" x14ac:dyDescent="0.2">
      <c r="D22" s="106" t="s">
        <v>882</v>
      </c>
      <c r="F22" s="21"/>
      <c r="J22" s="98" t="s">
        <v>1205</v>
      </c>
      <c r="L22" s="99" t="s">
        <v>927</v>
      </c>
      <c r="N22" s="101"/>
      <c r="O22" s="101"/>
      <c r="P22" s="101"/>
      <c r="Q22" s="101"/>
      <c r="R22" s="101">
        <v>0</v>
      </c>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row>
    <row r="23" spans="4:41" s="97" customFormat="1" x14ac:dyDescent="0.2">
      <c r="D23" s="97" t="s">
        <v>931</v>
      </c>
      <c r="F23" s="21"/>
      <c r="J23" s="98" t="s">
        <v>1205</v>
      </c>
      <c r="L23" s="99" t="s">
        <v>930</v>
      </c>
      <c r="N23" s="101"/>
      <c r="O23" s="101"/>
      <c r="P23" s="101"/>
      <c r="Q23" s="101"/>
      <c r="R23" s="101">
        <f>11428-21224</f>
        <v>-9796</v>
      </c>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row>
    <row r="24" spans="4:41" s="97" customFormat="1" ht="12.6" x14ac:dyDescent="0.25">
      <c r="D24" s="316" t="s">
        <v>457</v>
      </c>
      <c r="E24" s="316"/>
      <c r="F24" s="317"/>
      <c r="G24" s="316"/>
      <c r="H24" s="316"/>
      <c r="I24" s="316"/>
      <c r="J24" s="328" t="s">
        <v>1205</v>
      </c>
      <c r="K24" s="316"/>
      <c r="L24" s="318" t="s">
        <v>477</v>
      </c>
      <c r="M24" s="316"/>
      <c r="N24" s="261"/>
      <c r="O24" s="261"/>
      <c r="P24" s="261"/>
      <c r="Q24" s="261"/>
      <c r="R24" s="261">
        <f>SUM(R15:R23)+R13</f>
        <v>46995</v>
      </c>
      <c r="S24" s="261"/>
      <c r="T24" s="261"/>
      <c r="U24" s="261"/>
      <c r="V24" s="261"/>
      <c r="W24" s="261"/>
      <c r="X24" s="261"/>
      <c r="Y24" s="261"/>
      <c r="Z24" s="261"/>
      <c r="AA24" s="261"/>
      <c r="AB24" s="261"/>
      <c r="AC24" s="261"/>
      <c r="AD24" s="261"/>
      <c r="AE24" s="101"/>
      <c r="AF24" s="101"/>
      <c r="AG24" s="101"/>
      <c r="AH24" s="101"/>
      <c r="AI24" s="101"/>
      <c r="AJ24" s="101"/>
      <c r="AK24" s="101"/>
      <c r="AL24" s="101"/>
      <c r="AM24" s="101"/>
      <c r="AN24" s="101"/>
      <c r="AO24" s="101"/>
    </row>
    <row r="25" spans="4:41" s="97" customFormat="1" x14ac:dyDescent="0.2">
      <c r="D25" s="97" t="s">
        <v>942</v>
      </c>
      <c r="F25" s="21"/>
      <c r="J25" s="98" t="s">
        <v>1205</v>
      </c>
      <c r="L25" s="99" t="s">
        <v>478</v>
      </c>
      <c r="N25" s="101"/>
      <c r="O25" s="101"/>
      <c r="P25" s="101"/>
      <c r="Q25" s="101"/>
      <c r="R25" s="101">
        <v>-99072</v>
      </c>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row>
    <row r="26" spans="4:41" s="97" customFormat="1" x14ac:dyDescent="0.2">
      <c r="D26" s="97" t="s">
        <v>932</v>
      </c>
      <c r="F26" s="21"/>
      <c r="J26" s="98" t="s">
        <v>1205</v>
      </c>
      <c r="L26" s="99" t="s">
        <v>479</v>
      </c>
      <c r="N26" s="101"/>
      <c r="O26" s="101"/>
      <c r="P26" s="101"/>
      <c r="Q26" s="101"/>
      <c r="R26" s="101">
        <v>0</v>
      </c>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row>
    <row r="27" spans="4:41" s="97" customFormat="1" x14ac:dyDescent="0.2">
      <c r="D27" s="97" t="s">
        <v>933</v>
      </c>
      <c r="F27" s="21"/>
      <c r="J27" s="98" t="s">
        <v>1205</v>
      </c>
      <c r="L27" s="99" t="s">
        <v>480</v>
      </c>
      <c r="N27" s="101"/>
      <c r="O27" s="101"/>
      <c r="P27" s="101"/>
      <c r="Q27" s="101"/>
      <c r="R27" s="101">
        <f>-70932-10929-22703-6242+54789</f>
        <v>-56017</v>
      </c>
      <c r="S27" s="101"/>
      <c r="T27" s="101"/>
      <c r="U27" s="101"/>
      <c r="V27" s="101"/>
      <c r="W27" s="101"/>
      <c r="X27" s="101"/>
      <c r="Y27" s="101"/>
      <c r="Z27" s="101"/>
      <c r="AA27" s="101"/>
      <c r="AB27" s="101"/>
      <c r="AC27" s="101"/>
      <c r="AD27" s="101"/>
      <c r="AE27" s="101"/>
      <c r="AF27" s="101"/>
      <c r="AG27" s="101"/>
      <c r="AH27" s="101"/>
      <c r="AI27" s="101"/>
      <c r="AJ27" s="101"/>
      <c r="AK27" s="101"/>
      <c r="AL27" s="101"/>
      <c r="AM27" s="101"/>
      <c r="AN27" s="101"/>
      <c r="AO27" s="101"/>
    </row>
    <row r="28" spans="4:41" s="97" customFormat="1" ht="12.6" x14ac:dyDescent="0.25">
      <c r="D28" s="316" t="s">
        <v>458</v>
      </c>
      <c r="E28" s="316"/>
      <c r="F28" s="317"/>
      <c r="G28" s="316"/>
      <c r="H28" s="316"/>
      <c r="I28" s="316"/>
      <c r="J28" s="328" t="s">
        <v>1205</v>
      </c>
      <c r="K28" s="316"/>
      <c r="L28" s="318" t="s">
        <v>481</v>
      </c>
      <c r="M28" s="316"/>
      <c r="N28" s="261"/>
      <c r="O28" s="261"/>
      <c r="P28" s="261"/>
      <c r="Q28" s="261"/>
      <c r="R28" s="261">
        <f>SUM(R24:R27)</f>
        <v>-108094</v>
      </c>
      <c r="S28" s="261"/>
      <c r="T28" s="261"/>
      <c r="U28" s="261"/>
      <c r="V28" s="261"/>
      <c r="W28" s="261"/>
      <c r="X28" s="261"/>
      <c r="Y28" s="261"/>
      <c r="Z28" s="261"/>
      <c r="AA28" s="261"/>
      <c r="AB28" s="261"/>
      <c r="AC28" s="261"/>
      <c r="AD28" s="261"/>
      <c r="AE28" s="101"/>
      <c r="AF28" s="101"/>
      <c r="AG28" s="101"/>
      <c r="AH28" s="101"/>
      <c r="AI28" s="101"/>
      <c r="AJ28" s="101"/>
      <c r="AK28" s="101"/>
      <c r="AL28" s="101"/>
      <c r="AM28" s="101"/>
      <c r="AN28" s="101"/>
      <c r="AO28" s="101"/>
    </row>
    <row r="29" spans="4:41" s="97" customFormat="1" ht="12.6" x14ac:dyDescent="0.25">
      <c r="D29" s="97" t="s">
        <v>934</v>
      </c>
      <c r="E29" s="32"/>
      <c r="F29" s="16"/>
      <c r="G29" s="32"/>
      <c r="H29" s="32"/>
      <c r="I29" s="32"/>
      <c r="J29" s="98" t="s">
        <v>1205</v>
      </c>
      <c r="L29" s="99" t="s">
        <v>935</v>
      </c>
      <c r="M29" s="32"/>
      <c r="N29" s="103"/>
      <c r="O29" s="103"/>
      <c r="P29" s="103"/>
      <c r="Q29" s="103"/>
      <c r="R29" s="101">
        <f>249972+1592</f>
        <v>251564</v>
      </c>
      <c r="S29" s="103"/>
      <c r="T29" s="103"/>
      <c r="U29" s="103"/>
      <c r="V29" s="103"/>
      <c r="W29" s="103"/>
      <c r="X29" s="103"/>
      <c r="Y29" s="103"/>
      <c r="Z29" s="103"/>
      <c r="AA29" s="103"/>
      <c r="AB29" s="103"/>
      <c r="AC29" s="103"/>
      <c r="AD29" s="103"/>
      <c r="AE29" s="101"/>
      <c r="AF29" s="101"/>
      <c r="AG29" s="101"/>
      <c r="AH29" s="101"/>
      <c r="AI29" s="101"/>
      <c r="AJ29" s="101"/>
      <c r="AK29" s="101"/>
      <c r="AL29" s="101"/>
      <c r="AM29" s="101"/>
      <c r="AN29" s="101"/>
      <c r="AO29" s="101"/>
    </row>
    <row r="30" spans="4:41" s="97" customFormat="1" x14ac:dyDescent="0.2">
      <c r="D30" s="97" t="s">
        <v>936</v>
      </c>
      <c r="F30" s="21"/>
      <c r="J30" s="98" t="s">
        <v>1205</v>
      </c>
      <c r="L30" s="99" t="s">
        <v>937</v>
      </c>
      <c r="N30" s="101"/>
      <c r="O30" s="101"/>
      <c r="P30" s="101"/>
      <c r="Q30" s="101"/>
      <c r="R30" s="101">
        <v>21539</v>
      </c>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row>
    <row r="31" spans="4:41" s="97" customFormat="1" x14ac:dyDescent="0.2">
      <c r="D31" s="97" t="s">
        <v>938</v>
      </c>
      <c r="F31" s="21"/>
      <c r="J31" s="98" t="s">
        <v>1205</v>
      </c>
      <c r="L31" s="99" t="s">
        <v>482</v>
      </c>
      <c r="N31" s="101"/>
      <c r="O31" s="101"/>
      <c r="P31" s="101"/>
      <c r="Q31" s="101"/>
      <c r="R31" s="101">
        <v>-20174</v>
      </c>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row>
    <row r="32" spans="4:41" s="97" customFormat="1" x14ac:dyDescent="0.2">
      <c r="D32" s="97" t="s">
        <v>939</v>
      </c>
      <c r="F32" s="21"/>
      <c r="J32" s="98" t="s">
        <v>1205</v>
      </c>
      <c r="L32" s="99" t="s">
        <v>940</v>
      </c>
      <c r="N32" s="101"/>
      <c r="O32" s="101"/>
      <c r="P32" s="101"/>
      <c r="Q32" s="101"/>
      <c r="R32" s="101">
        <v>-6520</v>
      </c>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row>
    <row r="33" spans="1:46" s="97" customFormat="1" x14ac:dyDescent="0.2">
      <c r="D33" s="97" t="s">
        <v>928</v>
      </c>
      <c r="F33" s="21"/>
      <c r="J33" s="98" t="s">
        <v>1205</v>
      </c>
      <c r="L33" s="99" t="s">
        <v>929</v>
      </c>
      <c r="N33" s="101"/>
      <c r="O33" s="101"/>
      <c r="P33" s="101"/>
      <c r="Q33" s="101"/>
      <c r="R33" s="101">
        <f>1191-3465</f>
        <v>-2274</v>
      </c>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row>
    <row r="34" spans="1:46" s="97" customFormat="1" ht="12.6" x14ac:dyDescent="0.25">
      <c r="D34" s="316" t="s">
        <v>459</v>
      </c>
      <c r="E34" s="316"/>
      <c r="F34" s="317"/>
      <c r="G34" s="316"/>
      <c r="H34" s="316"/>
      <c r="I34" s="316"/>
      <c r="J34" s="328" t="s">
        <v>1205</v>
      </c>
      <c r="K34" s="316"/>
      <c r="L34" s="318" t="s">
        <v>483</v>
      </c>
      <c r="M34" s="316"/>
      <c r="N34" s="261"/>
      <c r="O34" s="261"/>
      <c r="P34" s="261"/>
      <c r="Q34" s="261"/>
      <c r="R34" s="261">
        <f>SUM(R28:R33)</f>
        <v>136041</v>
      </c>
      <c r="S34" s="261"/>
      <c r="T34" s="261"/>
      <c r="U34" s="261"/>
      <c r="V34" s="261"/>
      <c r="W34" s="261"/>
      <c r="X34" s="261"/>
      <c r="Y34" s="261"/>
      <c r="Z34" s="261"/>
      <c r="AA34" s="261"/>
      <c r="AB34" s="261"/>
      <c r="AC34" s="261"/>
      <c r="AD34" s="261"/>
      <c r="AE34" s="103"/>
      <c r="AF34" s="103"/>
      <c r="AG34" s="101"/>
      <c r="AH34" s="101"/>
      <c r="AI34" s="101"/>
      <c r="AJ34" s="101"/>
      <c r="AK34" s="101"/>
      <c r="AL34" s="101"/>
      <c r="AM34" s="101"/>
      <c r="AN34" s="101"/>
      <c r="AO34" s="101"/>
    </row>
    <row r="35" spans="1:46" s="97" customFormat="1" x14ac:dyDescent="0.2">
      <c r="D35" s="97" t="s">
        <v>460</v>
      </c>
      <c r="F35" s="21"/>
      <c r="J35" s="98" t="s">
        <v>1205</v>
      </c>
      <c r="L35" s="99" t="s">
        <v>484</v>
      </c>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row>
    <row r="36" spans="1:46" s="97" customFormat="1" ht="12.6" x14ac:dyDescent="0.25">
      <c r="D36" s="316" t="s">
        <v>461</v>
      </c>
      <c r="E36" s="316"/>
      <c r="F36" s="317"/>
      <c r="G36" s="316"/>
      <c r="H36" s="316"/>
      <c r="I36" s="316"/>
      <c r="J36" s="328" t="s">
        <v>1205</v>
      </c>
      <c r="K36" s="316"/>
      <c r="L36" s="318" t="s">
        <v>485</v>
      </c>
      <c r="M36" s="316"/>
      <c r="N36" s="261"/>
      <c r="O36" s="261"/>
      <c r="P36" s="261"/>
      <c r="Q36" s="261"/>
      <c r="R36" s="261">
        <f>SUM(R34:R35)</f>
        <v>136041</v>
      </c>
      <c r="S36" s="261"/>
      <c r="T36" s="261"/>
      <c r="U36" s="261"/>
      <c r="V36" s="261"/>
      <c r="W36" s="261"/>
      <c r="X36" s="261"/>
      <c r="Y36" s="261"/>
      <c r="Z36" s="261"/>
      <c r="AA36" s="261"/>
      <c r="AB36" s="261"/>
      <c r="AC36" s="261"/>
      <c r="AD36" s="261"/>
      <c r="AE36" s="101"/>
      <c r="AF36" s="101"/>
      <c r="AG36" s="101"/>
      <c r="AH36" s="101"/>
      <c r="AI36" s="101"/>
      <c r="AJ36" s="101"/>
      <c r="AK36" s="101"/>
      <c r="AL36" s="101"/>
      <c r="AM36" s="101"/>
      <c r="AN36" s="101"/>
      <c r="AO36" s="101"/>
    </row>
    <row r="37" spans="1:46" s="97" customFormat="1" ht="12.6" x14ac:dyDescent="0.25">
      <c r="D37" s="106" t="s">
        <v>941</v>
      </c>
      <c r="E37" s="32"/>
      <c r="F37" s="16"/>
      <c r="G37" s="32"/>
      <c r="H37" s="32"/>
      <c r="I37" s="32"/>
      <c r="J37" s="37" t="s">
        <v>1205</v>
      </c>
      <c r="K37" s="32"/>
      <c r="L37" s="38"/>
      <c r="M37" s="32"/>
      <c r="N37" s="103"/>
      <c r="O37" s="103"/>
      <c r="P37" s="103"/>
      <c r="Q37" s="103"/>
      <c r="R37" s="103">
        <v>9505</v>
      </c>
      <c r="S37" s="103">
        <v>0</v>
      </c>
      <c r="T37" s="103">
        <v>0</v>
      </c>
      <c r="U37" s="103">
        <v>0</v>
      </c>
      <c r="V37" s="103">
        <v>0</v>
      </c>
      <c r="W37" s="103">
        <v>0</v>
      </c>
      <c r="X37" s="103">
        <v>0</v>
      </c>
      <c r="Y37" s="103">
        <v>0</v>
      </c>
      <c r="Z37" s="103">
        <v>0</v>
      </c>
      <c r="AA37" s="103">
        <v>0</v>
      </c>
      <c r="AB37" s="103">
        <v>0</v>
      </c>
      <c r="AC37" s="103">
        <v>0</v>
      </c>
      <c r="AD37" s="103">
        <v>0</v>
      </c>
      <c r="AE37" s="101"/>
      <c r="AF37" s="101"/>
      <c r="AG37" s="101"/>
      <c r="AH37" s="101"/>
      <c r="AI37" s="101"/>
      <c r="AJ37" s="101"/>
      <c r="AK37" s="101"/>
      <c r="AL37" s="101"/>
      <c r="AM37" s="101"/>
      <c r="AN37" s="101"/>
      <c r="AO37" s="101"/>
    </row>
    <row r="38" spans="1:46" s="97" customFormat="1" x14ac:dyDescent="0.2">
      <c r="D38" s="97" t="s">
        <v>462</v>
      </c>
      <c r="F38" s="21"/>
      <c r="J38" s="98" t="s">
        <v>1205</v>
      </c>
      <c r="L38" s="99" t="s">
        <v>486</v>
      </c>
      <c r="N38" s="101"/>
      <c r="O38" s="101"/>
      <c r="P38" s="101"/>
      <c r="Q38" s="101"/>
      <c r="R38" s="101">
        <f>Q39</f>
        <v>277034</v>
      </c>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row>
    <row r="39" spans="1:46" s="97" customFormat="1" ht="12.6" x14ac:dyDescent="0.25">
      <c r="D39" s="248" t="s">
        <v>463</v>
      </c>
      <c r="E39" s="248"/>
      <c r="F39" s="330"/>
      <c r="G39" s="248"/>
      <c r="H39" s="248"/>
      <c r="I39" s="248"/>
      <c r="J39" s="329" t="s">
        <v>1205</v>
      </c>
      <c r="K39" s="248"/>
      <c r="L39" s="331" t="s">
        <v>487</v>
      </c>
      <c r="M39" s="248"/>
      <c r="N39" s="250"/>
      <c r="O39" s="250"/>
      <c r="P39" s="250"/>
      <c r="Q39" s="250">
        <v>277034</v>
      </c>
      <c r="R39" s="250">
        <f>SUM(R36:R38)</f>
        <v>422580</v>
      </c>
      <c r="S39" s="250"/>
      <c r="T39" s="250"/>
      <c r="U39" s="250"/>
      <c r="V39" s="250"/>
      <c r="W39" s="250"/>
      <c r="X39" s="250"/>
      <c r="Y39" s="250"/>
      <c r="Z39" s="250"/>
      <c r="AA39" s="250"/>
      <c r="AB39" s="250"/>
      <c r="AC39" s="250"/>
      <c r="AD39" s="250"/>
      <c r="AE39" s="101"/>
      <c r="AF39" s="101"/>
      <c r="AG39" s="101"/>
      <c r="AH39" s="101"/>
      <c r="AI39" s="101"/>
      <c r="AJ39" s="101"/>
      <c r="AK39" s="101"/>
      <c r="AL39" s="101"/>
      <c r="AM39" s="101"/>
      <c r="AN39" s="101"/>
      <c r="AO39" s="101"/>
    </row>
    <row r="40" spans="1:46" s="97" customFormat="1" x14ac:dyDescent="0.2">
      <c r="F40" s="21"/>
      <c r="J40" s="98"/>
      <c r="L40" s="99"/>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1:46" ht="12.6" thickBot="1" x14ac:dyDescent="0.25">
      <c r="A41" s="10"/>
      <c r="B41" s="10"/>
      <c r="C41" s="10"/>
      <c r="D41" s="10"/>
      <c r="E41" s="10"/>
      <c r="F41" s="10"/>
      <c r="N41" s="18"/>
    </row>
    <row r="42" spans="1:46" s="10" customFormat="1" ht="13.2" thickTop="1" x14ac:dyDescent="0.25">
      <c r="A42" s="1"/>
      <c r="B42" s="39" t="s">
        <v>15</v>
      </c>
      <c r="C42" s="40"/>
      <c r="D42" s="40"/>
      <c r="E42" s="40"/>
      <c r="F42" s="41"/>
      <c r="G42" s="40"/>
      <c r="H42" s="40"/>
      <c r="I42" s="42"/>
      <c r="J42" s="42"/>
      <c r="K42" s="40"/>
      <c r="L42" s="43"/>
      <c r="M42" s="40"/>
      <c r="N42" s="42"/>
      <c r="O42" s="42"/>
      <c r="P42" s="42"/>
      <c r="Q42" s="42"/>
      <c r="R42" s="42"/>
      <c r="S42" s="42"/>
      <c r="T42" s="42"/>
      <c r="U42" s="42"/>
      <c r="V42" s="42"/>
      <c r="W42" s="42"/>
      <c r="X42" s="42"/>
      <c r="Y42" s="42"/>
      <c r="Z42" s="42"/>
      <c r="AA42" s="42"/>
      <c r="AB42" s="42"/>
      <c r="AC42" s="42"/>
      <c r="AD42" s="42"/>
      <c r="AE42" s="16"/>
      <c r="AF42" s="16"/>
      <c r="AG42" s="16"/>
      <c r="AH42" s="16"/>
      <c r="AI42" s="16"/>
      <c r="AJ42" s="16"/>
      <c r="AK42" s="16"/>
      <c r="AL42" s="16"/>
      <c r="AM42" s="16"/>
      <c r="AN42" s="16"/>
      <c r="AO42" s="16"/>
      <c r="AP42" s="1"/>
    </row>
    <row r="43" spans="1:46" x14ac:dyDescent="0.2">
      <c r="A43" s="10"/>
      <c r="B43" s="10"/>
      <c r="C43" s="10"/>
      <c r="D43" s="10"/>
      <c r="E43" s="10"/>
      <c r="F43" s="10"/>
      <c r="N43" s="18"/>
    </row>
    <row r="44" spans="1:46" x14ac:dyDescent="0.2">
      <c r="A44" s="10"/>
      <c r="B44" s="10"/>
      <c r="C44" s="10"/>
      <c r="D44" s="10"/>
      <c r="E44" s="10"/>
      <c r="F44" s="10"/>
      <c r="N44" s="18"/>
    </row>
    <row r="45" spans="1:46" s="18" customFormat="1" x14ac:dyDescent="0.2">
      <c r="A45" s="10"/>
      <c r="B45" s="10"/>
      <c r="C45" s="10"/>
      <c r="D45" s="10"/>
      <c r="E45" s="10"/>
      <c r="F45" s="10"/>
      <c r="G45" s="1"/>
      <c r="H45" s="1"/>
      <c r="I45" s="1"/>
      <c r="J45" s="2"/>
      <c r="K45" s="1"/>
      <c r="L45" s="3"/>
      <c r="M45" s="1"/>
      <c r="AP45" s="1"/>
      <c r="AQ45" s="1"/>
      <c r="AR45" s="1"/>
      <c r="AS45" s="1"/>
      <c r="AT45" s="1"/>
    </row>
    <row r="46" spans="1:46" s="18" customFormat="1" x14ac:dyDescent="0.2">
      <c r="A46" s="10"/>
      <c r="B46" s="10"/>
      <c r="C46" s="10"/>
      <c r="D46" s="10"/>
      <c r="E46" s="10"/>
      <c r="F46" s="10"/>
      <c r="G46" s="1"/>
      <c r="H46" s="1"/>
      <c r="I46" s="1"/>
      <c r="J46" s="2"/>
      <c r="K46" s="1"/>
      <c r="L46" s="3"/>
      <c r="M46" s="1"/>
      <c r="AP46" s="1"/>
      <c r="AQ46" s="1"/>
      <c r="AR46" s="1"/>
      <c r="AS46" s="1"/>
      <c r="AT46" s="1"/>
    </row>
    <row r="47" spans="1:46" s="18" customFormat="1" x14ac:dyDescent="0.2">
      <c r="A47" s="10"/>
      <c r="B47" s="10"/>
      <c r="C47" s="10"/>
      <c r="D47" s="10"/>
      <c r="E47" s="10"/>
      <c r="F47" s="10"/>
      <c r="G47" s="1"/>
      <c r="H47" s="1"/>
      <c r="I47" s="1"/>
      <c r="J47" s="2"/>
      <c r="K47" s="1"/>
      <c r="L47" s="3"/>
      <c r="M47" s="1"/>
      <c r="AP47" s="1"/>
      <c r="AQ47" s="1"/>
      <c r="AR47" s="1"/>
      <c r="AS47" s="1"/>
      <c r="AT47" s="1"/>
    </row>
    <row r="48" spans="1:46" s="18" customFormat="1" x14ac:dyDescent="0.2">
      <c r="A48" s="10"/>
      <c r="B48" s="10"/>
      <c r="C48" s="10"/>
      <c r="D48" s="10"/>
      <c r="E48" s="10"/>
      <c r="F48" s="10"/>
      <c r="G48" s="1"/>
      <c r="H48" s="1"/>
      <c r="I48" s="1"/>
      <c r="J48" s="2"/>
      <c r="K48" s="1"/>
      <c r="L48" s="3"/>
      <c r="M48" s="1"/>
      <c r="AP48" s="1"/>
      <c r="AQ48" s="1"/>
      <c r="AR48" s="1"/>
      <c r="AS48" s="1"/>
      <c r="AT48" s="1"/>
    </row>
    <row r="49" spans="1:46" s="18" customFormat="1" x14ac:dyDescent="0.2">
      <c r="A49" s="10"/>
      <c r="B49" s="10"/>
      <c r="C49" s="10"/>
      <c r="D49" s="10"/>
      <c r="E49" s="10"/>
      <c r="F49" s="10"/>
      <c r="G49" s="1"/>
      <c r="H49" s="1"/>
      <c r="I49" s="1"/>
      <c r="J49" s="2"/>
      <c r="K49" s="1"/>
      <c r="L49" s="3"/>
      <c r="M49" s="1"/>
      <c r="AP49" s="1"/>
      <c r="AQ49" s="1"/>
      <c r="AR49" s="1"/>
      <c r="AS49" s="1"/>
      <c r="AT49" s="1"/>
    </row>
    <row r="50" spans="1:46" s="18" customFormat="1" x14ac:dyDescent="0.2">
      <c r="A50" s="10"/>
      <c r="B50" s="10"/>
      <c r="C50" s="10"/>
      <c r="D50" s="10"/>
      <c r="E50" s="10"/>
      <c r="F50" s="10"/>
      <c r="G50" s="1"/>
      <c r="H50" s="1"/>
      <c r="I50" s="1"/>
      <c r="J50" s="2"/>
      <c r="K50" s="1"/>
      <c r="L50" s="3"/>
      <c r="M50" s="1"/>
      <c r="AP50" s="1"/>
      <c r="AQ50" s="1"/>
      <c r="AR50" s="1"/>
      <c r="AS50" s="1"/>
      <c r="AT50" s="1"/>
    </row>
    <row r="51" spans="1:46" s="18" customFormat="1" x14ac:dyDescent="0.2">
      <c r="A51" s="10"/>
      <c r="B51" s="10"/>
      <c r="C51" s="10"/>
      <c r="D51" s="10"/>
      <c r="E51" s="10"/>
      <c r="F51" s="10"/>
      <c r="G51" s="1"/>
      <c r="H51" s="1"/>
      <c r="I51" s="1"/>
      <c r="J51" s="2"/>
      <c r="K51" s="1"/>
      <c r="L51" s="3"/>
      <c r="M51" s="1"/>
      <c r="AP51" s="1"/>
      <c r="AQ51" s="1"/>
      <c r="AR51" s="1"/>
      <c r="AS51" s="1"/>
      <c r="AT51" s="1"/>
    </row>
    <row r="52" spans="1:46" s="18" customFormat="1" x14ac:dyDescent="0.2">
      <c r="A52" s="10"/>
      <c r="B52" s="10"/>
      <c r="C52" s="10"/>
      <c r="D52" s="10"/>
      <c r="E52" s="10"/>
      <c r="F52" s="10"/>
      <c r="G52" s="1"/>
      <c r="H52" s="1"/>
      <c r="I52" s="1"/>
      <c r="J52" s="2"/>
      <c r="K52" s="1"/>
      <c r="L52" s="3"/>
      <c r="M52" s="1"/>
      <c r="AP52" s="1"/>
      <c r="AQ52" s="1"/>
      <c r="AR52" s="1"/>
      <c r="AS52" s="1"/>
      <c r="AT52" s="1"/>
    </row>
    <row r="53" spans="1:46" s="18" customFormat="1" x14ac:dyDescent="0.2">
      <c r="A53" s="10"/>
      <c r="B53" s="10"/>
      <c r="C53" s="10"/>
      <c r="D53" s="10"/>
      <c r="E53" s="10"/>
      <c r="F53" s="10"/>
      <c r="G53" s="1"/>
      <c r="H53" s="1"/>
      <c r="I53" s="1"/>
      <c r="J53" s="2"/>
      <c r="K53" s="1"/>
      <c r="L53" s="3"/>
      <c r="M53" s="1"/>
      <c r="AP53" s="1"/>
      <c r="AQ53" s="1"/>
      <c r="AR53" s="1"/>
      <c r="AS53" s="1"/>
      <c r="AT53" s="1"/>
    </row>
    <row r="54" spans="1:46" s="18" customFormat="1" x14ac:dyDescent="0.2">
      <c r="A54" s="10"/>
      <c r="B54" s="10"/>
      <c r="C54" s="10"/>
      <c r="D54" s="10"/>
      <c r="E54" s="10"/>
      <c r="F54" s="10"/>
      <c r="G54" s="1"/>
      <c r="H54" s="1"/>
      <c r="I54" s="1"/>
      <c r="J54" s="2"/>
      <c r="K54" s="1"/>
      <c r="L54" s="3"/>
      <c r="M54" s="1"/>
      <c r="AP54" s="1"/>
      <c r="AQ54" s="1"/>
      <c r="AR54" s="1"/>
      <c r="AS54" s="1"/>
      <c r="AT54" s="1"/>
    </row>
    <row r="55" spans="1:46" s="18" customFormat="1" x14ac:dyDescent="0.2">
      <c r="A55" s="10"/>
      <c r="B55" s="10"/>
      <c r="C55" s="10"/>
      <c r="D55" s="10"/>
      <c r="E55" s="10"/>
      <c r="F55" s="10"/>
      <c r="G55" s="1"/>
      <c r="H55" s="1"/>
      <c r="I55" s="1"/>
      <c r="J55" s="2"/>
      <c r="K55" s="1"/>
      <c r="L55" s="3"/>
      <c r="M55" s="1"/>
      <c r="AP55" s="1"/>
      <c r="AQ55" s="1"/>
      <c r="AR55" s="1"/>
      <c r="AS55" s="1"/>
      <c r="AT55" s="1"/>
    </row>
    <row r="56" spans="1:46" s="18" customFormat="1" x14ac:dyDescent="0.2">
      <c r="A56" s="10"/>
      <c r="B56" s="10"/>
      <c r="C56" s="10"/>
      <c r="D56" s="10"/>
      <c r="E56" s="10"/>
      <c r="F56" s="10"/>
      <c r="G56" s="1"/>
      <c r="H56" s="1"/>
      <c r="I56" s="1"/>
      <c r="J56" s="2"/>
      <c r="K56" s="1"/>
      <c r="L56" s="3"/>
      <c r="M56" s="1"/>
      <c r="AP56" s="1"/>
      <c r="AQ56" s="1"/>
      <c r="AR56" s="1"/>
      <c r="AS56" s="1"/>
      <c r="AT56" s="1"/>
    </row>
    <row r="57" spans="1:46" s="18" customFormat="1" x14ac:dyDescent="0.2">
      <c r="A57" s="10"/>
      <c r="B57" s="10"/>
      <c r="C57" s="10"/>
      <c r="D57" s="10"/>
      <c r="E57" s="10"/>
      <c r="F57" s="10"/>
      <c r="G57" s="1"/>
      <c r="H57" s="1"/>
      <c r="I57" s="1"/>
      <c r="J57" s="2"/>
      <c r="K57" s="1"/>
      <c r="L57" s="3"/>
      <c r="M57" s="1"/>
      <c r="AP57" s="1"/>
      <c r="AQ57" s="1"/>
      <c r="AR57" s="1"/>
      <c r="AS57" s="1"/>
      <c r="AT57" s="1"/>
    </row>
    <row r="58" spans="1:46" s="18" customFormat="1" x14ac:dyDescent="0.2">
      <c r="A58" s="10"/>
      <c r="B58" s="10"/>
      <c r="C58" s="10"/>
      <c r="D58" s="10"/>
      <c r="E58" s="10"/>
      <c r="F58" s="10"/>
      <c r="G58" s="1"/>
      <c r="H58" s="1"/>
      <c r="I58" s="1"/>
      <c r="J58" s="2"/>
      <c r="K58" s="1"/>
      <c r="L58" s="3"/>
      <c r="M58" s="1"/>
      <c r="AP58" s="1"/>
      <c r="AQ58" s="1"/>
      <c r="AR58" s="1"/>
      <c r="AS58" s="1"/>
      <c r="AT58" s="1"/>
    </row>
    <row r="59" spans="1:46" s="18" customFormat="1" x14ac:dyDescent="0.2">
      <c r="A59" s="10"/>
      <c r="B59" s="10"/>
      <c r="C59" s="10"/>
      <c r="D59" s="10"/>
      <c r="E59" s="10"/>
      <c r="F59" s="10"/>
      <c r="G59" s="1"/>
      <c r="H59" s="1"/>
      <c r="I59" s="1"/>
      <c r="J59" s="2"/>
      <c r="K59" s="1"/>
      <c r="L59" s="3"/>
      <c r="M59" s="1"/>
      <c r="AP59" s="1"/>
      <c r="AQ59" s="1"/>
      <c r="AR59" s="1"/>
      <c r="AS59" s="1"/>
      <c r="AT59" s="1"/>
    </row>
    <row r="60" spans="1:46" s="18" customFormat="1" x14ac:dyDescent="0.2">
      <c r="A60" s="10"/>
      <c r="B60" s="10"/>
      <c r="C60" s="10"/>
      <c r="D60" s="10"/>
      <c r="E60" s="10"/>
      <c r="F60" s="10"/>
      <c r="G60" s="1"/>
      <c r="H60" s="1"/>
      <c r="I60" s="1"/>
      <c r="J60" s="2"/>
      <c r="K60" s="1"/>
      <c r="L60" s="3"/>
      <c r="M60" s="1"/>
      <c r="AP60" s="1"/>
      <c r="AQ60" s="1"/>
      <c r="AR60" s="1"/>
      <c r="AS60" s="1"/>
      <c r="AT60" s="1"/>
    </row>
    <row r="61" spans="1:46" s="18" customFormat="1" x14ac:dyDescent="0.2">
      <c r="A61" s="10"/>
      <c r="B61" s="10"/>
      <c r="C61" s="10"/>
      <c r="D61" s="10"/>
      <c r="E61" s="10"/>
      <c r="F61" s="10"/>
      <c r="G61" s="1"/>
      <c r="H61" s="1"/>
      <c r="I61" s="1"/>
      <c r="J61" s="2"/>
      <c r="K61" s="1"/>
      <c r="L61" s="3"/>
      <c r="M61" s="1"/>
      <c r="AP61" s="1"/>
      <c r="AQ61" s="1"/>
      <c r="AR61" s="1"/>
      <c r="AS61" s="1"/>
      <c r="AT61" s="1"/>
    </row>
    <row r="62" spans="1:46" s="18" customFormat="1" x14ac:dyDescent="0.2">
      <c r="A62" s="10"/>
      <c r="B62" s="10"/>
      <c r="C62" s="10"/>
      <c r="D62" s="10"/>
      <c r="E62" s="10"/>
      <c r="F62" s="10"/>
      <c r="G62" s="1"/>
      <c r="H62" s="1"/>
      <c r="I62" s="1"/>
      <c r="J62" s="2"/>
      <c r="K62" s="1"/>
      <c r="L62" s="3"/>
      <c r="M62" s="1"/>
      <c r="AP62" s="1"/>
      <c r="AQ62" s="1"/>
      <c r="AR62" s="1"/>
      <c r="AS62" s="1"/>
      <c r="AT62" s="1"/>
    </row>
    <row r="63" spans="1:46" s="18" customFormat="1" x14ac:dyDescent="0.2">
      <c r="A63" s="10"/>
      <c r="B63" s="10"/>
      <c r="C63" s="10"/>
      <c r="D63" s="10"/>
      <c r="E63" s="10"/>
      <c r="F63" s="10"/>
      <c r="G63" s="1"/>
      <c r="H63" s="1"/>
      <c r="I63" s="1"/>
      <c r="J63" s="2"/>
      <c r="K63" s="1"/>
      <c r="L63" s="3"/>
      <c r="M63" s="1"/>
      <c r="AP63" s="1"/>
      <c r="AQ63" s="1"/>
      <c r="AR63" s="1"/>
      <c r="AS63" s="1"/>
      <c r="AT63" s="1"/>
    </row>
    <row r="64" spans="1:46" s="18" customFormat="1" x14ac:dyDescent="0.2">
      <c r="A64" s="10"/>
      <c r="B64" s="10"/>
      <c r="C64" s="10"/>
      <c r="D64" s="10"/>
      <c r="E64" s="10"/>
      <c r="F64" s="10"/>
      <c r="G64" s="1"/>
      <c r="H64" s="1"/>
      <c r="I64" s="1"/>
      <c r="J64" s="2"/>
      <c r="K64" s="1"/>
      <c r="L64" s="3"/>
      <c r="M64" s="1"/>
      <c r="AP64" s="1"/>
      <c r="AQ64" s="1"/>
      <c r="AR64" s="1"/>
      <c r="AS64" s="1"/>
      <c r="AT64" s="1"/>
    </row>
    <row r="65" spans="1:46" s="18" customFormat="1" x14ac:dyDescent="0.2">
      <c r="A65" s="10"/>
      <c r="B65" s="10"/>
      <c r="C65" s="10"/>
      <c r="D65" s="10"/>
      <c r="E65" s="10"/>
      <c r="F65" s="10"/>
      <c r="G65" s="1"/>
      <c r="H65" s="1"/>
      <c r="I65" s="1"/>
      <c r="J65" s="2"/>
      <c r="K65" s="1"/>
      <c r="L65" s="3"/>
      <c r="M65" s="1"/>
      <c r="AP65" s="1"/>
      <c r="AQ65" s="1"/>
      <c r="AR65" s="1"/>
      <c r="AS65" s="1"/>
      <c r="AT65" s="1"/>
    </row>
    <row r="66" spans="1:46" s="18" customFormat="1" x14ac:dyDescent="0.2">
      <c r="A66" s="10"/>
      <c r="B66" s="10"/>
      <c r="C66" s="10"/>
      <c r="D66" s="10"/>
      <c r="E66" s="10"/>
      <c r="F66" s="10"/>
      <c r="G66" s="1"/>
      <c r="H66" s="1"/>
      <c r="I66" s="1"/>
      <c r="J66" s="2"/>
      <c r="K66" s="1"/>
      <c r="L66" s="3"/>
      <c r="M66" s="1"/>
      <c r="AP66" s="1"/>
      <c r="AQ66" s="1"/>
      <c r="AR66" s="1"/>
      <c r="AS66" s="1"/>
      <c r="AT66" s="1"/>
    </row>
    <row r="67" spans="1:46" s="18" customFormat="1" x14ac:dyDescent="0.2">
      <c r="A67" s="10"/>
      <c r="B67" s="10"/>
      <c r="C67" s="10"/>
      <c r="D67" s="10"/>
      <c r="E67" s="10"/>
      <c r="F67" s="10"/>
      <c r="G67" s="1"/>
      <c r="H67" s="1"/>
      <c r="I67" s="1"/>
      <c r="J67" s="2"/>
      <c r="K67" s="1"/>
      <c r="L67" s="3"/>
      <c r="M67" s="1"/>
      <c r="AP67" s="1"/>
      <c r="AQ67" s="1"/>
      <c r="AR67" s="1"/>
      <c r="AS67" s="1"/>
      <c r="AT67" s="1"/>
    </row>
    <row r="68" spans="1:46" s="18" customFormat="1" x14ac:dyDescent="0.2">
      <c r="A68" s="10"/>
      <c r="B68" s="10"/>
      <c r="C68" s="10"/>
      <c r="D68" s="10"/>
      <c r="E68" s="10"/>
      <c r="F68" s="10"/>
      <c r="G68" s="1"/>
      <c r="H68" s="1"/>
      <c r="I68" s="1"/>
      <c r="J68" s="2"/>
      <c r="K68" s="1"/>
      <c r="L68" s="3"/>
      <c r="M68" s="1"/>
      <c r="AP68" s="1"/>
      <c r="AQ68" s="1"/>
      <c r="AR68" s="1"/>
      <c r="AS68" s="1"/>
      <c r="AT68" s="1"/>
    </row>
    <row r="69" spans="1:46" s="18" customFormat="1" x14ac:dyDescent="0.2">
      <c r="A69" s="10"/>
      <c r="B69" s="10"/>
      <c r="C69" s="10"/>
      <c r="D69" s="10"/>
      <c r="E69" s="10"/>
      <c r="F69" s="10"/>
      <c r="G69" s="1"/>
      <c r="H69" s="1"/>
      <c r="I69" s="1"/>
      <c r="J69" s="2"/>
      <c r="K69" s="1"/>
      <c r="L69" s="3"/>
      <c r="M69" s="1"/>
      <c r="AP69" s="1"/>
      <c r="AQ69" s="1"/>
      <c r="AR69" s="1"/>
      <c r="AS69" s="1"/>
      <c r="AT69" s="1"/>
    </row>
    <row r="70" spans="1:46" s="18" customFormat="1" x14ac:dyDescent="0.2">
      <c r="A70" s="10"/>
      <c r="B70" s="10"/>
      <c r="C70" s="10"/>
      <c r="D70" s="10"/>
      <c r="E70" s="10"/>
      <c r="F70" s="10"/>
      <c r="G70" s="1"/>
      <c r="H70" s="1"/>
      <c r="I70" s="1"/>
      <c r="J70" s="2"/>
      <c r="K70" s="1"/>
      <c r="L70" s="3"/>
      <c r="M70" s="1"/>
      <c r="AP70" s="1"/>
      <c r="AQ70" s="1"/>
      <c r="AR70" s="1"/>
      <c r="AS70" s="1"/>
      <c r="AT70" s="1"/>
    </row>
    <row r="71" spans="1:46" s="18" customFormat="1" x14ac:dyDescent="0.2">
      <c r="A71" s="10"/>
      <c r="B71" s="10"/>
      <c r="C71" s="10"/>
      <c r="D71" s="10"/>
      <c r="E71" s="10"/>
      <c r="F71" s="10"/>
      <c r="G71" s="1"/>
      <c r="H71" s="1"/>
      <c r="I71" s="1"/>
      <c r="J71" s="2"/>
      <c r="K71" s="1"/>
      <c r="L71" s="3"/>
      <c r="M71" s="1"/>
      <c r="AP71" s="1"/>
      <c r="AQ71" s="1"/>
      <c r="AR71" s="1"/>
      <c r="AS71" s="1"/>
      <c r="AT71" s="1"/>
    </row>
    <row r="72" spans="1:46" s="18" customFormat="1" x14ac:dyDescent="0.2">
      <c r="A72" s="10"/>
      <c r="B72" s="10"/>
      <c r="C72" s="10"/>
      <c r="D72" s="10"/>
      <c r="E72" s="10"/>
      <c r="F72" s="10"/>
      <c r="G72" s="1"/>
      <c r="H72" s="1"/>
      <c r="I72" s="1"/>
      <c r="J72" s="2"/>
      <c r="K72" s="1"/>
      <c r="L72" s="3"/>
      <c r="M72" s="1"/>
      <c r="AP72" s="1"/>
      <c r="AQ72" s="1"/>
      <c r="AR72" s="1"/>
      <c r="AS72" s="1"/>
      <c r="AT72" s="1"/>
    </row>
    <row r="73" spans="1:46" s="18" customFormat="1" x14ac:dyDescent="0.2">
      <c r="A73" s="10"/>
      <c r="B73" s="10"/>
      <c r="C73" s="10"/>
      <c r="D73" s="10"/>
      <c r="E73" s="10"/>
      <c r="F73" s="10"/>
      <c r="G73" s="1"/>
      <c r="H73" s="1"/>
      <c r="I73" s="1"/>
      <c r="J73" s="2"/>
      <c r="K73" s="1"/>
      <c r="L73" s="3"/>
      <c r="M73" s="1"/>
      <c r="AP73" s="1"/>
      <c r="AQ73" s="1"/>
      <c r="AR73" s="1"/>
      <c r="AS73" s="1"/>
      <c r="AT73" s="1"/>
    </row>
    <row r="74" spans="1:46" s="18" customFormat="1" x14ac:dyDescent="0.2">
      <c r="A74" s="10"/>
      <c r="B74" s="10"/>
      <c r="C74" s="10"/>
      <c r="D74" s="10"/>
      <c r="E74" s="10"/>
      <c r="F74" s="10"/>
      <c r="G74" s="1"/>
      <c r="H74" s="1"/>
      <c r="I74" s="1"/>
      <c r="J74" s="2"/>
      <c r="K74" s="1"/>
      <c r="L74" s="3"/>
      <c r="M74" s="1"/>
      <c r="AP74" s="1"/>
      <c r="AQ74" s="1"/>
      <c r="AR74" s="1"/>
      <c r="AS74" s="1"/>
      <c r="AT74" s="1"/>
    </row>
    <row r="75" spans="1:46" s="18" customFormat="1" x14ac:dyDescent="0.2">
      <c r="A75" s="10"/>
      <c r="B75" s="10"/>
      <c r="C75" s="10"/>
      <c r="D75" s="10"/>
      <c r="E75" s="10"/>
      <c r="F75" s="10"/>
      <c r="G75" s="1"/>
      <c r="H75" s="1"/>
      <c r="I75" s="1"/>
      <c r="J75" s="2"/>
      <c r="K75" s="1"/>
      <c r="L75" s="3"/>
      <c r="M75" s="1"/>
      <c r="AP75" s="1"/>
      <c r="AQ75" s="1"/>
      <c r="AR75" s="1"/>
      <c r="AS75" s="1"/>
      <c r="AT75" s="1"/>
    </row>
    <row r="76" spans="1:46" s="18" customFormat="1" x14ac:dyDescent="0.2">
      <c r="A76" s="10"/>
      <c r="B76" s="10"/>
      <c r="C76" s="10"/>
      <c r="D76" s="10"/>
      <c r="E76" s="10"/>
      <c r="F76" s="10"/>
      <c r="G76" s="1"/>
      <c r="H76" s="1"/>
      <c r="I76" s="1"/>
      <c r="J76" s="2"/>
      <c r="K76" s="1"/>
      <c r="L76" s="3"/>
      <c r="M76" s="1"/>
      <c r="AP76" s="1"/>
      <c r="AQ76" s="1"/>
      <c r="AR76" s="1"/>
      <c r="AS76" s="1"/>
      <c r="AT76" s="1"/>
    </row>
    <row r="77" spans="1:46" s="18" customFormat="1" x14ac:dyDescent="0.2">
      <c r="A77" s="10"/>
      <c r="B77" s="10"/>
      <c r="C77" s="10"/>
      <c r="D77" s="10"/>
      <c r="E77" s="10"/>
      <c r="F77" s="10"/>
      <c r="G77" s="1"/>
      <c r="H77" s="1"/>
      <c r="I77" s="1"/>
      <c r="J77" s="2"/>
      <c r="K77" s="1"/>
      <c r="L77" s="3"/>
      <c r="M77" s="1"/>
      <c r="AP77" s="1"/>
      <c r="AQ77" s="1"/>
      <c r="AR77" s="1"/>
      <c r="AS77" s="1"/>
      <c r="AT77" s="1"/>
    </row>
    <row r="78" spans="1:46" s="18" customFormat="1" x14ac:dyDescent="0.2">
      <c r="A78" s="10"/>
      <c r="B78" s="10"/>
      <c r="C78" s="10"/>
      <c r="D78" s="10"/>
      <c r="E78" s="10"/>
      <c r="F78" s="10"/>
      <c r="G78" s="1"/>
      <c r="H78" s="1"/>
      <c r="I78" s="1"/>
      <c r="J78" s="2"/>
      <c r="K78" s="1"/>
      <c r="L78" s="3"/>
      <c r="M78" s="1"/>
      <c r="AP78" s="1"/>
      <c r="AQ78" s="1"/>
      <c r="AR78" s="1"/>
      <c r="AS78" s="1"/>
      <c r="AT78" s="1"/>
    </row>
    <row r="79" spans="1:46" s="18" customFormat="1" x14ac:dyDescent="0.2">
      <c r="A79" s="10"/>
      <c r="B79" s="10"/>
      <c r="C79" s="10"/>
      <c r="D79" s="10"/>
      <c r="E79" s="10"/>
      <c r="F79" s="10"/>
      <c r="G79" s="1"/>
      <c r="H79" s="1"/>
      <c r="I79" s="1"/>
      <c r="J79" s="2"/>
      <c r="K79" s="1"/>
      <c r="L79" s="3"/>
      <c r="M79" s="1"/>
      <c r="AP79" s="1"/>
      <c r="AQ79" s="1"/>
      <c r="AR79" s="1"/>
      <c r="AS79" s="1"/>
      <c r="AT79" s="1"/>
    </row>
    <row r="80" spans="1:46" s="18" customFormat="1" x14ac:dyDescent="0.2">
      <c r="A80" s="10"/>
      <c r="B80" s="10"/>
      <c r="C80" s="10"/>
      <c r="D80" s="10"/>
      <c r="E80" s="10"/>
      <c r="F80" s="10"/>
      <c r="G80" s="1"/>
      <c r="H80" s="1"/>
      <c r="I80" s="1"/>
      <c r="J80" s="2"/>
      <c r="K80" s="1"/>
      <c r="L80" s="3"/>
      <c r="M80" s="1"/>
      <c r="AP80" s="1"/>
      <c r="AQ80" s="1"/>
      <c r="AR80" s="1"/>
      <c r="AS80" s="1"/>
      <c r="AT80" s="1"/>
    </row>
    <row r="81" spans="1:46" s="18" customFormat="1" x14ac:dyDescent="0.2">
      <c r="A81" s="10"/>
      <c r="B81" s="10"/>
      <c r="C81" s="10"/>
      <c r="D81" s="10"/>
      <c r="E81" s="10"/>
      <c r="F81" s="10"/>
      <c r="G81" s="1"/>
      <c r="H81" s="1"/>
      <c r="I81" s="1"/>
      <c r="J81" s="2"/>
      <c r="K81" s="1"/>
      <c r="L81" s="3"/>
      <c r="M81" s="1"/>
      <c r="AP81" s="1"/>
      <c r="AQ81" s="1"/>
      <c r="AR81" s="1"/>
      <c r="AS81" s="1"/>
      <c r="AT81" s="1"/>
    </row>
    <row r="82" spans="1:46" s="18" customFormat="1" x14ac:dyDescent="0.2">
      <c r="A82" s="10"/>
      <c r="B82" s="10"/>
      <c r="C82" s="10"/>
      <c r="D82" s="10"/>
      <c r="E82" s="10"/>
      <c r="F82" s="10"/>
      <c r="G82" s="1"/>
      <c r="H82" s="1"/>
      <c r="I82" s="1"/>
      <c r="J82" s="2"/>
      <c r="K82" s="1"/>
      <c r="L82" s="3"/>
      <c r="M82" s="1"/>
      <c r="AP82" s="1"/>
      <c r="AQ82" s="1"/>
      <c r="AR82" s="1"/>
      <c r="AS82" s="1"/>
      <c r="AT82" s="1"/>
    </row>
    <row r="83" spans="1:46" s="18" customFormat="1" x14ac:dyDescent="0.2">
      <c r="A83" s="10"/>
      <c r="B83" s="10"/>
      <c r="C83" s="10"/>
      <c r="D83" s="10"/>
      <c r="E83" s="10"/>
      <c r="F83" s="10"/>
      <c r="G83" s="1"/>
      <c r="H83" s="1"/>
      <c r="I83" s="1"/>
      <c r="J83" s="2"/>
      <c r="K83" s="1"/>
      <c r="L83" s="3"/>
      <c r="M83" s="1"/>
      <c r="AP83" s="1"/>
      <c r="AQ83" s="1"/>
      <c r="AR83" s="1"/>
      <c r="AS83" s="1"/>
      <c r="AT83" s="1"/>
    </row>
    <row r="84" spans="1:46" s="18" customFormat="1" x14ac:dyDescent="0.2">
      <c r="A84" s="10"/>
      <c r="B84" s="10"/>
      <c r="C84" s="10"/>
      <c r="D84" s="10"/>
      <c r="E84" s="10"/>
      <c r="F84" s="10"/>
      <c r="G84" s="1"/>
      <c r="H84" s="1"/>
      <c r="I84" s="1"/>
      <c r="J84" s="2"/>
      <c r="K84" s="1"/>
      <c r="L84" s="3"/>
      <c r="M84" s="1"/>
      <c r="AP84" s="1"/>
      <c r="AQ84" s="1"/>
      <c r="AR84" s="1"/>
      <c r="AS84" s="1"/>
      <c r="AT84" s="1"/>
    </row>
    <row r="85" spans="1:46" s="18" customFormat="1" x14ac:dyDescent="0.2">
      <c r="A85" s="10"/>
      <c r="B85" s="10"/>
      <c r="C85" s="10"/>
      <c r="D85" s="10"/>
      <c r="E85" s="10"/>
      <c r="F85" s="10"/>
      <c r="G85" s="1"/>
      <c r="H85" s="1"/>
      <c r="I85" s="1"/>
      <c r="J85" s="2"/>
      <c r="K85" s="1"/>
      <c r="L85" s="3"/>
      <c r="M85" s="1"/>
      <c r="AP85" s="1"/>
      <c r="AQ85" s="1"/>
      <c r="AR85" s="1"/>
      <c r="AS85" s="1"/>
      <c r="AT85" s="1"/>
    </row>
    <row r="86" spans="1:46" s="18" customFormat="1" x14ac:dyDescent="0.2">
      <c r="A86" s="10"/>
      <c r="B86" s="10"/>
      <c r="C86" s="10"/>
      <c r="D86" s="10"/>
      <c r="E86" s="10"/>
      <c r="F86" s="10"/>
      <c r="G86" s="1"/>
      <c r="H86" s="1"/>
      <c r="I86" s="1"/>
      <c r="J86" s="2"/>
      <c r="K86" s="1"/>
      <c r="L86" s="3"/>
      <c r="M86" s="1"/>
      <c r="AP86" s="1"/>
      <c r="AQ86" s="1"/>
      <c r="AR86" s="1"/>
      <c r="AS86" s="1"/>
      <c r="AT86" s="1"/>
    </row>
    <row r="87" spans="1:46" s="18" customFormat="1" x14ac:dyDescent="0.2">
      <c r="A87" s="10"/>
      <c r="B87" s="10"/>
      <c r="C87" s="10"/>
      <c r="D87" s="10"/>
      <c r="E87" s="10"/>
      <c r="F87" s="10"/>
      <c r="G87" s="1"/>
      <c r="H87" s="1"/>
      <c r="I87" s="1"/>
      <c r="J87" s="2"/>
      <c r="K87" s="1"/>
      <c r="L87" s="3"/>
      <c r="M87" s="1"/>
      <c r="AP87" s="1"/>
      <c r="AQ87" s="1"/>
      <c r="AR87" s="1"/>
      <c r="AS87" s="1"/>
      <c r="AT87" s="1"/>
    </row>
    <row r="88" spans="1:46" s="18" customFormat="1" x14ac:dyDescent="0.2">
      <c r="A88" s="10"/>
      <c r="B88" s="10"/>
      <c r="C88" s="10"/>
      <c r="D88" s="10"/>
      <c r="E88" s="10"/>
      <c r="F88" s="10"/>
      <c r="G88" s="1"/>
      <c r="H88" s="1"/>
      <c r="I88" s="1"/>
      <c r="J88" s="2"/>
      <c r="K88" s="1"/>
      <c r="L88" s="3"/>
      <c r="M88" s="1"/>
      <c r="AP88" s="1"/>
      <c r="AQ88" s="1"/>
      <c r="AR88" s="1"/>
      <c r="AS88" s="1"/>
      <c r="AT88" s="1"/>
    </row>
    <row r="89" spans="1:46" s="18" customFormat="1" x14ac:dyDescent="0.2">
      <c r="A89" s="10"/>
      <c r="B89" s="10"/>
      <c r="C89" s="10"/>
      <c r="D89" s="10"/>
      <c r="E89" s="10"/>
      <c r="F89" s="10"/>
      <c r="G89" s="1"/>
      <c r="H89" s="1"/>
      <c r="I89" s="1"/>
      <c r="J89" s="2"/>
      <c r="K89" s="1"/>
      <c r="L89" s="3"/>
      <c r="M89" s="1"/>
      <c r="AP89" s="1"/>
      <c r="AQ89" s="1"/>
      <c r="AR89" s="1"/>
      <c r="AS89" s="1"/>
      <c r="AT89" s="1"/>
    </row>
    <row r="90" spans="1:46" s="18" customFormat="1" x14ac:dyDescent="0.2">
      <c r="A90" s="10"/>
      <c r="B90" s="10"/>
      <c r="C90" s="10"/>
      <c r="D90" s="10"/>
      <c r="E90" s="10"/>
      <c r="F90" s="10"/>
      <c r="G90" s="1"/>
      <c r="H90" s="1"/>
      <c r="I90" s="1"/>
      <c r="J90" s="2"/>
      <c r="K90" s="1"/>
      <c r="L90" s="3"/>
      <c r="M90" s="1"/>
      <c r="AP90" s="1"/>
      <c r="AQ90" s="1"/>
      <c r="AR90" s="1"/>
      <c r="AS90" s="1"/>
      <c r="AT90" s="1"/>
    </row>
    <row r="91" spans="1:46" s="18" customFormat="1" x14ac:dyDescent="0.2">
      <c r="A91" s="10"/>
      <c r="B91" s="10"/>
      <c r="C91" s="10"/>
      <c r="D91" s="10"/>
      <c r="E91" s="10"/>
      <c r="F91" s="10"/>
      <c r="G91" s="1"/>
      <c r="H91" s="1"/>
      <c r="I91" s="1"/>
      <c r="J91" s="2"/>
      <c r="K91" s="1"/>
      <c r="L91" s="3"/>
      <c r="M91" s="1"/>
      <c r="AP91" s="1"/>
      <c r="AQ91" s="1"/>
      <c r="AR91" s="1"/>
      <c r="AS91" s="1"/>
      <c r="AT91" s="1"/>
    </row>
    <row r="92" spans="1:46" s="18" customFormat="1" x14ac:dyDescent="0.2">
      <c r="A92" s="10"/>
      <c r="B92" s="10"/>
      <c r="C92" s="10"/>
      <c r="D92" s="10"/>
      <c r="E92" s="10"/>
      <c r="F92" s="10"/>
      <c r="G92" s="1"/>
      <c r="H92" s="1"/>
      <c r="I92" s="1"/>
      <c r="J92" s="2"/>
      <c r="K92" s="1"/>
      <c r="L92" s="3"/>
      <c r="M92" s="1"/>
      <c r="AP92" s="1"/>
      <c r="AQ92" s="1"/>
      <c r="AR92" s="1"/>
      <c r="AS92" s="1"/>
      <c r="AT92" s="1"/>
    </row>
    <row r="93" spans="1:46" s="18" customFormat="1" x14ac:dyDescent="0.2">
      <c r="A93" s="10"/>
      <c r="B93" s="10"/>
      <c r="C93" s="10"/>
      <c r="D93" s="10"/>
      <c r="E93" s="10"/>
      <c r="F93" s="10"/>
      <c r="G93" s="1"/>
      <c r="H93" s="1"/>
      <c r="I93" s="1"/>
      <c r="J93" s="2"/>
      <c r="K93" s="1"/>
      <c r="L93" s="3"/>
      <c r="M93" s="1"/>
      <c r="AP93" s="1"/>
      <c r="AQ93" s="1"/>
      <c r="AR93" s="1"/>
      <c r="AS93" s="1"/>
      <c r="AT93" s="1"/>
    </row>
    <row r="94" spans="1:46" s="18" customFormat="1" x14ac:dyDescent="0.2">
      <c r="A94" s="10"/>
      <c r="B94" s="10"/>
      <c r="C94" s="10"/>
      <c r="D94" s="10"/>
      <c r="E94" s="10"/>
      <c r="F94" s="10"/>
      <c r="G94" s="1"/>
      <c r="H94" s="1"/>
      <c r="I94" s="1"/>
      <c r="J94" s="2"/>
      <c r="K94" s="1"/>
      <c r="L94" s="3"/>
      <c r="M94" s="1"/>
      <c r="AP94" s="1"/>
      <c r="AQ94" s="1"/>
      <c r="AR94" s="1"/>
      <c r="AS94" s="1"/>
      <c r="AT94" s="1"/>
    </row>
    <row r="95" spans="1:46" s="18" customFormat="1" x14ac:dyDescent="0.2">
      <c r="A95" s="10"/>
      <c r="B95" s="10"/>
      <c r="C95" s="10"/>
      <c r="D95" s="10"/>
      <c r="E95" s="10"/>
      <c r="F95" s="10"/>
      <c r="G95" s="1"/>
      <c r="H95" s="1"/>
      <c r="I95" s="1"/>
      <c r="J95" s="2"/>
      <c r="K95" s="1"/>
      <c r="L95" s="3"/>
      <c r="M95" s="1"/>
      <c r="AP95" s="1"/>
      <c r="AQ95" s="1"/>
      <c r="AR95" s="1"/>
      <c r="AS95" s="1"/>
      <c r="AT95" s="1"/>
    </row>
    <row r="96" spans="1:46" s="18" customFormat="1" x14ac:dyDescent="0.2">
      <c r="A96" s="10"/>
      <c r="B96" s="10"/>
      <c r="C96" s="10"/>
      <c r="D96" s="10"/>
      <c r="E96" s="10"/>
      <c r="F96" s="10"/>
      <c r="G96" s="1"/>
      <c r="H96" s="1"/>
      <c r="I96" s="1"/>
      <c r="J96" s="2"/>
      <c r="K96" s="1"/>
      <c r="L96" s="3"/>
      <c r="M96" s="1"/>
      <c r="AP96" s="1"/>
      <c r="AQ96" s="1"/>
      <c r="AR96" s="1"/>
      <c r="AS96" s="1"/>
      <c r="AT96" s="1"/>
    </row>
    <row r="97" spans="1:46" s="18" customFormat="1" x14ac:dyDescent="0.2">
      <c r="A97" s="10"/>
      <c r="B97" s="10"/>
      <c r="C97" s="10"/>
      <c r="D97" s="10"/>
      <c r="E97" s="10"/>
      <c r="F97" s="10"/>
      <c r="G97" s="1"/>
      <c r="H97" s="1"/>
      <c r="I97" s="1"/>
      <c r="J97" s="2"/>
      <c r="K97" s="1"/>
      <c r="L97" s="3"/>
      <c r="M97" s="1"/>
      <c r="AP97" s="1"/>
      <c r="AQ97" s="1"/>
      <c r="AR97" s="1"/>
      <c r="AS97" s="1"/>
      <c r="AT97" s="1"/>
    </row>
    <row r="98" spans="1:46" s="18" customFormat="1" x14ac:dyDescent="0.2">
      <c r="A98" s="10"/>
      <c r="B98" s="10"/>
      <c r="C98" s="10"/>
      <c r="D98" s="10"/>
      <c r="E98" s="10"/>
      <c r="F98" s="10"/>
      <c r="G98" s="1"/>
      <c r="H98" s="1"/>
      <c r="I98" s="1"/>
      <c r="J98" s="2"/>
      <c r="K98" s="1"/>
      <c r="L98" s="3"/>
      <c r="M98" s="1"/>
      <c r="AP98" s="1"/>
      <c r="AQ98" s="1"/>
      <c r="AR98" s="1"/>
      <c r="AS98" s="1"/>
      <c r="AT98" s="1"/>
    </row>
    <row r="99" spans="1:46" s="18" customFormat="1" x14ac:dyDescent="0.2">
      <c r="A99" s="10"/>
      <c r="B99" s="10"/>
      <c r="C99" s="10"/>
      <c r="D99" s="10"/>
      <c r="E99" s="10"/>
      <c r="F99" s="10"/>
      <c r="G99" s="1"/>
      <c r="H99" s="1"/>
      <c r="I99" s="1"/>
      <c r="J99" s="2"/>
      <c r="K99" s="1"/>
      <c r="L99" s="3"/>
      <c r="M99" s="1"/>
      <c r="AP99" s="1"/>
      <c r="AQ99" s="1"/>
      <c r="AR99" s="1"/>
      <c r="AS99" s="1"/>
      <c r="AT99" s="1"/>
    </row>
    <row r="100" spans="1:46" s="18" customFormat="1" x14ac:dyDescent="0.2">
      <c r="A100" s="10"/>
      <c r="B100" s="10"/>
      <c r="C100" s="10"/>
      <c r="D100" s="10"/>
      <c r="E100" s="10"/>
      <c r="F100" s="10"/>
      <c r="G100" s="1"/>
      <c r="H100" s="1"/>
      <c r="I100" s="1"/>
      <c r="J100" s="2"/>
      <c r="K100" s="1"/>
      <c r="L100" s="3"/>
      <c r="M100" s="1"/>
      <c r="AP100" s="1"/>
      <c r="AQ100" s="1"/>
      <c r="AR100" s="1"/>
      <c r="AS100" s="1"/>
      <c r="AT100" s="1"/>
    </row>
    <row r="101" spans="1:46" s="18" customFormat="1" x14ac:dyDescent="0.2">
      <c r="A101" s="10"/>
      <c r="B101" s="10"/>
      <c r="C101" s="10"/>
      <c r="D101" s="10"/>
      <c r="E101" s="10"/>
      <c r="F101" s="10"/>
      <c r="G101" s="1"/>
      <c r="H101" s="1"/>
      <c r="I101" s="1"/>
      <c r="J101" s="2"/>
      <c r="K101" s="1"/>
      <c r="L101" s="3"/>
      <c r="M101" s="1"/>
      <c r="AP101" s="1"/>
      <c r="AQ101" s="1"/>
      <c r="AR101" s="1"/>
      <c r="AS101" s="1"/>
      <c r="AT101" s="1"/>
    </row>
    <row r="102" spans="1:46" s="18" customFormat="1" x14ac:dyDescent="0.2">
      <c r="A102" s="10"/>
      <c r="B102" s="10"/>
      <c r="C102" s="10"/>
      <c r="D102" s="10"/>
      <c r="E102" s="10"/>
      <c r="F102" s="10"/>
      <c r="G102" s="1"/>
      <c r="H102" s="1"/>
      <c r="I102" s="1"/>
      <c r="J102" s="2"/>
      <c r="K102" s="1"/>
      <c r="L102" s="3"/>
      <c r="M102" s="1"/>
      <c r="AP102" s="1"/>
      <c r="AQ102" s="1"/>
      <c r="AR102" s="1"/>
      <c r="AS102" s="1"/>
      <c r="AT102" s="1"/>
    </row>
    <row r="103" spans="1:46" s="18" customFormat="1" x14ac:dyDescent="0.2">
      <c r="A103" s="10"/>
      <c r="B103" s="10"/>
      <c r="C103" s="10"/>
      <c r="D103" s="10"/>
      <c r="E103" s="10"/>
      <c r="F103" s="10"/>
      <c r="G103" s="1"/>
      <c r="H103" s="1"/>
      <c r="I103" s="1"/>
      <c r="J103" s="2"/>
      <c r="K103" s="1"/>
      <c r="L103" s="3"/>
      <c r="M103" s="1"/>
      <c r="AP103" s="1"/>
      <c r="AQ103" s="1"/>
      <c r="AR103" s="1"/>
      <c r="AS103" s="1"/>
      <c r="AT103" s="1"/>
    </row>
    <row r="104" spans="1:46" s="18" customFormat="1" x14ac:dyDescent="0.2">
      <c r="A104" s="10"/>
      <c r="B104" s="10"/>
      <c r="C104" s="10"/>
      <c r="D104" s="10"/>
      <c r="E104" s="10"/>
      <c r="F104" s="10"/>
      <c r="G104" s="1"/>
      <c r="H104" s="1"/>
      <c r="I104" s="1"/>
      <c r="J104" s="2"/>
      <c r="K104" s="1"/>
      <c r="L104" s="3"/>
      <c r="M104" s="1"/>
      <c r="AP104" s="1"/>
      <c r="AQ104" s="1"/>
      <c r="AR104" s="1"/>
      <c r="AS104" s="1"/>
      <c r="AT104" s="1"/>
    </row>
    <row r="105" spans="1:46" s="18" customFormat="1" x14ac:dyDescent="0.2">
      <c r="A105" s="10"/>
      <c r="B105" s="10"/>
      <c r="C105" s="10"/>
      <c r="D105" s="10"/>
      <c r="E105" s="10"/>
      <c r="F105" s="10"/>
      <c r="G105" s="1"/>
      <c r="H105" s="1"/>
      <c r="I105" s="1"/>
      <c r="J105" s="2"/>
      <c r="K105" s="1"/>
      <c r="L105" s="3"/>
      <c r="M105" s="1"/>
      <c r="AP105" s="1"/>
      <c r="AQ105" s="1"/>
      <c r="AR105" s="1"/>
      <c r="AS105" s="1"/>
      <c r="AT105" s="1"/>
    </row>
    <row r="106" spans="1:46" s="18" customFormat="1" x14ac:dyDescent="0.2">
      <c r="A106" s="10"/>
      <c r="B106" s="10"/>
      <c r="C106" s="10"/>
      <c r="D106" s="10"/>
      <c r="E106" s="10"/>
      <c r="F106" s="10"/>
      <c r="G106" s="1"/>
      <c r="H106" s="1"/>
      <c r="I106" s="1"/>
      <c r="J106" s="2"/>
      <c r="K106" s="1"/>
      <c r="L106" s="3"/>
      <c r="M106" s="1"/>
      <c r="AP106" s="1"/>
      <c r="AQ106" s="1"/>
      <c r="AR106" s="1"/>
      <c r="AS106" s="1"/>
      <c r="AT106" s="1"/>
    </row>
    <row r="107" spans="1:46" s="18" customFormat="1" x14ac:dyDescent="0.2">
      <c r="A107" s="10"/>
      <c r="B107" s="10"/>
      <c r="C107" s="10"/>
      <c r="D107" s="10"/>
      <c r="E107" s="10"/>
      <c r="F107" s="10"/>
      <c r="G107" s="1"/>
      <c r="H107" s="1"/>
      <c r="I107" s="1"/>
      <c r="J107" s="2"/>
      <c r="K107" s="1"/>
      <c r="L107" s="3"/>
      <c r="M107" s="1"/>
      <c r="AP107" s="1"/>
      <c r="AQ107" s="1"/>
      <c r="AR107" s="1"/>
      <c r="AS107" s="1"/>
      <c r="AT107" s="1"/>
    </row>
    <row r="108" spans="1:46" s="18" customFormat="1" x14ac:dyDescent="0.2">
      <c r="A108" s="10"/>
      <c r="B108" s="10"/>
      <c r="C108" s="10"/>
      <c r="D108" s="10"/>
      <c r="E108" s="10"/>
      <c r="F108" s="10"/>
      <c r="G108" s="1"/>
      <c r="H108" s="1"/>
      <c r="I108" s="1"/>
      <c r="J108" s="2"/>
      <c r="K108" s="1"/>
      <c r="L108" s="3"/>
      <c r="M108" s="1"/>
      <c r="AP108" s="1"/>
      <c r="AQ108" s="1"/>
      <c r="AR108" s="1"/>
      <c r="AS108" s="1"/>
      <c r="AT108" s="1"/>
    </row>
    <row r="109" spans="1:46" s="18" customFormat="1" x14ac:dyDescent="0.2">
      <c r="A109" s="10"/>
      <c r="B109" s="10"/>
      <c r="C109" s="10"/>
      <c r="D109" s="10"/>
      <c r="E109" s="10"/>
      <c r="F109" s="10"/>
      <c r="G109" s="1"/>
      <c r="H109" s="1"/>
      <c r="I109" s="1"/>
      <c r="J109" s="2"/>
      <c r="K109" s="1"/>
      <c r="L109" s="3"/>
      <c r="M109" s="1"/>
      <c r="AP109" s="1"/>
      <c r="AQ109" s="1"/>
      <c r="AR109" s="1"/>
      <c r="AS109" s="1"/>
      <c r="AT109" s="1"/>
    </row>
    <row r="110" spans="1:46" s="18" customFormat="1" x14ac:dyDescent="0.2">
      <c r="A110" s="10"/>
      <c r="B110" s="10"/>
      <c r="C110" s="10"/>
      <c r="D110" s="10"/>
      <c r="E110" s="10"/>
      <c r="F110" s="10"/>
      <c r="G110" s="1"/>
      <c r="H110" s="1"/>
      <c r="I110" s="1"/>
      <c r="J110" s="2"/>
      <c r="K110" s="1"/>
      <c r="L110" s="3"/>
      <c r="M110" s="1"/>
      <c r="AP110" s="1"/>
      <c r="AQ110" s="1"/>
      <c r="AR110" s="1"/>
      <c r="AS110" s="1"/>
      <c r="AT110" s="1"/>
    </row>
    <row r="111" spans="1:46" s="18" customFormat="1" x14ac:dyDescent="0.2">
      <c r="A111" s="10"/>
      <c r="B111" s="10"/>
      <c r="C111" s="10"/>
      <c r="D111" s="10"/>
      <c r="E111" s="10"/>
      <c r="F111" s="10"/>
      <c r="G111" s="1"/>
      <c r="H111" s="1"/>
      <c r="I111" s="1"/>
      <c r="J111" s="2"/>
      <c r="K111" s="1"/>
      <c r="L111" s="3"/>
      <c r="M111" s="1"/>
      <c r="AP111" s="1"/>
      <c r="AQ111" s="1"/>
      <c r="AR111" s="1"/>
      <c r="AS111" s="1"/>
      <c r="AT111" s="1"/>
    </row>
    <row r="112" spans="1:46" s="18" customFormat="1" x14ac:dyDescent="0.2">
      <c r="A112" s="10"/>
      <c r="B112" s="10"/>
      <c r="C112" s="10"/>
      <c r="D112" s="10"/>
      <c r="E112" s="10"/>
      <c r="F112" s="10"/>
      <c r="G112" s="1"/>
      <c r="H112" s="1"/>
      <c r="I112" s="1"/>
      <c r="J112" s="2"/>
      <c r="K112" s="1"/>
      <c r="L112" s="3"/>
      <c r="M112" s="1"/>
      <c r="AP112" s="1"/>
      <c r="AQ112" s="1"/>
      <c r="AR112" s="1"/>
      <c r="AS112" s="1"/>
      <c r="AT112" s="1"/>
    </row>
    <row r="113" spans="1:46" s="18" customFormat="1" x14ac:dyDescent="0.2">
      <c r="A113" s="10"/>
      <c r="B113" s="10"/>
      <c r="C113" s="10"/>
      <c r="D113" s="10"/>
      <c r="E113" s="10"/>
      <c r="F113" s="10"/>
      <c r="G113" s="1"/>
      <c r="H113" s="1"/>
      <c r="I113" s="1"/>
      <c r="J113" s="2"/>
      <c r="K113" s="1"/>
      <c r="L113" s="3"/>
      <c r="M113" s="1"/>
      <c r="AP113" s="1"/>
      <c r="AQ113" s="1"/>
      <c r="AR113" s="1"/>
      <c r="AS113" s="1"/>
      <c r="AT113" s="1"/>
    </row>
    <row r="114" spans="1:46" s="18" customFormat="1" x14ac:dyDescent="0.2">
      <c r="A114" s="10"/>
      <c r="B114" s="10"/>
      <c r="C114" s="10"/>
      <c r="D114" s="10"/>
      <c r="E114" s="10"/>
      <c r="F114" s="10"/>
      <c r="G114" s="1"/>
      <c r="H114" s="1"/>
      <c r="I114" s="1"/>
      <c r="J114" s="2"/>
      <c r="K114" s="1"/>
      <c r="L114" s="3"/>
      <c r="M114" s="1"/>
      <c r="AP114" s="1"/>
      <c r="AQ114" s="1"/>
      <c r="AR114" s="1"/>
      <c r="AS114" s="1"/>
      <c r="AT114" s="1"/>
    </row>
    <row r="115" spans="1:46" s="18" customFormat="1" x14ac:dyDescent="0.2">
      <c r="A115" s="10"/>
      <c r="B115" s="10"/>
      <c r="C115" s="10"/>
      <c r="D115" s="10"/>
      <c r="E115" s="10"/>
      <c r="F115" s="10"/>
      <c r="G115" s="1"/>
      <c r="H115" s="1"/>
      <c r="I115" s="1"/>
      <c r="J115" s="2"/>
      <c r="K115" s="1"/>
      <c r="L115" s="3"/>
      <c r="M115" s="1"/>
      <c r="AP115" s="1"/>
      <c r="AQ115" s="1"/>
      <c r="AR115" s="1"/>
      <c r="AS115" s="1"/>
      <c r="AT115" s="1"/>
    </row>
    <row r="116" spans="1:46" s="18" customFormat="1" x14ac:dyDescent="0.2">
      <c r="A116" s="10"/>
      <c r="B116" s="10"/>
      <c r="C116" s="10"/>
      <c r="D116" s="10"/>
      <c r="E116" s="10"/>
      <c r="F116" s="10"/>
      <c r="G116" s="1"/>
      <c r="H116" s="1"/>
      <c r="I116" s="1"/>
      <c r="J116" s="2"/>
      <c r="K116" s="1"/>
      <c r="L116" s="3"/>
      <c r="M116" s="1"/>
      <c r="AP116" s="1"/>
      <c r="AQ116" s="1"/>
      <c r="AR116" s="1"/>
      <c r="AS116" s="1"/>
      <c r="AT116" s="1"/>
    </row>
    <row r="117" spans="1:46" s="18" customFormat="1" x14ac:dyDescent="0.2">
      <c r="A117" s="10"/>
      <c r="B117" s="10"/>
      <c r="C117" s="10"/>
      <c r="D117" s="10"/>
      <c r="E117" s="10"/>
      <c r="F117" s="10"/>
      <c r="G117" s="1"/>
      <c r="H117" s="1"/>
      <c r="I117" s="1"/>
      <c r="J117" s="2"/>
      <c r="K117" s="1"/>
      <c r="L117" s="3"/>
      <c r="M117" s="1"/>
      <c r="AP117" s="1"/>
      <c r="AQ117" s="1"/>
      <c r="AR117" s="1"/>
      <c r="AS117" s="1"/>
      <c r="AT117" s="1"/>
    </row>
    <row r="118" spans="1:46" s="18" customFormat="1" x14ac:dyDescent="0.2">
      <c r="A118" s="10"/>
      <c r="B118" s="10"/>
      <c r="C118" s="10"/>
      <c r="D118" s="10"/>
      <c r="E118" s="10"/>
      <c r="F118" s="10"/>
      <c r="G118" s="1"/>
      <c r="H118" s="1"/>
      <c r="I118" s="1"/>
      <c r="J118" s="2"/>
      <c r="K118" s="1"/>
      <c r="L118" s="3"/>
      <c r="M118" s="1"/>
      <c r="AP118" s="1"/>
      <c r="AQ118" s="1"/>
      <c r="AR118" s="1"/>
      <c r="AS118" s="1"/>
      <c r="AT118" s="1"/>
    </row>
    <row r="119" spans="1:46" s="18" customFormat="1" x14ac:dyDescent="0.2">
      <c r="A119" s="10"/>
      <c r="B119" s="10"/>
      <c r="C119" s="10"/>
      <c r="D119" s="10"/>
      <c r="E119" s="10"/>
      <c r="F119" s="10"/>
      <c r="G119" s="1"/>
      <c r="H119" s="1"/>
      <c r="I119" s="1"/>
      <c r="J119" s="2"/>
      <c r="K119" s="1"/>
      <c r="L119" s="3"/>
      <c r="M119" s="1"/>
      <c r="AP119" s="1"/>
      <c r="AQ119" s="1"/>
      <c r="AR119" s="1"/>
      <c r="AS119" s="1"/>
      <c r="AT119" s="1"/>
    </row>
    <row r="120" spans="1:46" s="18" customFormat="1" x14ac:dyDescent="0.2">
      <c r="A120" s="10"/>
      <c r="B120" s="10"/>
      <c r="C120" s="10"/>
      <c r="D120" s="10"/>
      <c r="E120" s="10"/>
      <c r="F120" s="10"/>
      <c r="G120" s="1"/>
      <c r="H120" s="1"/>
      <c r="I120" s="1"/>
      <c r="J120" s="2"/>
      <c r="K120" s="1"/>
      <c r="L120" s="3"/>
      <c r="M120" s="1"/>
      <c r="AP120" s="1"/>
      <c r="AQ120" s="1"/>
      <c r="AR120" s="1"/>
      <c r="AS120" s="1"/>
      <c r="AT120" s="1"/>
    </row>
    <row r="121" spans="1:46" s="18" customFormat="1" x14ac:dyDescent="0.2">
      <c r="A121" s="10"/>
      <c r="B121" s="10"/>
      <c r="C121" s="10"/>
      <c r="D121" s="10"/>
      <c r="E121" s="10"/>
      <c r="F121" s="10"/>
      <c r="G121" s="1"/>
      <c r="H121" s="1"/>
      <c r="I121" s="1"/>
      <c r="J121" s="2"/>
      <c r="K121" s="1"/>
      <c r="L121" s="3"/>
      <c r="M121" s="1"/>
      <c r="AP121" s="1"/>
      <c r="AQ121" s="1"/>
      <c r="AR121" s="1"/>
      <c r="AS121" s="1"/>
      <c r="AT121" s="1"/>
    </row>
    <row r="122" spans="1:46" s="18" customFormat="1" x14ac:dyDescent="0.2">
      <c r="A122" s="10"/>
      <c r="B122" s="10"/>
      <c r="C122" s="10"/>
      <c r="D122" s="10"/>
      <c r="E122" s="10"/>
      <c r="F122" s="10"/>
      <c r="G122" s="1"/>
      <c r="H122" s="1"/>
      <c r="I122" s="1"/>
      <c r="J122" s="2"/>
      <c r="K122" s="1"/>
      <c r="L122" s="3"/>
      <c r="M122" s="1"/>
      <c r="AP122" s="1"/>
      <c r="AQ122" s="1"/>
      <c r="AR122" s="1"/>
      <c r="AS122" s="1"/>
      <c r="AT122" s="1"/>
    </row>
    <row r="123" spans="1:46" s="18" customFormat="1" x14ac:dyDescent="0.2">
      <c r="A123" s="10"/>
      <c r="B123" s="10"/>
      <c r="C123" s="10"/>
      <c r="D123" s="10"/>
      <c r="E123" s="10"/>
      <c r="F123" s="10"/>
      <c r="G123" s="1"/>
      <c r="H123" s="1"/>
      <c r="I123" s="1"/>
      <c r="J123" s="2"/>
      <c r="K123" s="1"/>
      <c r="L123" s="3"/>
      <c r="M123" s="1"/>
      <c r="AP123" s="1"/>
      <c r="AQ123" s="1"/>
      <c r="AR123" s="1"/>
      <c r="AS123" s="1"/>
      <c r="AT123" s="1"/>
    </row>
    <row r="124" spans="1:46" s="18" customFormat="1" x14ac:dyDescent="0.2">
      <c r="A124" s="10"/>
      <c r="B124" s="10"/>
      <c r="C124" s="10"/>
      <c r="D124" s="10"/>
      <c r="E124" s="10"/>
      <c r="F124" s="10"/>
      <c r="G124" s="1"/>
      <c r="H124" s="1"/>
      <c r="I124" s="1"/>
      <c r="J124" s="2"/>
      <c r="K124" s="1"/>
      <c r="L124" s="3"/>
      <c r="M124" s="1"/>
      <c r="AP124" s="1"/>
      <c r="AQ124" s="1"/>
      <c r="AR124" s="1"/>
      <c r="AS124" s="1"/>
      <c r="AT124" s="1"/>
    </row>
    <row r="125" spans="1:46" s="18" customFormat="1" x14ac:dyDescent="0.2">
      <c r="A125" s="10"/>
      <c r="B125" s="10"/>
      <c r="C125" s="10"/>
      <c r="D125" s="10"/>
      <c r="E125" s="10"/>
      <c r="F125" s="10"/>
      <c r="G125" s="1"/>
      <c r="H125" s="1"/>
      <c r="I125" s="1"/>
      <c r="J125" s="2"/>
      <c r="K125" s="1"/>
      <c r="L125" s="3"/>
      <c r="M125" s="1"/>
      <c r="AP125" s="1"/>
      <c r="AQ125" s="1"/>
      <c r="AR125" s="1"/>
      <c r="AS125" s="1"/>
      <c r="AT125" s="1"/>
    </row>
    <row r="126" spans="1:46" s="18" customFormat="1" x14ac:dyDescent="0.2">
      <c r="A126" s="10"/>
      <c r="B126" s="10"/>
      <c r="C126" s="10"/>
      <c r="D126" s="10"/>
      <c r="E126" s="10"/>
      <c r="F126" s="10"/>
      <c r="G126" s="1"/>
      <c r="H126" s="1"/>
      <c r="I126" s="1"/>
      <c r="J126" s="2"/>
      <c r="K126" s="1"/>
      <c r="L126" s="3"/>
      <c r="M126" s="1"/>
      <c r="AP126" s="1"/>
      <c r="AQ126" s="1"/>
      <c r="AR126" s="1"/>
      <c r="AS126" s="1"/>
      <c r="AT126" s="1"/>
    </row>
    <row r="127" spans="1:46" s="18" customFormat="1" x14ac:dyDescent="0.2">
      <c r="A127" s="10"/>
      <c r="B127" s="10"/>
      <c r="C127" s="10"/>
      <c r="D127" s="10"/>
      <c r="E127" s="10"/>
      <c r="F127" s="10"/>
      <c r="G127" s="1"/>
      <c r="H127" s="1"/>
      <c r="I127" s="1"/>
      <c r="J127" s="2"/>
      <c r="K127" s="1"/>
      <c r="L127" s="3"/>
      <c r="M127" s="1"/>
      <c r="AP127" s="1"/>
      <c r="AQ127" s="1"/>
      <c r="AR127" s="1"/>
      <c r="AS127" s="1"/>
      <c r="AT127" s="1"/>
    </row>
    <row r="128" spans="1:46" s="18" customFormat="1" x14ac:dyDescent="0.2">
      <c r="A128" s="10"/>
      <c r="B128" s="10"/>
      <c r="C128" s="10"/>
      <c r="D128" s="10"/>
      <c r="E128" s="10"/>
      <c r="F128" s="10"/>
      <c r="G128" s="1"/>
      <c r="H128" s="1"/>
      <c r="I128" s="1"/>
      <c r="J128" s="2"/>
      <c r="K128" s="1"/>
      <c r="L128" s="3"/>
      <c r="M128" s="1"/>
      <c r="AP128" s="1"/>
      <c r="AQ128" s="1"/>
      <c r="AR128" s="1"/>
      <c r="AS128" s="1"/>
      <c r="AT128" s="1"/>
    </row>
    <row r="129" spans="1:46" s="18" customFormat="1" x14ac:dyDescent="0.2">
      <c r="A129" s="10"/>
      <c r="B129" s="10"/>
      <c r="C129" s="10"/>
      <c r="D129" s="10"/>
      <c r="E129" s="10"/>
      <c r="F129" s="10"/>
      <c r="G129" s="1"/>
      <c r="H129" s="1"/>
      <c r="I129" s="1"/>
      <c r="J129" s="2"/>
      <c r="K129" s="1"/>
      <c r="L129" s="3"/>
      <c r="M129" s="1"/>
      <c r="AP129" s="1"/>
      <c r="AQ129" s="1"/>
      <c r="AR129" s="1"/>
      <c r="AS129" s="1"/>
      <c r="AT129" s="1"/>
    </row>
    <row r="130" spans="1:46" s="18" customFormat="1" x14ac:dyDescent="0.2">
      <c r="A130" s="10"/>
      <c r="B130" s="10"/>
      <c r="C130" s="10"/>
      <c r="D130" s="10"/>
      <c r="E130" s="10"/>
      <c r="F130" s="10"/>
      <c r="G130" s="1"/>
      <c r="H130" s="1"/>
      <c r="I130" s="1"/>
      <c r="J130" s="2"/>
      <c r="K130" s="1"/>
      <c r="L130" s="3"/>
      <c r="M130" s="1"/>
      <c r="AP130" s="1"/>
      <c r="AQ130" s="1"/>
      <c r="AR130" s="1"/>
      <c r="AS130" s="1"/>
      <c r="AT130" s="1"/>
    </row>
    <row r="131" spans="1:46" s="18" customFormat="1" x14ac:dyDescent="0.2">
      <c r="A131" s="10"/>
      <c r="B131" s="10"/>
      <c r="C131" s="10"/>
      <c r="D131" s="10"/>
      <c r="E131" s="10"/>
      <c r="F131" s="10"/>
      <c r="G131" s="1"/>
      <c r="H131" s="1"/>
      <c r="I131" s="1"/>
      <c r="J131" s="2"/>
      <c r="K131" s="1"/>
      <c r="L131" s="3"/>
      <c r="M131" s="1"/>
      <c r="AP131" s="1"/>
      <c r="AQ131" s="1"/>
      <c r="AR131" s="1"/>
      <c r="AS131" s="1"/>
      <c r="AT131" s="1"/>
    </row>
    <row r="132" spans="1:46" s="18" customFormat="1" x14ac:dyDescent="0.2">
      <c r="A132" s="10"/>
      <c r="B132" s="10"/>
      <c r="C132" s="10"/>
      <c r="D132" s="10"/>
      <c r="E132" s="10"/>
      <c r="F132" s="10"/>
      <c r="G132" s="1"/>
      <c r="H132" s="1"/>
      <c r="I132" s="1"/>
      <c r="J132" s="2"/>
      <c r="K132" s="1"/>
      <c r="L132" s="3"/>
      <c r="M132" s="1"/>
      <c r="AP132" s="1"/>
      <c r="AQ132" s="1"/>
      <c r="AR132" s="1"/>
      <c r="AS132" s="1"/>
      <c r="AT132" s="1"/>
    </row>
    <row r="133" spans="1:46" s="18" customFormat="1" x14ac:dyDescent="0.2">
      <c r="A133" s="10"/>
      <c r="B133" s="10"/>
      <c r="C133" s="10"/>
      <c r="D133" s="10"/>
      <c r="E133" s="10"/>
      <c r="F133" s="10"/>
      <c r="G133" s="1"/>
      <c r="H133" s="1"/>
      <c r="I133" s="1"/>
      <c r="J133" s="2"/>
      <c r="K133" s="1"/>
      <c r="L133" s="3"/>
      <c r="M133" s="1"/>
      <c r="AP133" s="1"/>
      <c r="AQ133" s="1"/>
      <c r="AR133" s="1"/>
      <c r="AS133" s="1"/>
      <c r="AT133" s="1"/>
    </row>
    <row r="134" spans="1:46" s="18" customFormat="1" x14ac:dyDescent="0.2">
      <c r="A134" s="10"/>
      <c r="B134" s="10"/>
      <c r="C134" s="10"/>
      <c r="D134" s="10"/>
      <c r="E134" s="10"/>
      <c r="F134" s="10"/>
      <c r="G134" s="1"/>
      <c r="H134" s="1"/>
      <c r="I134" s="1"/>
      <c r="J134" s="2"/>
      <c r="K134" s="1"/>
      <c r="L134" s="3"/>
      <c r="M134" s="1"/>
      <c r="AP134" s="1"/>
      <c r="AQ134" s="1"/>
      <c r="AR134" s="1"/>
      <c r="AS134" s="1"/>
      <c r="AT134" s="1"/>
    </row>
    <row r="135" spans="1:46" s="18" customFormat="1" x14ac:dyDescent="0.2">
      <c r="A135" s="10"/>
      <c r="B135" s="10"/>
      <c r="C135" s="10"/>
      <c r="D135" s="10"/>
      <c r="E135" s="10"/>
      <c r="F135" s="10"/>
      <c r="G135" s="1"/>
      <c r="H135" s="1"/>
      <c r="I135" s="1"/>
      <c r="J135" s="2"/>
      <c r="K135" s="1"/>
      <c r="L135" s="3"/>
      <c r="M135" s="1"/>
      <c r="AP135" s="1"/>
      <c r="AQ135" s="1"/>
      <c r="AR135" s="1"/>
      <c r="AS135" s="1"/>
      <c r="AT135" s="1"/>
    </row>
    <row r="136" spans="1:46" s="18" customFormat="1" x14ac:dyDescent="0.2">
      <c r="A136" s="10"/>
      <c r="B136" s="10"/>
      <c r="C136" s="10"/>
      <c r="D136" s="10"/>
      <c r="E136" s="10"/>
      <c r="F136" s="10"/>
      <c r="G136" s="1"/>
      <c r="H136" s="1"/>
      <c r="I136" s="1"/>
      <c r="J136" s="2"/>
      <c r="K136" s="1"/>
      <c r="L136" s="3"/>
      <c r="M136" s="1"/>
      <c r="AP136" s="1"/>
      <c r="AQ136" s="1"/>
      <c r="AR136" s="1"/>
      <c r="AS136" s="1"/>
      <c r="AT136" s="1"/>
    </row>
    <row r="137" spans="1:46" s="18" customFormat="1" x14ac:dyDescent="0.2">
      <c r="A137" s="10"/>
      <c r="B137" s="10"/>
      <c r="C137" s="10"/>
      <c r="D137" s="10"/>
      <c r="E137" s="10"/>
      <c r="F137" s="10"/>
      <c r="G137" s="1"/>
      <c r="H137" s="1"/>
      <c r="I137" s="1"/>
      <c r="J137" s="2"/>
      <c r="K137" s="1"/>
      <c r="L137" s="3"/>
      <c r="M137" s="1"/>
      <c r="AP137" s="1"/>
      <c r="AQ137" s="1"/>
      <c r="AR137" s="1"/>
      <c r="AS137" s="1"/>
      <c r="AT137" s="1"/>
    </row>
    <row r="138" spans="1:46" s="18" customFormat="1" x14ac:dyDescent="0.2">
      <c r="A138" s="10"/>
      <c r="B138" s="10"/>
      <c r="C138" s="10"/>
      <c r="D138" s="10"/>
      <c r="E138" s="10"/>
      <c r="F138" s="10"/>
      <c r="G138" s="1"/>
      <c r="H138" s="1"/>
      <c r="I138" s="1"/>
      <c r="J138" s="2"/>
      <c r="K138" s="1"/>
      <c r="L138" s="3"/>
      <c r="M138" s="1"/>
      <c r="AP138" s="1"/>
      <c r="AQ138" s="1"/>
      <c r="AR138" s="1"/>
      <c r="AS138" s="1"/>
      <c r="AT138" s="1"/>
    </row>
    <row r="139" spans="1:46" s="18" customFormat="1" x14ac:dyDescent="0.2">
      <c r="A139" s="10"/>
      <c r="B139" s="10"/>
      <c r="C139" s="10"/>
      <c r="D139" s="10"/>
      <c r="E139" s="10"/>
      <c r="F139" s="10"/>
      <c r="G139" s="1"/>
      <c r="H139" s="1"/>
      <c r="I139" s="1"/>
      <c r="J139" s="2"/>
      <c r="K139" s="1"/>
      <c r="L139" s="3"/>
      <c r="M139" s="1"/>
      <c r="AP139" s="1"/>
      <c r="AQ139" s="1"/>
      <c r="AR139" s="1"/>
      <c r="AS139" s="1"/>
      <c r="AT139" s="1"/>
    </row>
    <row r="140" spans="1:46" s="18" customFormat="1" x14ac:dyDescent="0.2">
      <c r="A140" s="10"/>
      <c r="B140" s="10"/>
      <c r="C140" s="10"/>
      <c r="D140" s="10"/>
      <c r="E140" s="10"/>
      <c r="F140" s="10"/>
      <c r="G140" s="1"/>
      <c r="H140" s="1"/>
      <c r="I140" s="1"/>
      <c r="J140" s="2"/>
      <c r="K140" s="1"/>
      <c r="L140" s="3"/>
      <c r="M140" s="1"/>
      <c r="AP140" s="1"/>
      <c r="AQ140" s="1"/>
      <c r="AR140" s="1"/>
      <c r="AS140" s="1"/>
      <c r="AT140" s="1"/>
    </row>
    <row r="141" spans="1:46" s="18" customFormat="1" x14ac:dyDescent="0.2">
      <c r="A141" s="10"/>
      <c r="B141" s="10"/>
      <c r="C141" s="10"/>
      <c r="D141" s="10"/>
      <c r="E141" s="10"/>
      <c r="F141" s="10"/>
      <c r="G141" s="1"/>
      <c r="H141" s="1"/>
      <c r="I141" s="1"/>
      <c r="J141" s="2"/>
      <c r="K141" s="1"/>
      <c r="L141" s="3"/>
      <c r="M141" s="1"/>
      <c r="AP141" s="1"/>
      <c r="AQ141" s="1"/>
      <c r="AR141" s="1"/>
      <c r="AS141" s="1"/>
      <c r="AT141" s="1"/>
    </row>
    <row r="142" spans="1:46" s="18" customFormat="1" x14ac:dyDescent="0.2">
      <c r="A142" s="10"/>
      <c r="B142" s="10"/>
      <c r="C142" s="10"/>
      <c r="D142" s="10"/>
      <c r="E142" s="10"/>
      <c r="F142" s="10"/>
      <c r="G142" s="1"/>
      <c r="H142" s="1"/>
      <c r="I142" s="1"/>
      <c r="J142" s="2"/>
      <c r="K142" s="1"/>
      <c r="L142" s="3"/>
      <c r="M142" s="1"/>
      <c r="AP142" s="1"/>
      <c r="AQ142" s="1"/>
      <c r="AR142" s="1"/>
      <c r="AS142" s="1"/>
      <c r="AT142" s="1"/>
    </row>
    <row r="143" spans="1:46" s="18" customFormat="1" x14ac:dyDescent="0.2">
      <c r="A143" s="10"/>
      <c r="B143" s="10"/>
      <c r="C143" s="10"/>
      <c r="D143" s="10"/>
      <c r="E143" s="10"/>
      <c r="F143" s="10"/>
      <c r="G143" s="1"/>
      <c r="H143" s="1"/>
      <c r="I143" s="1"/>
      <c r="J143" s="2"/>
      <c r="K143" s="1"/>
      <c r="L143" s="3"/>
      <c r="M143" s="1"/>
      <c r="AP143" s="1"/>
      <c r="AQ143" s="1"/>
      <c r="AR143" s="1"/>
      <c r="AS143" s="1"/>
      <c r="AT143" s="1"/>
    </row>
    <row r="144" spans="1:46" s="18" customFormat="1" x14ac:dyDescent="0.2">
      <c r="A144" s="10"/>
      <c r="B144" s="10"/>
      <c r="C144" s="10"/>
      <c r="D144" s="10"/>
      <c r="E144" s="10"/>
      <c r="F144" s="10"/>
      <c r="G144" s="1"/>
      <c r="H144" s="1"/>
      <c r="I144" s="1"/>
      <c r="J144" s="2"/>
      <c r="K144" s="1"/>
      <c r="L144" s="3"/>
      <c r="M144" s="1"/>
      <c r="AP144" s="1"/>
      <c r="AQ144" s="1"/>
      <c r="AR144" s="1"/>
      <c r="AS144" s="1"/>
      <c r="AT144" s="1"/>
    </row>
    <row r="145" spans="1:46" s="18" customFormat="1" x14ac:dyDescent="0.2">
      <c r="A145" s="10"/>
      <c r="B145" s="10"/>
      <c r="C145" s="10"/>
      <c r="D145" s="10"/>
      <c r="E145" s="10"/>
      <c r="F145" s="10"/>
      <c r="G145" s="1"/>
      <c r="H145" s="1"/>
      <c r="I145" s="1"/>
      <c r="J145" s="2"/>
      <c r="K145" s="1"/>
      <c r="L145" s="3"/>
      <c r="M145" s="1"/>
      <c r="AP145" s="1"/>
      <c r="AQ145" s="1"/>
      <c r="AR145" s="1"/>
      <c r="AS145" s="1"/>
      <c r="AT145" s="1"/>
    </row>
    <row r="146" spans="1:46" s="18" customFormat="1" x14ac:dyDescent="0.2">
      <c r="A146" s="10"/>
      <c r="B146" s="10"/>
      <c r="C146" s="10"/>
      <c r="D146" s="10"/>
      <c r="E146" s="10"/>
      <c r="F146" s="10"/>
      <c r="G146" s="1"/>
      <c r="H146" s="1"/>
      <c r="I146" s="1"/>
      <c r="J146" s="2"/>
      <c r="K146" s="1"/>
      <c r="L146" s="3"/>
      <c r="M146" s="1"/>
      <c r="AP146" s="1"/>
      <c r="AQ146" s="1"/>
      <c r="AR146" s="1"/>
      <c r="AS146" s="1"/>
      <c r="AT146" s="1"/>
    </row>
    <row r="147" spans="1:46" s="18" customFormat="1" x14ac:dyDescent="0.2">
      <c r="A147" s="10"/>
      <c r="B147" s="10"/>
      <c r="C147" s="10"/>
      <c r="D147" s="10"/>
      <c r="E147" s="10"/>
      <c r="F147" s="10"/>
      <c r="G147" s="1"/>
      <c r="H147" s="1"/>
      <c r="I147" s="1"/>
      <c r="J147" s="2"/>
      <c r="K147" s="1"/>
      <c r="L147" s="3"/>
      <c r="M147" s="1"/>
      <c r="AP147" s="1"/>
      <c r="AQ147" s="1"/>
      <c r="AR147" s="1"/>
      <c r="AS147" s="1"/>
      <c r="AT147" s="1"/>
    </row>
    <row r="148" spans="1:46" s="18" customFormat="1" x14ac:dyDescent="0.2">
      <c r="A148" s="10"/>
      <c r="B148" s="10"/>
      <c r="C148" s="10"/>
      <c r="D148" s="10"/>
      <c r="E148" s="10"/>
      <c r="F148" s="10"/>
      <c r="G148" s="1"/>
      <c r="H148" s="1"/>
      <c r="I148" s="1"/>
      <c r="J148" s="2"/>
      <c r="K148" s="1"/>
      <c r="L148" s="3"/>
      <c r="M148" s="1"/>
      <c r="AP148" s="1"/>
      <c r="AQ148" s="1"/>
      <c r="AR148" s="1"/>
      <c r="AS148" s="1"/>
      <c r="AT148" s="1"/>
    </row>
    <row r="149" spans="1:46" s="18" customFormat="1" x14ac:dyDescent="0.2">
      <c r="A149" s="10"/>
      <c r="B149" s="10"/>
      <c r="C149" s="10"/>
      <c r="D149" s="10"/>
      <c r="E149" s="10"/>
      <c r="F149" s="10"/>
      <c r="G149" s="1"/>
      <c r="H149" s="1"/>
      <c r="I149" s="1"/>
      <c r="J149" s="2"/>
      <c r="K149" s="1"/>
      <c r="L149" s="3"/>
      <c r="M149" s="1"/>
      <c r="AP149" s="1"/>
      <c r="AQ149" s="1"/>
      <c r="AR149" s="1"/>
      <c r="AS149" s="1"/>
      <c r="AT149" s="1"/>
    </row>
    <row r="150" spans="1:46" s="18" customFormat="1" x14ac:dyDescent="0.2">
      <c r="A150" s="10"/>
      <c r="B150" s="10"/>
      <c r="C150" s="10"/>
      <c r="D150" s="10"/>
      <c r="E150" s="10"/>
      <c r="F150" s="10"/>
      <c r="G150" s="1"/>
      <c r="H150" s="1"/>
      <c r="I150" s="1"/>
      <c r="J150" s="2"/>
      <c r="K150" s="1"/>
      <c r="L150" s="3"/>
      <c r="M150" s="1"/>
      <c r="AP150" s="1"/>
      <c r="AQ150" s="1"/>
      <c r="AR150" s="1"/>
      <c r="AS150" s="1"/>
      <c r="AT150" s="1"/>
    </row>
    <row r="151" spans="1:46" s="18" customFormat="1" x14ac:dyDescent="0.2">
      <c r="A151" s="10"/>
      <c r="B151" s="10"/>
      <c r="C151" s="10"/>
      <c r="D151" s="10"/>
      <c r="E151" s="10"/>
      <c r="F151" s="10"/>
      <c r="G151" s="1"/>
      <c r="H151" s="1"/>
      <c r="I151" s="1"/>
      <c r="J151" s="2"/>
      <c r="K151" s="1"/>
      <c r="L151" s="3"/>
      <c r="M151" s="1"/>
      <c r="AP151" s="1"/>
      <c r="AQ151" s="1"/>
      <c r="AR151" s="1"/>
      <c r="AS151" s="1"/>
      <c r="AT151" s="1"/>
    </row>
    <row r="152" spans="1:46" s="18" customFormat="1" x14ac:dyDescent="0.2">
      <c r="A152" s="10"/>
      <c r="B152" s="10"/>
      <c r="C152" s="10"/>
      <c r="D152" s="10"/>
      <c r="E152" s="10"/>
      <c r="F152" s="10"/>
      <c r="G152" s="1"/>
      <c r="H152" s="1"/>
      <c r="I152" s="1"/>
      <c r="J152" s="2"/>
      <c r="K152" s="1"/>
      <c r="L152" s="3"/>
      <c r="M152" s="1"/>
      <c r="AP152" s="1"/>
      <c r="AQ152" s="1"/>
      <c r="AR152" s="1"/>
      <c r="AS152" s="1"/>
      <c r="AT152" s="1"/>
    </row>
    <row r="153" spans="1:46" s="18" customFormat="1" x14ac:dyDescent="0.2">
      <c r="A153" s="10"/>
      <c r="B153" s="10"/>
      <c r="C153" s="10"/>
      <c r="D153" s="10"/>
      <c r="E153" s="10"/>
      <c r="F153" s="10"/>
      <c r="G153" s="1"/>
      <c r="H153" s="1"/>
      <c r="I153" s="1"/>
      <c r="J153" s="2"/>
      <c r="K153" s="1"/>
      <c r="L153" s="3"/>
      <c r="M153" s="1"/>
      <c r="AP153" s="1"/>
      <c r="AQ153" s="1"/>
      <c r="AR153" s="1"/>
      <c r="AS153" s="1"/>
      <c r="AT153" s="1"/>
    </row>
    <row r="154" spans="1:46" s="18" customFormat="1" x14ac:dyDescent="0.2">
      <c r="A154" s="10"/>
      <c r="B154" s="10"/>
      <c r="C154" s="10"/>
      <c r="D154" s="10"/>
      <c r="E154" s="10"/>
      <c r="F154" s="10"/>
      <c r="G154" s="1"/>
      <c r="H154" s="1"/>
      <c r="I154" s="1"/>
      <c r="J154" s="2"/>
      <c r="K154" s="1"/>
      <c r="L154" s="3"/>
      <c r="M154" s="1"/>
      <c r="AP154" s="1"/>
      <c r="AQ154" s="1"/>
      <c r="AR154" s="1"/>
      <c r="AS154" s="1"/>
      <c r="AT154" s="1"/>
    </row>
    <row r="155" spans="1:46" s="18" customFormat="1" x14ac:dyDescent="0.2">
      <c r="A155" s="10"/>
      <c r="B155" s="10"/>
      <c r="C155" s="10"/>
      <c r="D155" s="10"/>
      <c r="E155" s="10"/>
      <c r="F155" s="10"/>
      <c r="G155" s="1"/>
      <c r="H155" s="1"/>
      <c r="I155" s="1"/>
      <c r="J155" s="2"/>
      <c r="K155" s="1"/>
      <c r="L155" s="3"/>
      <c r="M155" s="1"/>
      <c r="AP155" s="1"/>
      <c r="AQ155" s="1"/>
      <c r="AR155" s="1"/>
      <c r="AS155" s="1"/>
      <c r="AT155" s="1"/>
    </row>
    <row r="156" spans="1:46" s="18" customFormat="1" x14ac:dyDescent="0.2">
      <c r="A156" s="10"/>
      <c r="B156" s="10"/>
      <c r="C156" s="10"/>
      <c r="D156" s="10"/>
      <c r="E156" s="10"/>
      <c r="F156" s="10"/>
      <c r="G156" s="1"/>
      <c r="H156" s="1"/>
      <c r="I156" s="1"/>
      <c r="J156" s="2"/>
      <c r="K156" s="1"/>
      <c r="L156" s="3"/>
      <c r="M156" s="1"/>
      <c r="AP156" s="1"/>
      <c r="AQ156" s="1"/>
      <c r="AR156" s="1"/>
      <c r="AS156" s="1"/>
      <c r="AT156" s="1"/>
    </row>
    <row r="157" spans="1:46" s="18" customFormat="1" x14ac:dyDescent="0.2">
      <c r="A157" s="10"/>
      <c r="B157" s="10"/>
      <c r="C157" s="10"/>
      <c r="D157" s="10"/>
      <c r="E157" s="10"/>
      <c r="F157" s="10"/>
      <c r="G157" s="1"/>
      <c r="H157" s="1"/>
      <c r="I157" s="1"/>
      <c r="J157" s="2"/>
      <c r="K157" s="1"/>
      <c r="L157" s="3"/>
      <c r="M157" s="1"/>
      <c r="AP157" s="1"/>
      <c r="AQ157" s="1"/>
      <c r="AR157" s="1"/>
      <c r="AS157" s="1"/>
      <c r="AT157" s="1"/>
    </row>
    <row r="158" spans="1:46" s="18" customFormat="1" x14ac:dyDescent="0.2">
      <c r="A158" s="10"/>
      <c r="B158" s="10"/>
      <c r="C158" s="10"/>
      <c r="D158" s="10"/>
      <c r="E158" s="10"/>
      <c r="F158" s="10"/>
      <c r="G158" s="1"/>
      <c r="H158" s="1"/>
      <c r="I158" s="1"/>
      <c r="J158" s="2"/>
      <c r="K158" s="1"/>
      <c r="L158" s="3"/>
      <c r="M158" s="1"/>
      <c r="AP158" s="1"/>
      <c r="AQ158" s="1"/>
      <c r="AR158" s="1"/>
      <c r="AS158" s="1"/>
      <c r="AT158" s="1"/>
    </row>
    <row r="159" spans="1:46" s="18" customFormat="1" x14ac:dyDescent="0.2">
      <c r="A159" s="10"/>
      <c r="B159" s="10"/>
      <c r="C159" s="10"/>
      <c r="D159" s="10"/>
      <c r="E159" s="10"/>
      <c r="F159" s="10"/>
      <c r="G159" s="1"/>
      <c r="H159" s="1"/>
      <c r="I159" s="1"/>
      <c r="J159" s="2"/>
      <c r="K159" s="1"/>
      <c r="L159" s="3"/>
      <c r="M159" s="1"/>
      <c r="AP159" s="1"/>
      <c r="AQ159" s="1"/>
      <c r="AR159" s="1"/>
      <c r="AS159" s="1"/>
      <c r="AT159" s="1"/>
    </row>
    <row r="160" spans="1:46" s="18" customFormat="1" x14ac:dyDescent="0.2">
      <c r="A160" s="10"/>
      <c r="B160" s="10"/>
      <c r="C160" s="10"/>
      <c r="D160" s="10"/>
      <c r="E160" s="10"/>
      <c r="F160" s="10"/>
      <c r="G160" s="1"/>
      <c r="H160" s="1"/>
      <c r="I160" s="1"/>
      <c r="J160" s="2"/>
      <c r="K160" s="1"/>
      <c r="L160" s="3"/>
      <c r="M160" s="1"/>
      <c r="AP160" s="1"/>
      <c r="AQ160" s="1"/>
      <c r="AR160" s="1"/>
      <c r="AS160" s="1"/>
      <c r="AT160" s="1"/>
    </row>
    <row r="161" spans="1:46" s="18" customFormat="1" x14ac:dyDescent="0.2">
      <c r="A161" s="10"/>
      <c r="B161" s="10"/>
      <c r="C161" s="10"/>
      <c r="D161" s="10"/>
      <c r="E161" s="10"/>
      <c r="F161" s="10"/>
      <c r="G161" s="1"/>
      <c r="H161" s="1"/>
      <c r="I161" s="1"/>
      <c r="J161" s="2"/>
      <c r="K161" s="1"/>
      <c r="L161" s="3"/>
      <c r="M161" s="1"/>
      <c r="AP161" s="1"/>
      <c r="AQ161" s="1"/>
      <c r="AR161" s="1"/>
      <c r="AS161" s="1"/>
      <c r="AT161" s="1"/>
    </row>
    <row r="162" spans="1:46" s="18" customFormat="1" x14ac:dyDescent="0.2">
      <c r="A162" s="10"/>
      <c r="B162" s="10"/>
      <c r="C162" s="10"/>
      <c r="D162" s="10"/>
      <c r="E162" s="10"/>
      <c r="F162" s="10"/>
      <c r="G162" s="1"/>
      <c r="H162" s="1"/>
      <c r="I162" s="1"/>
      <c r="J162" s="2"/>
      <c r="K162" s="1"/>
      <c r="L162" s="3"/>
      <c r="M162" s="1"/>
      <c r="AP162" s="1"/>
      <c r="AQ162" s="1"/>
      <c r="AR162" s="1"/>
      <c r="AS162" s="1"/>
      <c r="AT162" s="1"/>
    </row>
    <row r="163" spans="1:46" s="18" customFormat="1" x14ac:dyDescent="0.2">
      <c r="A163" s="10"/>
      <c r="B163" s="10"/>
      <c r="C163" s="10"/>
      <c r="D163" s="10"/>
      <c r="E163" s="10"/>
      <c r="F163" s="10"/>
      <c r="G163" s="1"/>
      <c r="H163" s="1"/>
      <c r="I163" s="1"/>
      <c r="J163" s="2"/>
      <c r="K163" s="1"/>
      <c r="L163" s="3"/>
      <c r="M163" s="1"/>
      <c r="AP163" s="1"/>
      <c r="AQ163" s="1"/>
      <c r="AR163" s="1"/>
      <c r="AS163" s="1"/>
      <c r="AT163" s="1"/>
    </row>
    <row r="164" spans="1:46" s="18" customFormat="1" x14ac:dyDescent="0.2">
      <c r="A164" s="10"/>
      <c r="B164" s="10"/>
      <c r="C164" s="10"/>
      <c r="D164" s="10"/>
      <c r="E164" s="10"/>
      <c r="F164" s="10"/>
      <c r="G164" s="1"/>
      <c r="H164" s="1"/>
      <c r="I164" s="1"/>
      <c r="J164" s="2"/>
      <c r="K164" s="1"/>
      <c r="L164" s="3"/>
      <c r="M164" s="1"/>
      <c r="AP164" s="1"/>
      <c r="AQ164" s="1"/>
      <c r="AR164" s="1"/>
      <c r="AS164" s="1"/>
      <c r="AT164" s="1"/>
    </row>
    <row r="165" spans="1:46" s="18" customFormat="1" x14ac:dyDescent="0.2">
      <c r="A165" s="10"/>
      <c r="B165" s="10"/>
      <c r="C165" s="10"/>
      <c r="D165" s="10"/>
      <c r="E165" s="10"/>
      <c r="F165" s="10"/>
      <c r="G165" s="1"/>
      <c r="H165" s="1"/>
      <c r="I165" s="1"/>
      <c r="J165" s="2"/>
      <c r="K165" s="1"/>
      <c r="L165" s="3"/>
      <c r="M165" s="1"/>
      <c r="AP165" s="1"/>
      <c r="AQ165" s="1"/>
      <c r="AR165" s="1"/>
      <c r="AS165" s="1"/>
      <c r="AT165" s="1"/>
    </row>
    <row r="166" spans="1:46" s="18" customFormat="1" x14ac:dyDescent="0.2">
      <c r="A166" s="10"/>
      <c r="B166" s="10"/>
      <c r="C166" s="10"/>
      <c r="D166" s="10"/>
      <c r="E166" s="10"/>
      <c r="F166" s="10"/>
      <c r="G166" s="1"/>
      <c r="H166" s="1"/>
      <c r="I166" s="1"/>
      <c r="J166" s="2"/>
      <c r="K166" s="1"/>
      <c r="L166" s="3"/>
      <c r="M166" s="1"/>
      <c r="AP166" s="1"/>
      <c r="AQ166" s="1"/>
      <c r="AR166" s="1"/>
      <c r="AS166" s="1"/>
      <c r="AT166" s="1"/>
    </row>
    <row r="167" spans="1:46" s="18" customFormat="1" x14ac:dyDescent="0.2">
      <c r="A167" s="10"/>
      <c r="B167" s="10"/>
      <c r="C167" s="10"/>
      <c r="D167" s="10"/>
      <c r="E167" s="10"/>
      <c r="F167" s="10"/>
      <c r="G167" s="1"/>
      <c r="H167" s="1"/>
      <c r="I167" s="1"/>
      <c r="J167" s="2"/>
      <c r="K167" s="1"/>
      <c r="L167" s="3"/>
      <c r="M167" s="1"/>
      <c r="AP167" s="1"/>
      <c r="AQ167" s="1"/>
      <c r="AR167" s="1"/>
      <c r="AS167" s="1"/>
      <c r="AT167" s="1"/>
    </row>
    <row r="168" spans="1:46" s="18" customFormat="1" x14ac:dyDescent="0.2">
      <c r="A168" s="10"/>
      <c r="B168" s="10"/>
      <c r="C168" s="10"/>
      <c r="D168" s="10"/>
      <c r="E168" s="10"/>
      <c r="F168" s="10"/>
      <c r="G168" s="1"/>
      <c r="H168" s="1"/>
      <c r="I168" s="1"/>
      <c r="J168" s="2"/>
      <c r="K168" s="1"/>
      <c r="L168" s="3"/>
      <c r="M168" s="1"/>
      <c r="AP168" s="1"/>
      <c r="AQ168" s="1"/>
      <c r="AR168" s="1"/>
      <c r="AS168" s="1"/>
      <c r="AT168" s="1"/>
    </row>
    <row r="169" spans="1:46" s="18" customFormat="1" x14ac:dyDescent="0.2">
      <c r="A169" s="10"/>
      <c r="B169" s="10"/>
      <c r="C169" s="10"/>
      <c r="D169" s="10"/>
      <c r="E169" s="10"/>
      <c r="F169" s="10"/>
      <c r="G169" s="1"/>
      <c r="H169" s="1"/>
      <c r="I169" s="1"/>
      <c r="J169" s="2"/>
      <c r="K169" s="1"/>
      <c r="L169" s="3"/>
      <c r="M169" s="1"/>
      <c r="AP169" s="1"/>
      <c r="AQ169" s="1"/>
      <c r="AR169" s="1"/>
      <c r="AS169" s="1"/>
      <c r="AT169" s="1"/>
    </row>
    <row r="170" spans="1:46" s="18" customFormat="1" x14ac:dyDescent="0.2">
      <c r="A170" s="10"/>
      <c r="B170" s="10"/>
      <c r="C170" s="10"/>
      <c r="D170" s="10"/>
      <c r="E170" s="10"/>
      <c r="F170" s="10"/>
      <c r="G170" s="1"/>
      <c r="H170" s="1"/>
      <c r="I170" s="1"/>
      <c r="J170" s="2"/>
      <c r="K170" s="1"/>
      <c r="L170" s="3"/>
      <c r="M170" s="1"/>
      <c r="AP170" s="1"/>
      <c r="AQ170" s="1"/>
      <c r="AR170" s="1"/>
      <c r="AS170" s="1"/>
      <c r="AT170" s="1"/>
    </row>
    <row r="171" spans="1:46" s="18" customFormat="1" x14ac:dyDescent="0.2">
      <c r="A171" s="10"/>
      <c r="B171" s="10"/>
      <c r="C171" s="10"/>
      <c r="D171" s="10"/>
      <c r="E171" s="10"/>
      <c r="F171" s="10"/>
      <c r="G171" s="1"/>
      <c r="H171" s="1"/>
      <c r="I171" s="1"/>
      <c r="J171" s="2"/>
      <c r="K171" s="1"/>
      <c r="L171" s="3"/>
      <c r="M171" s="1"/>
      <c r="AP171" s="1"/>
      <c r="AQ171" s="1"/>
      <c r="AR171" s="1"/>
      <c r="AS171" s="1"/>
      <c r="AT171" s="1"/>
    </row>
    <row r="172" spans="1:46" s="18" customFormat="1" x14ac:dyDescent="0.2">
      <c r="A172" s="10"/>
      <c r="B172" s="10"/>
      <c r="C172" s="10"/>
      <c r="D172" s="10"/>
      <c r="E172" s="10"/>
      <c r="F172" s="10"/>
      <c r="G172" s="1"/>
      <c r="H172" s="1"/>
      <c r="I172" s="1"/>
      <c r="J172" s="2"/>
      <c r="K172" s="1"/>
      <c r="L172" s="3"/>
      <c r="M172" s="1"/>
      <c r="AP172" s="1"/>
      <c r="AQ172" s="1"/>
      <c r="AR172" s="1"/>
      <c r="AS172" s="1"/>
      <c r="AT172" s="1"/>
    </row>
    <row r="173" spans="1:46" s="18" customFormat="1" x14ac:dyDescent="0.2">
      <c r="A173" s="10"/>
      <c r="B173" s="10"/>
      <c r="C173" s="10"/>
      <c r="D173" s="10"/>
      <c r="E173" s="10"/>
      <c r="F173" s="10"/>
      <c r="G173" s="1"/>
      <c r="H173" s="1"/>
      <c r="I173" s="1"/>
      <c r="J173" s="2"/>
      <c r="K173" s="1"/>
      <c r="L173" s="3"/>
      <c r="M173" s="1"/>
      <c r="AP173" s="1"/>
      <c r="AQ173" s="1"/>
      <c r="AR173" s="1"/>
      <c r="AS173" s="1"/>
      <c r="AT173" s="1"/>
    </row>
    <row r="174" spans="1:46" s="18" customFormat="1" x14ac:dyDescent="0.2">
      <c r="A174" s="10"/>
      <c r="B174" s="10"/>
      <c r="C174" s="10"/>
      <c r="D174" s="10"/>
      <c r="E174" s="10"/>
      <c r="F174" s="10"/>
      <c r="G174" s="1"/>
      <c r="H174" s="1"/>
      <c r="I174" s="1"/>
      <c r="J174" s="2"/>
      <c r="K174" s="1"/>
      <c r="L174" s="3"/>
      <c r="M174" s="1"/>
      <c r="AP174" s="1"/>
      <c r="AQ174" s="1"/>
      <c r="AR174" s="1"/>
      <c r="AS174" s="1"/>
      <c r="AT174" s="1"/>
    </row>
    <row r="175" spans="1:46" s="18" customFormat="1" x14ac:dyDescent="0.2">
      <c r="A175" s="10"/>
      <c r="B175" s="10"/>
      <c r="C175" s="10"/>
      <c r="D175" s="10"/>
      <c r="E175" s="10"/>
      <c r="F175" s="10"/>
      <c r="G175" s="1"/>
      <c r="H175" s="1"/>
      <c r="I175" s="1"/>
      <c r="J175" s="2"/>
      <c r="K175" s="1"/>
      <c r="L175" s="3"/>
      <c r="M175" s="1"/>
      <c r="AP175" s="1"/>
      <c r="AQ175" s="1"/>
      <c r="AR175" s="1"/>
      <c r="AS175" s="1"/>
      <c r="AT175" s="1"/>
    </row>
    <row r="176" spans="1:46" s="18" customFormat="1" x14ac:dyDescent="0.2">
      <c r="A176" s="10"/>
      <c r="B176" s="10"/>
      <c r="C176" s="10"/>
      <c r="D176" s="10"/>
      <c r="E176" s="10"/>
      <c r="F176" s="10"/>
      <c r="G176" s="1"/>
      <c r="H176" s="1"/>
      <c r="I176" s="1"/>
      <c r="J176" s="2"/>
      <c r="K176" s="1"/>
      <c r="L176" s="3"/>
      <c r="M176" s="1"/>
      <c r="AP176" s="1"/>
      <c r="AQ176" s="1"/>
      <c r="AR176" s="1"/>
      <c r="AS176" s="1"/>
      <c r="AT176" s="1"/>
    </row>
    <row r="177" spans="1:46" s="18" customFormat="1" x14ac:dyDescent="0.2">
      <c r="A177" s="10"/>
      <c r="B177" s="10"/>
      <c r="C177" s="10"/>
      <c r="D177" s="10"/>
      <c r="E177" s="10"/>
      <c r="F177" s="10"/>
      <c r="G177" s="1"/>
      <c r="H177" s="1"/>
      <c r="I177" s="1"/>
      <c r="J177" s="2"/>
      <c r="K177" s="1"/>
      <c r="L177" s="3"/>
      <c r="M177" s="1"/>
      <c r="AP177" s="1"/>
      <c r="AQ177" s="1"/>
      <c r="AR177" s="1"/>
      <c r="AS177" s="1"/>
      <c r="AT177" s="1"/>
    </row>
    <row r="178" spans="1:46" s="18" customFormat="1" x14ac:dyDescent="0.2">
      <c r="A178" s="10"/>
      <c r="B178" s="10"/>
      <c r="C178" s="10"/>
      <c r="D178" s="10"/>
      <c r="E178" s="10"/>
      <c r="F178" s="10"/>
      <c r="G178" s="1"/>
      <c r="H178" s="1"/>
      <c r="I178" s="1"/>
      <c r="J178" s="2"/>
      <c r="K178" s="1"/>
      <c r="L178" s="3"/>
      <c r="M178" s="1"/>
      <c r="AP178" s="1"/>
      <c r="AQ178" s="1"/>
      <c r="AR178" s="1"/>
      <c r="AS178" s="1"/>
      <c r="AT178" s="1"/>
    </row>
    <row r="179" spans="1:46" s="18" customFormat="1" x14ac:dyDescent="0.2">
      <c r="A179" s="10"/>
      <c r="B179" s="10"/>
      <c r="C179" s="10"/>
      <c r="D179" s="10"/>
      <c r="E179" s="10"/>
      <c r="F179" s="10"/>
      <c r="G179" s="1"/>
      <c r="H179" s="1"/>
      <c r="I179" s="1"/>
      <c r="J179" s="2"/>
      <c r="K179" s="1"/>
      <c r="L179" s="3"/>
      <c r="M179" s="1"/>
      <c r="AP179" s="1"/>
      <c r="AQ179" s="1"/>
      <c r="AR179" s="1"/>
      <c r="AS179" s="1"/>
      <c r="AT179" s="1"/>
    </row>
    <row r="180" spans="1:46" s="18" customFormat="1" x14ac:dyDescent="0.2">
      <c r="A180" s="10"/>
      <c r="B180" s="10"/>
      <c r="C180" s="10"/>
      <c r="D180" s="10"/>
      <c r="E180" s="10"/>
      <c r="F180" s="10"/>
      <c r="G180" s="1"/>
      <c r="H180" s="1"/>
      <c r="I180" s="1"/>
      <c r="J180" s="2"/>
      <c r="K180" s="1"/>
      <c r="L180" s="3"/>
      <c r="M180" s="1"/>
      <c r="AP180" s="1"/>
      <c r="AQ180" s="1"/>
      <c r="AR180" s="1"/>
      <c r="AS180" s="1"/>
      <c r="AT180" s="1"/>
    </row>
    <row r="181" spans="1:46" s="18" customFormat="1" x14ac:dyDescent="0.2">
      <c r="A181" s="10"/>
      <c r="B181" s="10"/>
      <c r="C181" s="10"/>
      <c r="D181" s="10"/>
      <c r="E181" s="10"/>
      <c r="F181" s="10"/>
      <c r="G181" s="1"/>
      <c r="H181" s="1"/>
      <c r="I181" s="1"/>
      <c r="J181" s="2"/>
      <c r="K181" s="1"/>
      <c r="L181" s="3"/>
      <c r="M181" s="1"/>
      <c r="AP181" s="1"/>
      <c r="AQ181" s="1"/>
      <c r="AR181" s="1"/>
      <c r="AS181" s="1"/>
      <c r="AT181" s="1"/>
    </row>
    <row r="182" spans="1:46" s="18" customFormat="1" x14ac:dyDescent="0.2">
      <c r="A182" s="10"/>
      <c r="B182" s="10"/>
      <c r="C182" s="10"/>
      <c r="D182" s="10"/>
      <c r="E182" s="10"/>
      <c r="F182" s="10"/>
      <c r="G182" s="1"/>
      <c r="H182" s="1"/>
      <c r="I182" s="1"/>
      <c r="J182" s="2"/>
      <c r="K182" s="1"/>
      <c r="L182" s="3"/>
      <c r="M182" s="1"/>
      <c r="AP182" s="1"/>
      <c r="AQ182" s="1"/>
      <c r="AR182" s="1"/>
      <c r="AS182" s="1"/>
      <c r="AT182" s="1"/>
    </row>
    <row r="183" spans="1:46" s="18" customFormat="1" x14ac:dyDescent="0.2">
      <c r="A183" s="10"/>
      <c r="B183" s="10"/>
      <c r="C183" s="10"/>
      <c r="D183" s="10"/>
      <c r="E183" s="10"/>
      <c r="F183" s="10"/>
      <c r="G183" s="1"/>
      <c r="H183" s="1"/>
      <c r="I183" s="1"/>
      <c r="J183" s="2"/>
      <c r="K183" s="1"/>
      <c r="L183" s="3"/>
      <c r="M183" s="1"/>
      <c r="AP183" s="1"/>
      <c r="AQ183" s="1"/>
      <c r="AR183" s="1"/>
      <c r="AS183" s="1"/>
      <c r="AT183" s="1"/>
    </row>
    <row r="184" spans="1:46" s="18" customFormat="1" x14ac:dyDescent="0.2">
      <c r="A184" s="10"/>
      <c r="B184" s="10"/>
      <c r="C184" s="10"/>
      <c r="D184" s="10"/>
      <c r="E184" s="10"/>
      <c r="F184" s="10"/>
      <c r="G184" s="1"/>
      <c r="H184" s="1"/>
      <c r="I184" s="1"/>
      <c r="J184" s="2"/>
      <c r="K184" s="1"/>
      <c r="L184" s="3"/>
      <c r="M184" s="1"/>
      <c r="AP184" s="1"/>
      <c r="AQ184" s="1"/>
      <c r="AR184" s="1"/>
      <c r="AS184" s="1"/>
      <c r="AT184" s="1"/>
    </row>
    <row r="185" spans="1:46" s="18" customFormat="1" x14ac:dyDescent="0.2">
      <c r="A185" s="10"/>
      <c r="B185" s="10"/>
      <c r="C185" s="10"/>
      <c r="D185" s="10"/>
      <c r="E185" s="10"/>
      <c r="F185" s="10"/>
      <c r="G185" s="1"/>
      <c r="H185" s="1"/>
      <c r="I185" s="1"/>
      <c r="J185" s="2"/>
      <c r="K185" s="1"/>
      <c r="L185" s="3"/>
      <c r="M185" s="1"/>
      <c r="AP185" s="1"/>
      <c r="AQ185" s="1"/>
      <c r="AR185" s="1"/>
      <c r="AS185" s="1"/>
      <c r="AT185" s="1"/>
    </row>
    <row r="186" spans="1:46" s="18" customFormat="1" x14ac:dyDescent="0.2">
      <c r="A186" s="10"/>
      <c r="B186" s="10"/>
      <c r="C186" s="10"/>
      <c r="D186" s="10"/>
      <c r="E186" s="10"/>
      <c r="F186" s="10"/>
      <c r="G186" s="1"/>
      <c r="H186" s="1"/>
      <c r="I186" s="1"/>
      <c r="J186" s="2"/>
      <c r="K186" s="1"/>
      <c r="L186" s="3"/>
      <c r="M186" s="1"/>
      <c r="AP186" s="1"/>
      <c r="AQ186" s="1"/>
      <c r="AR186" s="1"/>
      <c r="AS186" s="1"/>
      <c r="AT186" s="1"/>
    </row>
    <row r="187" spans="1:46" s="18" customFormat="1" x14ac:dyDescent="0.2">
      <c r="A187" s="10"/>
      <c r="B187" s="10"/>
      <c r="C187" s="10"/>
      <c r="D187" s="10"/>
      <c r="E187" s="10"/>
      <c r="F187" s="10"/>
      <c r="G187" s="1"/>
      <c r="H187" s="1"/>
      <c r="I187" s="1"/>
      <c r="J187" s="2"/>
      <c r="K187" s="1"/>
      <c r="L187" s="3"/>
      <c r="M187" s="1"/>
      <c r="AP187" s="1"/>
      <c r="AQ187" s="1"/>
      <c r="AR187" s="1"/>
      <c r="AS187" s="1"/>
      <c r="AT187" s="1"/>
    </row>
    <row r="188" spans="1:46" s="18" customFormat="1" x14ac:dyDescent="0.2">
      <c r="A188" s="10"/>
      <c r="B188" s="10"/>
      <c r="C188" s="10"/>
      <c r="D188" s="10"/>
      <c r="E188" s="10"/>
      <c r="F188" s="10"/>
      <c r="G188" s="1"/>
      <c r="H188" s="1"/>
      <c r="I188" s="1"/>
      <c r="J188" s="2"/>
      <c r="K188" s="1"/>
      <c r="L188" s="3"/>
      <c r="M188" s="1"/>
      <c r="AP188" s="1"/>
      <c r="AQ188" s="1"/>
      <c r="AR188" s="1"/>
      <c r="AS188" s="1"/>
      <c r="AT188" s="1"/>
    </row>
    <row r="189" spans="1:46" s="18" customFormat="1" x14ac:dyDescent="0.2">
      <c r="A189" s="10"/>
      <c r="B189" s="10"/>
      <c r="C189" s="10"/>
      <c r="D189" s="10"/>
      <c r="E189" s="10"/>
      <c r="F189" s="10"/>
      <c r="G189" s="1"/>
      <c r="H189" s="1"/>
      <c r="I189" s="1"/>
      <c r="J189" s="2"/>
      <c r="K189" s="1"/>
      <c r="L189" s="3"/>
      <c r="M189" s="1"/>
      <c r="AP189" s="1"/>
      <c r="AQ189" s="1"/>
      <c r="AR189" s="1"/>
      <c r="AS189" s="1"/>
      <c r="AT189" s="1"/>
    </row>
    <row r="190" spans="1:46" s="18" customFormat="1" x14ac:dyDescent="0.2">
      <c r="A190" s="10"/>
      <c r="B190" s="10"/>
      <c r="C190" s="10"/>
      <c r="D190" s="10"/>
      <c r="E190" s="10"/>
      <c r="F190" s="10"/>
      <c r="G190" s="1"/>
      <c r="H190" s="1"/>
      <c r="I190" s="1"/>
      <c r="J190" s="2"/>
      <c r="K190" s="1"/>
      <c r="L190" s="3"/>
      <c r="M190" s="1"/>
      <c r="AP190" s="1"/>
      <c r="AQ190" s="1"/>
      <c r="AR190" s="1"/>
      <c r="AS190" s="1"/>
      <c r="AT190" s="1"/>
    </row>
    <row r="191" spans="1:46" s="18" customFormat="1" x14ac:dyDescent="0.2">
      <c r="A191" s="10"/>
      <c r="B191" s="10"/>
      <c r="C191" s="10"/>
      <c r="D191" s="10"/>
      <c r="E191" s="10"/>
      <c r="F191" s="10"/>
      <c r="G191" s="1"/>
      <c r="H191" s="1"/>
      <c r="I191" s="1"/>
      <c r="J191" s="2"/>
      <c r="K191" s="1"/>
      <c r="L191" s="3"/>
      <c r="M191" s="1"/>
      <c r="AP191" s="1"/>
      <c r="AQ191" s="1"/>
      <c r="AR191" s="1"/>
      <c r="AS191" s="1"/>
      <c r="AT191" s="1"/>
    </row>
    <row r="192" spans="1:46" s="18" customFormat="1" x14ac:dyDescent="0.2">
      <c r="A192" s="10"/>
      <c r="B192" s="10"/>
      <c r="C192" s="10"/>
      <c r="D192" s="10"/>
      <c r="E192" s="10"/>
      <c r="F192" s="10"/>
      <c r="G192" s="1"/>
      <c r="H192" s="1"/>
      <c r="I192" s="1"/>
      <c r="J192" s="2"/>
      <c r="K192" s="1"/>
      <c r="L192" s="3"/>
      <c r="M192" s="1"/>
      <c r="AP192" s="1"/>
      <c r="AQ192" s="1"/>
      <c r="AR192" s="1"/>
      <c r="AS192" s="1"/>
      <c r="AT192" s="1"/>
    </row>
    <row r="193" spans="1:46" s="18" customFormat="1" x14ac:dyDescent="0.2">
      <c r="A193" s="10"/>
      <c r="B193" s="10"/>
      <c r="C193" s="10"/>
      <c r="D193" s="10"/>
      <c r="E193" s="10"/>
      <c r="F193" s="10"/>
      <c r="G193" s="1"/>
      <c r="H193" s="1"/>
      <c r="I193" s="1"/>
      <c r="J193" s="2"/>
      <c r="K193" s="1"/>
      <c r="L193" s="3"/>
      <c r="M193" s="1"/>
      <c r="AP193" s="1"/>
      <c r="AQ193" s="1"/>
      <c r="AR193" s="1"/>
      <c r="AS193" s="1"/>
      <c r="AT193" s="1"/>
    </row>
    <row r="194" spans="1:46" s="18" customFormat="1" x14ac:dyDescent="0.2">
      <c r="A194" s="10"/>
      <c r="B194" s="10"/>
      <c r="C194" s="10"/>
      <c r="D194" s="10"/>
      <c r="E194" s="10"/>
      <c r="F194" s="10"/>
      <c r="G194" s="1"/>
      <c r="H194" s="1"/>
      <c r="I194" s="1"/>
      <c r="J194" s="2"/>
      <c r="K194" s="1"/>
      <c r="L194" s="3"/>
      <c r="M194" s="1"/>
      <c r="AP194" s="1"/>
      <c r="AQ194" s="1"/>
      <c r="AR194" s="1"/>
      <c r="AS194" s="1"/>
      <c r="AT194" s="1"/>
    </row>
    <row r="195" spans="1:46" s="18" customFormat="1" x14ac:dyDescent="0.2">
      <c r="A195" s="10"/>
      <c r="B195" s="10"/>
      <c r="C195" s="10"/>
      <c r="D195" s="10"/>
      <c r="E195" s="10"/>
      <c r="F195" s="10"/>
      <c r="G195" s="1"/>
      <c r="H195" s="1"/>
      <c r="I195" s="1"/>
      <c r="J195" s="2"/>
      <c r="K195" s="1"/>
      <c r="L195" s="3"/>
      <c r="M195" s="1"/>
      <c r="AP195" s="1"/>
      <c r="AQ195" s="1"/>
      <c r="AR195" s="1"/>
      <c r="AS195" s="1"/>
      <c r="AT195" s="1"/>
    </row>
    <row r="196" spans="1:46" s="18" customFormat="1" x14ac:dyDescent="0.2">
      <c r="A196" s="10"/>
      <c r="B196" s="10"/>
      <c r="C196" s="10"/>
      <c r="D196" s="10"/>
      <c r="E196" s="10"/>
      <c r="F196" s="10"/>
      <c r="G196" s="1"/>
      <c r="H196" s="1"/>
      <c r="I196" s="1"/>
      <c r="J196" s="2"/>
      <c r="K196" s="1"/>
      <c r="L196" s="3"/>
      <c r="M196" s="1"/>
      <c r="AP196" s="1"/>
      <c r="AQ196" s="1"/>
      <c r="AR196" s="1"/>
      <c r="AS196" s="1"/>
      <c r="AT196" s="1"/>
    </row>
    <row r="197" spans="1:46" s="18" customFormat="1" x14ac:dyDescent="0.2">
      <c r="A197" s="10"/>
      <c r="B197" s="10"/>
      <c r="C197" s="10"/>
      <c r="D197" s="10"/>
      <c r="E197" s="10"/>
      <c r="F197" s="10"/>
      <c r="G197" s="1"/>
      <c r="H197" s="1"/>
      <c r="I197" s="1"/>
      <c r="J197" s="2"/>
      <c r="K197" s="1"/>
      <c r="L197" s="3"/>
      <c r="M197" s="1"/>
      <c r="AP197" s="1"/>
      <c r="AQ197" s="1"/>
      <c r="AR197" s="1"/>
      <c r="AS197" s="1"/>
      <c r="AT197" s="1"/>
    </row>
    <row r="198" spans="1:46" s="18" customFormat="1" x14ac:dyDescent="0.2">
      <c r="A198" s="10"/>
      <c r="B198" s="10"/>
      <c r="C198" s="10"/>
      <c r="D198" s="10"/>
      <c r="E198" s="10"/>
      <c r="F198" s="10"/>
      <c r="G198" s="1"/>
      <c r="H198" s="1"/>
      <c r="I198" s="1"/>
      <c r="J198" s="2"/>
      <c r="K198" s="1"/>
      <c r="L198" s="3"/>
      <c r="M198" s="1"/>
      <c r="AP198" s="1"/>
      <c r="AQ198" s="1"/>
      <c r="AR198" s="1"/>
      <c r="AS198" s="1"/>
      <c r="AT198" s="1"/>
    </row>
    <row r="199" spans="1:46" s="18" customFormat="1" x14ac:dyDescent="0.2">
      <c r="A199" s="10"/>
      <c r="B199" s="10"/>
      <c r="C199" s="10"/>
      <c r="D199" s="10"/>
      <c r="E199" s="10"/>
      <c r="F199" s="10"/>
      <c r="G199" s="1"/>
      <c r="H199" s="1"/>
      <c r="I199" s="1"/>
      <c r="J199" s="2"/>
      <c r="K199" s="1"/>
      <c r="L199" s="3"/>
      <c r="M199" s="1"/>
      <c r="AP199" s="1"/>
      <c r="AQ199" s="1"/>
      <c r="AR199" s="1"/>
      <c r="AS199" s="1"/>
      <c r="AT199" s="1"/>
    </row>
    <row r="200" spans="1:46" s="18" customFormat="1" x14ac:dyDescent="0.2">
      <c r="A200" s="10"/>
      <c r="B200" s="10"/>
      <c r="C200" s="10"/>
      <c r="D200" s="10"/>
      <c r="E200" s="10"/>
      <c r="F200" s="10"/>
      <c r="G200" s="1"/>
      <c r="H200" s="1"/>
      <c r="I200" s="1"/>
      <c r="J200" s="2"/>
      <c r="K200" s="1"/>
      <c r="L200" s="3"/>
      <c r="M200" s="1"/>
      <c r="AP200" s="1"/>
      <c r="AQ200" s="1"/>
      <c r="AR200" s="1"/>
      <c r="AS200" s="1"/>
      <c r="AT200" s="1"/>
    </row>
    <row r="201" spans="1:46" s="18" customFormat="1" x14ac:dyDescent="0.2">
      <c r="A201" s="10"/>
      <c r="B201" s="10"/>
      <c r="C201" s="10"/>
      <c r="D201" s="10"/>
      <c r="E201" s="10"/>
      <c r="F201" s="10"/>
      <c r="G201" s="1"/>
      <c r="H201" s="1"/>
      <c r="I201" s="1"/>
      <c r="J201" s="2"/>
      <c r="K201" s="1"/>
      <c r="L201" s="3"/>
      <c r="M201" s="1"/>
      <c r="AP201" s="1"/>
      <c r="AQ201" s="1"/>
      <c r="AR201" s="1"/>
      <c r="AS201" s="1"/>
      <c r="AT201" s="1"/>
    </row>
    <row r="202" spans="1:46" s="18" customFormat="1" x14ac:dyDescent="0.2">
      <c r="A202" s="10"/>
      <c r="B202" s="10"/>
      <c r="C202" s="10"/>
      <c r="D202" s="10"/>
      <c r="E202" s="10"/>
      <c r="F202" s="10"/>
      <c r="G202" s="1"/>
      <c r="H202" s="1"/>
      <c r="I202" s="1"/>
      <c r="J202" s="2"/>
      <c r="K202" s="1"/>
      <c r="L202" s="3"/>
      <c r="M202" s="1"/>
      <c r="AP202" s="1"/>
      <c r="AQ202" s="1"/>
      <c r="AR202" s="1"/>
      <c r="AS202" s="1"/>
      <c r="AT202" s="1"/>
    </row>
    <row r="203" spans="1:46" s="18" customFormat="1" x14ac:dyDescent="0.2">
      <c r="A203" s="10"/>
      <c r="B203" s="10"/>
      <c r="C203" s="10"/>
      <c r="D203" s="10"/>
      <c r="E203" s="10"/>
      <c r="F203" s="10"/>
      <c r="G203" s="1"/>
      <c r="H203" s="1"/>
      <c r="I203" s="1"/>
      <c r="J203" s="2"/>
      <c r="K203" s="1"/>
      <c r="L203" s="3"/>
      <c r="M203" s="1"/>
      <c r="AP203" s="1"/>
      <c r="AQ203" s="1"/>
      <c r="AR203" s="1"/>
      <c r="AS203" s="1"/>
      <c r="AT203" s="1"/>
    </row>
    <row r="204" spans="1:46" s="18" customFormat="1" x14ac:dyDescent="0.2">
      <c r="A204" s="10"/>
      <c r="B204" s="10"/>
      <c r="C204" s="10"/>
      <c r="D204" s="10"/>
      <c r="E204" s="10"/>
      <c r="F204" s="10"/>
      <c r="G204" s="1"/>
      <c r="H204" s="1"/>
      <c r="I204" s="1"/>
      <c r="J204" s="2"/>
      <c r="K204" s="1"/>
      <c r="L204" s="3"/>
      <c r="M204" s="1"/>
      <c r="AP204" s="1"/>
      <c r="AQ204" s="1"/>
      <c r="AR204" s="1"/>
      <c r="AS204" s="1"/>
      <c r="AT204" s="1"/>
    </row>
    <row r="205" spans="1:46" s="18" customFormat="1" x14ac:dyDescent="0.2">
      <c r="A205" s="10"/>
      <c r="B205" s="10"/>
      <c r="C205" s="10"/>
      <c r="D205" s="10"/>
      <c r="E205" s="10"/>
      <c r="F205" s="10"/>
      <c r="G205" s="1"/>
      <c r="H205" s="1"/>
      <c r="I205" s="1"/>
      <c r="J205" s="2"/>
      <c r="K205" s="1"/>
      <c r="L205" s="3"/>
      <c r="M205" s="1"/>
      <c r="AP205" s="1"/>
      <c r="AQ205" s="1"/>
      <c r="AR205" s="1"/>
      <c r="AS205" s="1"/>
      <c r="AT205" s="1"/>
    </row>
    <row r="206" spans="1:46" s="18" customFormat="1" x14ac:dyDescent="0.2">
      <c r="A206" s="10"/>
      <c r="B206" s="10"/>
      <c r="C206" s="10"/>
      <c r="D206" s="10"/>
      <c r="E206" s="10"/>
      <c r="F206" s="10"/>
      <c r="G206" s="1"/>
      <c r="H206" s="1"/>
      <c r="I206" s="1"/>
      <c r="J206" s="2"/>
      <c r="K206" s="1"/>
      <c r="L206" s="3"/>
      <c r="M206" s="1"/>
      <c r="AP206" s="1"/>
      <c r="AQ206" s="1"/>
      <c r="AR206" s="1"/>
      <c r="AS206" s="1"/>
      <c r="AT206" s="1"/>
    </row>
    <row r="207" spans="1:46" s="18" customFormat="1" x14ac:dyDescent="0.2">
      <c r="A207" s="10"/>
      <c r="B207" s="10"/>
      <c r="C207" s="10"/>
      <c r="D207" s="10"/>
      <c r="E207" s="10"/>
      <c r="F207" s="10"/>
      <c r="G207" s="1"/>
      <c r="H207" s="1"/>
      <c r="I207" s="1"/>
      <c r="J207" s="2"/>
      <c r="K207" s="1"/>
      <c r="L207" s="3"/>
      <c r="M207" s="1"/>
      <c r="AP207" s="1"/>
      <c r="AQ207" s="1"/>
      <c r="AR207" s="1"/>
      <c r="AS207" s="1"/>
      <c r="AT207" s="1"/>
    </row>
    <row r="208" spans="1:46" s="18" customFormat="1" x14ac:dyDescent="0.2">
      <c r="A208" s="10"/>
      <c r="B208" s="10"/>
      <c r="C208" s="10"/>
      <c r="D208" s="10"/>
      <c r="E208" s="10"/>
      <c r="F208" s="10"/>
      <c r="G208" s="1"/>
      <c r="H208" s="1"/>
      <c r="I208" s="1"/>
      <c r="J208" s="2"/>
      <c r="K208" s="1"/>
      <c r="L208" s="3"/>
      <c r="M208" s="1"/>
      <c r="AP208" s="1"/>
      <c r="AQ208" s="1"/>
      <c r="AR208" s="1"/>
      <c r="AS208" s="1"/>
      <c r="AT208" s="1"/>
    </row>
    <row r="209" spans="1:46" s="18" customFormat="1" x14ac:dyDescent="0.2">
      <c r="A209" s="10"/>
      <c r="B209" s="10"/>
      <c r="C209" s="10"/>
      <c r="D209" s="10"/>
      <c r="E209" s="10"/>
      <c r="F209" s="10"/>
      <c r="G209" s="1"/>
      <c r="H209" s="1"/>
      <c r="I209" s="1"/>
      <c r="J209" s="2"/>
      <c r="K209" s="1"/>
      <c r="L209" s="3"/>
      <c r="M209" s="1"/>
      <c r="AP209" s="1"/>
      <c r="AQ209" s="1"/>
      <c r="AR209" s="1"/>
      <c r="AS209" s="1"/>
      <c r="AT209" s="1"/>
    </row>
    <row r="210" spans="1:46" s="18" customFormat="1" x14ac:dyDescent="0.2">
      <c r="A210" s="10"/>
      <c r="B210" s="10"/>
      <c r="C210" s="10"/>
      <c r="D210" s="10"/>
      <c r="E210" s="10"/>
      <c r="F210" s="10"/>
      <c r="G210" s="1"/>
      <c r="H210" s="1"/>
      <c r="I210" s="1"/>
      <c r="J210" s="2"/>
      <c r="K210" s="1"/>
      <c r="L210" s="3"/>
      <c r="M210" s="1"/>
      <c r="AP210" s="1"/>
      <c r="AQ210" s="1"/>
      <c r="AR210" s="1"/>
      <c r="AS210" s="1"/>
      <c r="AT210" s="1"/>
    </row>
    <row r="211" spans="1:46" s="18" customFormat="1" x14ac:dyDescent="0.2">
      <c r="A211" s="10"/>
      <c r="B211" s="10"/>
      <c r="C211" s="10"/>
      <c r="D211" s="10"/>
      <c r="E211" s="10"/>
      <c r="F211" s="10"/>
      <c r="G211" s="1"/>
      <c r="H211" s="1"/>
      <c r="I211" s="1"/>
      <c r="J211" s="2"/>
      <c r="K211" s="1"/>
      <c r="L211" s="3"/>
      <c r="M211" s="1"/>
      <c r="AP211" s="1"/>
      <c r="AQ211" s="1"/>
      <c r="AR211" s="1"/>
      <c r="AS211" s="1"/>
      <c r="AT211" s="1"/>
    </row>
    <row r="212" spans="1:46" s="18" customFormat="1" x14ac:dyDescent="0.2">
      <c r="A212" s="10"/>
      <c r="B212" s="10"/>
      <c r="C212" s="10"/>
      <c r="D212" s="10"/>
      <c r="E212" s="10"/>
      <c r="F212" s="10"/>
      <c r="G212" s="1"/>
      <c r="H212" s="1"/>
      <c r="I212" s="1"/>
      <c r="J212" s="2"/>
      <c r="K212" s="1"/>
      <c r="L212" s="3"/>
      <c r="M212" s="1"/>
      <c r="AP212" s="1"/>
      <c r="AQ212" s="1"/>
      <c r="AR212" s="1"/>
      <c r="AS212" s="1"/>
      <c r="AT212" s="1"/>
    </row>
    <row r="213" spans="1:46" s="18" customFormat="1" x14ac:dyDescent="0.2">
      <c r="A213" s="10"/>
      <c r="B213" s="10"/>
      <c r="C213" s="10"/>
      <c r="D213" s="10"/>
      <c r="E213" s="10"/>
      <c r="F213" s="10"/>
      <c r="G213" s="1"/>
      <c r="H213" s="1"/>
      <c r="I213" s="1"/>
      <c r="J213" s="2"/>
      <c r="K213" s="1"/>
      <c r="L213" s="3"/>
      <c r="M213" s="1"/>
      <c r="AP213" s="1"/>
      <c r="AQ213" s="1"/>
      <c r="AR213" s="1"/>
      <c r="AS213" s="1"/>
      <c r="AT213" s="1"/>
    </row>
    <row r="214" spans="1:46" s="18" customFormat="1" x14ac:dyDescent="0.2">
      <c r="A214" s="10"/>
      <c r="B214" s="10"/>
      <c r="C214" s="10"/>
      <c r="D214" s="10"/>
      <c r="E214" s="10"/>
      <c r="F214" s="10"/>
      <c r="G214" s="1"/>
      <c r="H214" s="1"/>
      <c r="I214" s="1"/>
      <c r="J214" s="2"/>
      <c r="K214" s="1"/>
      <c r="L214" s="3"/>
      <c r="M214" s="1"/>
      <c r="AP214" s="1"/>
      <c r="AQ214" s="1"/>
      <c r="AR214" s="1"/>
      <c r="AS214" s="1"/>
      <c r="AT214" s="1"/>
    </row>
    <row r="215" spans="1:46" s="18" customFormat="1" x14ac:dyDescent="0.2">
      <c r="A215" s="10"/>
      <c r="B215" s="10"/>
      <c r="C215" s="10"/>
      <c r="D215" s="10"/>
      <c r="E215" s="10"/>
      <c r="F215" s="10"/>
      <c r="G215" s="1"/>
      <c r="H215" s="1"/>
      <c r="I215" s="1"/>
      <c r="J215" s="2"/>
      <c r="K215" s="1"/>
      <c r="L215" s="3"/>
      <c r="M215" s="1"/>
      <c r="AP215" s="1"/>
      <c r="AQ215" s="1"/>
      <c r="AR215" s="1"/>
      <c r="AS215" s="1"/>
      <c r="AT215" s="1"/>
    </row>
    <row r="216" spans="1:46" s="18" customFormat="1" x14ac:dyDescent="0.2">
      <c r="A216" s="10"/>
      <c r="B216" s="10"/>
      <c r="C216" s="10"/>
      <c r="D216" s="10"/>
      <c r="E216" s="10"/>
      <c r="F216" s="10"/>
      <c r="G216" s="1"/>
      <c r="H216" s="1"/>
      <c r="I216" s="1"/>
      <c r="J216" s="2"/>
      <c r="K216" s="1"/>
      <c r="L216" s="3"/>
      <c r="M216" s="1"/>
      <c r="AP216" s="1"/>
      <c r="AQ216" s="1"/>
      <c r="AR216" s="1"/>
      <c r="AS216" s="1"/>
      <c r="AT216" s="1"/>
    </row>
    <row r="217" spans="1:46" s="18" customFormat="1" x14ac:dyDescent="0.2">
      <c r="A217" s="10"/>
      <c r="B217" s="10"/>
      <c r="C217" s="10"/>
      <c r="D217" s="10"/>
      <c r="E217" s="10"/>
      <c r="F217" s="10"/>
      <c r="G217" s="1"/>
      <c r="H217" s="1"/>
      <c r="I217" s="1"/>
      <c r="J217" s="2"/>
      <c r="K217" s="1"/>
      <c r="L217" s="3"/>
      <c r="M217" s="1"/>
      <c r="AP217" s="1"/>
      <c r="AQ217" s="1"/>
      <c r="AR217" s="1"/>
      <c r="AS217" s="1"/>
      <c r="AT217" s="1"/>
    </row>
    <row r="218" spans="1:46" s="18" customFormat="1" x14ac:dyDescent="0.2">
      <c r="A218" s="10"/>
      <c r="B218" s="10"/>
      <c r="C218" s="10"/>
      <c r="D218" s="10"/>
      <c r="E218" s="10"/>
      <c r="F218" s="10"/>
      <c r="G218" s="1"/>
      <c r="H218" s="1"/>
      <c r="I218" s="1"/>
      <c r="J218" s="2"/>
      <c r="K218" s="1"/>
      <c r="L218" s="3"/>
      <c r="M218" s="1"/>
      <c r="AP218" s="1"/>
      <c r="AQ218" s="1"/>
      <c r="AR218" s="1"/>
      <c r="AS218" s="1"/>
      <c r="AT218" s="1"/>
    </row>
    <row r="219" spans="1:46" s="18" customFormat="1" x14ac:dyDescent="0.2">
      <c r="A219" s="10"/>
      <c r="B219" s="10"/>
      <c r="C219" s="10"/>
      <c r="D219" s="10"/>
      <c r="E219" s="10"/>
      <c r="F219" s="10"/>
      <c r="G219" s="1"/>
      <c r="H219" s="1"/>
      <c r="I219" s="1"/>
      <c r="J219" s="2"/>
      <c r="K219" s="1"/>
      <c r="L219" s="3"/>
      <c r="M219" s="1"/>
      <c r="AP219" s="1"/>
      <c r="AQ219" s="1"/>
      <c r="AR219" s="1"/>
      <c r="AS219" s="1"/>
      <c r="AT219" s="1"/>
    </row>
    <row r="220" spans="1:46" s="18" customFormat="1" x14ac:dyDescent="0.2">
      <c r="A220" s="10"/>
      <c r="B220" s="10"/>
      <c r="C220" s="10"/>
      <c r="D220" s="10"/>
      <c r="E220" s="10"/>
      <c r="F220" s="10"/>
      <c r="G220" s="1"/>
      <c r="H220" s="1"/>
      <c r="I220" s="1"/>
      <c r="J220" s="2"/>
      <c r="K220" s="1"/>
      <c r="L220" s="3"/>
      <c r="M220" s="1"/>
      <c r="AP220" s="1"/>
      <c r="AQ220" s="1"/>
      <c r="AR220" s="1"/>
      <c r="AS220" s="1"/>
      <c r="AT220" s="1"/>
    </row>
    <row r="221" spans="1:46" s="18" customFormat="1" x14ac:dyDescent="0.2">
      <c r="A221" s="10"/>
      <c r="B221" s="10"/>
      <c r="C221" s="10"/>
      <c r="D221" s="10"/>
      <c r="E221" s="10"/>
      <c r="F221" s="10"/>
      <c r="G221" s="1"/>
      <c r="H221" s="1"/>
      <c r="I221" s="1"/>
      <c r="J221" s="2"/>
      <c r="K221" s="1"/>
      <c r="L221" s="3"/>
      <c r="M221" s="1"/>
      <c r="AP221" s="1"/>
      <c r="AQ221" s="1"/>
      <c r="AR221" s="1"/>
      <c r="AS221" s="1"/>
      <c r="AT221" s="1"/>
    </row>
    <row r="222" spans="1:46" s="18" customFormat="1" x14ac:dyDescent="0.2">
      <c r="A222" s="10"/>
      <c r="B222" s="10"/>
      <c r="C222" s="10"/>
      <c r="D222" s="10"/>
      <c r="E222" s="10"/>
      <c r="F222" s="10"/>
      <c r="G222" s="1"/>
      <c r="H222" s="1"/>
      <c r="I222" s="1"/>
      <c r="J222" s="2"/>
      <c r="K222" s="1"/>
      <c r="L222" s="3"/>
      <c r="M222" s="1"/>
      <c r="AP222" s="1"/>
      <c r="AQ222" s="1"/>
      <c r="AR222" s="1"/>
      <c r="AS222" s="1"/>
      <c r="AT222" s="1"/>
    </row>
    <row r="223" spans="1:46" s="18" customFormat="1" x14ac:dyDescent="0.2">
      <c r="A223" s="10"/>
      <c r="B223" s="10"/>
      <c r="C223" s="10"/>
      <c r="D223" s="10"/>
      <c r="E223" s="10"/>
      <c r="F223" s="10"/>
      <c r="G223" s="1"/>
      <c r="H223" s="1"/>
      <c r="I223" s="1"/>
      <c r="J223" s="2"/>
      <c r="K223" s="1"/>
      <c r="L223" s="3"/>
      <c r="M223" s="1"/>
      <c r="AP223" s="1"/>
      <c r="AQ223" s="1"/>
      <c r="AR223" s="1"/>
      <c r="AS223" s="1"/>
      <c r="AT223" s="1"/>
    </row>
    <row r="224" spans="1:46" s="18" customFormat="1" x14ac:dyDescent="0.2">
      <c r="A224" s="10"/>
      <c r="B224" s="10"/>
      <c r="C224" s="10"/>
      <c r="D224" s="10"/>
      <c r="E224" s="10"/>
      <c r="F224" s="10"/>
      <c r="G224" s="1"/>
      <c r="H224" s="1"/>
      <c r="I224" s="1"/>
      <c r="J224" s="2"/>
      <c r="K224" s="1"/>
      <c r="L224" s="3"/>
      <c r="M224" s="1"/>
      <c r="AP224" s="1"/>
      <c r="AQ224" s="1"/>
      <c r="AR224" s="1"/>
      <c r="AS224" s="1"/>
      <c r="AT224" s="1"/>
    </row>
    <row r="225" spans="1:46" s="18" customFormat="1" x14ac:dyDescent="0.2">
      <c r="A225" s="10"/>
      <c r="B225" s="10"/>
      <c r="C225" s="10"/>
      <c r="D225" s="10"/>
      <c r="E225" s="10"/>
      <c r="F225" s="10"/>
      <c r="G225" s="1"/>
      <c r="H225" s="1"/>
      <c r="I225" s="1"/>
      <c r="J225" s="2"/>
      <c r="K225" s="1"/>
      <c r="L225" s="3"/>
      <c r="M225" s="1"/>
      <c r="AP225" s="1"/>
      <c r="AQ225" s="1"/>
      <c r="AR225" s="1"/>
      <c r="AS225" s="1"/>
      <c r="AT225" s="1"/>
    </row>
    <row r="226" spans="1:46" s="18" customFormat="1" x14ac:dyDescent="0.2">
      <c r="A226" s="10"/>
      <c r="B226" s="10"/>
      <c r="C226" s="10"/>
      <c r="D226" s="10"/>
      <c r="E226" s="10"/>
      <c r="F226" s="10"/>
      <c r="G226" s="1"/>
      <c r="H226" s="1"/>
      <c r="I226" s="1"/>
      <c r="J226" s="2"/>
      <c r="K226" s="1"/>
      <c r="L226" s="3"/>
      <c r="M226" s="1"/>
      <c r="AP226" s="1"/>
      <c r="AQ226" s="1"/>
      <c r="AR226" s="1"/>
      <c r="AS226" s="1"/>
      <c r="AT226" s="1"/>
    </row>
    <row r="227" spans="1:46" s="18" customFormat="1" x14ac:dyDescent="0.2">
      <c r="A227" s="10"/>
      <c r="B227" s="10"/>
      <c r="C227" s="10"/>
      <c r="D227" s="10"/>
      <c r="E227" s="10"/>
      <c r="F227" s="10"/>
      <c r="G227" s="1"/>
      <c r="H227" s="1"/>
      <c r="I227" s="1"/>
      <c r="J227" s="2"/>
      <c r="K227" s="1"/>
      <c r="L227" s="3"/>
      <c r="M227" s="1"/>
      <c r="AP227" s="1"/>
      <c r="AQ227" s="1"/>
      <c r="AR227" s="1"/>
      <c r="AS227" s="1"/>
      <c r="AT227" s="1"/>
    </row>
    <row r="228" spans="1:46" s="18" customFormat="1" x14ac:dyDescent="0.2">
      <c r="A228" s="10"/>
      <c r="B228" s="10"/>
      <c r="C228" s="10"/>
      <c r="D228" s="10"/>
      <c r="E228" s="10"/>
      <c r="F228" s="10"/>
      <c r="G228" s="1"/>
      <c r="H228" s="1"/>
      <c r="I228" s="1"/>
      <c r="J228" s="2"/>
      <c r="K228" s="1"/>
      <c r="L228" s="3"/>
      <c r="M228" s="1"/>
      <c r="AP228" s="1"/>
      <c r="AQ228" s="1"/>
      <c r="AR228" s="1"/>
      <c r="AS228" s="1"/>
      <c r="AT228" s="1"/>
    </row>
    <row r="229" spans="1:46" s="18" customFormat="1" x14ac:dyDescent="0.2">
      <c r="A229" s="10"/>
      <c r="B229" s="10"/>
      <c r="C229" s="10"/>
      <c r="D229" s="10"/>
      <c r="E229" s="10"/>
      <c r="F229" s="10"/>
      <c r="G229" s="1"/>
      <c r="H229" s="1"/>
      <c r="I229" s="1"/>
      <c r="J229" s="2"/>
      <c r="K229" s="1"/>
      <c r="L229" s="3"/>
      <c r="M229" s="1"/>
      <c r="AP229" s="1"/>
      <c r="AQ229" s="1"/>
      <c r="AR229" s="1"/>
      <c r="AS229" s="1"/>
      <c r="AT229" s="1"/>
    </row>
    <row r="230" spans="1:46" s="18" customFormat="1" x14ac:dyDescent="0.2">
      <c r="A230" s="10"/>
      <c r="B230" s="10"/>
      <c r="C230" s="10"/>
      <c r="D230" s="10"/>
      <c r="E230" s="10"/>
      <c r="F230" s="10"/>
      <c r="G230" s="1"/>
      <c r="H230" s="1"/>
      <c r="I230" s="1"/>
      <c r="J230" s="2"/>
      <c r="K230" s="1"/>
      <c r="L230" s="3"/>
      <c r="M230" s="1"/>
      <c r="AP230" s="1"/>
      <c r="AQ230" s="1"/>
      <c r="AR230" s="1"/>
      <c r="AS230" s="1"/>
      <c r="AT230" s="1"/>
    </row>
    <row r="231" spans="1:46" s="18" customFormat="1" x14ac:dyDescent="0.2">
      <c r="A231" s="10"/>
      <c r="B231" s="10"/>
      <c r="C231" s="10"/>
      <c r="D231" s="10"/>
      <c r="E231" s="10"/>
      <c r="F231" s="10"/>
      <c r="G231" s="1"/>
      <c r="H231" s="1"/>
      <c r="I231" s="1"/>
      <c r="J231" s="2"/>
      <c r="K231" s="1"/>
      <c r="L231" s="3"/>
      <c r="M231" s="1"/>
      <c r="AP231" s="1"/>
      <c r="AQ231" s="1"/>
      <c r="AR231" s="1"/>
      <c r="AS231" s="1"/>
      <c r="AT231" s="1"/>
    </row>
    <row r="232" spans="1:46" s="18" customFormat="1" x14ac:dyDescent="0.2">
      <c r="A232" s="10"/>
      <c r="B232" s="10"/>
      <c r="C232" s="10"/>
      <c r="D232" s="10"/>
      <c r="E232" s="10"/>
      <c r="F232" s="10"/>
      <c r="G232" s="1"/>
      <c r="H232" s="1"/>
      <c r="I232" s="1"/>
      <c r="J232" s="2"/>
      <c r="K232" s="1"/>
      <c r="L232" s="3"/>
      <c r="M232" s="1"/>
      <c r="N232" s="1"/>
      <c r="AP232" s="1"/>
      <c r="AQ232" s="1"/>
      <c r="AR232" s="1"/>
      <c r="AS232" s="1"/>
      <c r="AT232" s="1"/>
    </row>
    <row r="233" spans="1:46" s="18" customFormat="1" x14ac:dyDescent="0.2">
      <c r="A233" s="10"/>
      <c r="B233" s="10"/>
      <c r="C233" s="10"/>
      <c r="D233" s="10"/>
      <c r="E233" s="10"/>
      <c r="F233" s="10"/>
      <c r="G233" s="1"/>
      <c r="H233" s="1"/>
      <c r="I233" s="1"/>
      <c r="J233" s="2"/>
      <c r="K233" s="1"/>
      <c r="L233" s="3"/>
      <c r="M233" s="1"/>
      <c r="N233" s="1"/>
      <c r="AP233" s="1"/>
      <c r="AQ233" s="1"/>
      <c r="AR233" s="1"/>
      <c r="AS233" s="1"/>
      <c r="AT233" s="1"/>
    </row>
  </sheetData>
  <mergeCells count="2">
    <mergeCell ref="N3:O3"/>
    <mergeCell ref="P3:Q3"/>
  </mergeCells>
  <conditionalFormatting sqref="N10:AO41">
    <cfRule type="cellIs" dxfId="49" priority="8" operator="lessThan">
      <formula>0</formula>
    </cfRule>
  </conditionalFormatting>
  <pageMargins left="0.7" right="0.7" top="0.75" bottom="0.75" header="0.3" footer="0.3"/>
  <pageSetup orientation="portrait" horizontalDpi="4294967295" verticalDpi="4294967295"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FBC34-588E-4C9E-BE78-1E58F5C338D0}">
  <sheetPr>
    <tabColor rgb="FF0000FF"/>
  </sheetPr>
  <dimension ref="A1:AD38"/>
  <sheetViews>
    <sheetView workbookViewId="0"/>
  </sheetViews>
  <sheetFormatPr defaultColWidth="8.88671875" defaultRowHeight="14.4" x14ac:dyDescent="0.3"/>
  <sheetData>
    <row r="1" spans="1:30" x14ac:dyDescent="0.3">
      <c r="A1" s="359"/>
      <c r="B1" s="359"/>
      <c r="C1" s="359"/>
      <c r="D1" s="359"/>
      <c r="E1" s="359"/>
      <c r="F1" s="359"/>
      <c r="G1" s="359"/>
      <c r="H1" s="359"/>
      <c r="I1" s="359"/>
      <c r="J1" s="359"/>
      <c r="K1" s="359"/>
      <c r="L1" s="359"/>
      <c r="M1" s="359"/>
      <c r="N1" s="359"/>
      <c r="O1" s="359"/>
      <c r="P1" s="359"/>
      <c r="Q1" s="359"/>
      <c r="R1" s="359"/>
      <c r="S1" s="359"/>
      <c r="T1" s="359"/>
      <c r="U1" s="359"/>
      <c r="V1" s="359"/>
      <c r="W1" s="359"/>
      <c r="X1" s="359"/>
      <c r="Y1" s="359"/>
      <c r="Z1" s="359"/>
      <c r="AA1" s="359"/>
      <c r="AB1" s="359"/>
      <c r="AC1" s="359"/>
      <c r="AD1" s="359"/>
    </row>
    <row r="2" spans="1:30" x14ac:dyDescent="0.3">
      <c r="A2" s="359"/>
      <c r="B2" s="359"/>
      <c r="C2" s="359"/>
      <c r="D2" s="359"/>
      <c r="E2" s="359"/>
      <c r="F2" s="359"/>
      <c r="G2" s="359"/>
      <c r="H2" s="359"/>
      <c r="I2" s="359"/>
      <c r="J2" s="359"/>
      <c r="K2" s="359"/>
      <c r="L2" s="359"/>
      <c r="M2" s="359"/>
      <c r="N2" s="359"/>
      <c r="O2" s="359"/>
      <c r="P2" s="359"/>
      <c r="Q2" s="359"/>
      <c r="R2" s="359"/>
      <c r="S2" s="359"/>
      <c r="T2" s="359"/>
      <c r="U2" s="359"/>
      <c r="V2" s="359"/>
      <c r="W2" s="359"/>
      <c r="X2" s="359"/>
      <c r="Y2" s="359"/>
      <c r="Z2" s="359"/>
      <c r="AA2" s="359"/>
      <c r="AB2" s="359"/>
      <c r="AC2" s="359"/>
      <c r="AD2" s="359"/>
    </row>
    <row r="3" spans="1:30" x14ac:dyDescent="0.3">
      <c r="A3" s="359"/>
      <c r="B3" s="359"/>
      <c r="C3" s="360"/>
      <c r="D3" s="360"/>
      <c r="E3" s="360"/>
      <c r="F3" s="360"/>
      <c r="G3" s="360"/>
      <c r="H3" s="360"/>
      <c r="I3" s="360"/>
      <c r="J3" s="360"/>
      <c r="K3" s="360"/>
      <c r="L3" s="360"/>
      <c r="M3" s="360"/>
      <c r="N3" s="360"/>
      <c r="O3" s="360"/>
      <c r="P3" s="360"/>
      <c r="Q3" s="360"/>
      <c r="R3" s="360"/>
      <c r="S3" s="360"/>
      <c r="T3" s="360"/>
      <c r="U3" s="360"/>
      <c r="V3" s="360"/>
      <c r="W3" s="360"/>
      <c r="X3" s="360"/>
      <c r="Y3" s="360"/>
      <c r="Z3" s="360"/>
      <c r="AA3" s="360"/>
      <c r="AB3" s="360"/>
      <c r="AC3" s="360"/>
      <c r="AD3" s="359"/>
    </row>
    <row r="4" spans="1:30" x14ac:dyDescent="0.3">
      <c r="A4" s="359"/>
      <c r="B4" s="359"/>
      <c r="C4" s="360"/>
      <c r="D4" s="360"/>
      <c r="E4" s="360"/>
      <c r="F4" s="360"/>
      <c r="G4" s="360"/>
      <c r="H4" s="360"/>
      <c r="I4" s="360"/>
      <c r="J4" s="360"/>
      <c r="K4" s="360"/>
      <c r="L4" s="360"/>
      <c r="M4" s="360"/>
      <c r="N4" s="360"/>
      <c r="O4" s="360"/>
      <c r="P4" s="360"/>
      <c r="Q4" s="360"/>
      <c r="R4" s="360"/>
      <c r="S4" s="360"/>
      <c r="T4" s="360"/>
      <c r="U4" s="360"/>
      <c r="V4" s="360"/>
      <c r="W4" s="360"/>
      <c r="X4" s="360"/>
      <c r="Y4" s="360"/>
      <c r="Z4" s="360"/>
      <c r="AA4" s="360"/>
      <c r="AB4" s="360"/>
      <c r="AC4" s="360"/>
      <c r="AD4" s="359"/>
    </row>
    <row r="5" spans="1:30" x14ac:dyDescent="0.3">
      <c r="A5" s="359"/>
      <c r="B5" s="359"/>
      <c r="C5" s="360"/>
      <c r="D5" s="360"/>
      <c r="E5" s="360"/>
      <c r="F5" s="360"/>
      <c r="G5" s="360"/>
      <c r="H5" s="360"/>
      <c r="I5" s="360"/>
      <c r="J5" s="360"/>
      <c r="K5" s="360"/>
      <c r="L5" s="360"/>
      <c r="M5" s="360"/>
      <c r="N5" s="360"/>
      <c r="O5" s="360"/>
      <c r="P5" s="360"/>
      <c r="Q5" s="360"/>
      <c r="R5" s="360"/>
      <c r="S5" s="360"/>
      <c r="T5" s="360"/>
      <c r="U5" s="360"/>
      <c r="V5" s="360"/>
      <c r="W5" s="360"/>
      <c r="X5" s="360"/>
      <c r="Y5" s="360"/>
      <c r="Z5" s="360"/>
      <c r="AA5" s="360"/>
      <c r="AB5" s="360"/>
      <c r="AC5" s="360"/>
      <c r="AD5" s="359"/>
    </row>
    <row r="6" spans="1:30" x14ac:dyDescent="0.3">
      <c r="A6" s="359"/>
      <c r="B6" s="359"/>
      <c r="C6" s="360"/>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59"/>
    </row>
    <row r="7" spans="1:30" x14ac:dyDescent="0.3">
      <c r="A7" s="359"/>
      <c r="B7" s="359"/>
      <c r="C7" s="360"/>
      <c r="D7" s="360"/>
      <c r="E7" s="360"/>
      <c r="F7" s="360"/>
      <c r="G7" s="360"/>
      <c r="H7" s="360"/>
      <c r="I7" s="360"/>
      <c r="J7" s="360"/>
      <c r="K7" s="360"/>
      <c r="L7" s="360"/>
      <c r="M7" s="360"/>
      <c r="N7" s="360"/>
      <c r="O7" s="360"/>
      <c r="P7" s="360"/>
      <c r="Q7" s="360"/>
      <c r="R7" s="360"/>
      <c r="S7" s="360"/>
      <c r="T7" s="360"/>
      <c r="U7" s="360"/>
      <c r="V7" s="360"/>
      <c r="W7" s="360"/>
      <c r="X7" s="360"/>
      <c r="Y7" s="360"/>
      <c r="Z7" s="360"/>
      <c r="AA7" s="360"/>
      <c r="AB7" s="360"/>
      <c r="AC7" s="360"/>
      <c r="AD7" s="359"/>
    </row>
    <row r="8" spans="1:30" x14ac:dyDescent="0.3">
      <c r="A8" s="359"/>
      <c r="B8" s="359"/>
      <c r="C8" s="360"/>
      <c r="D8" s="360"/>
      <c r="E8" s="360"/>
      <c r="F8" s="360"/>
      <c r="G8" s="360"/>
      <c r="H8" s="360"/>
      <c r="I8" s="360"/>
      <c r="J8" s="360"/>
      <c r="K8" s="360"/>
      <c r="L8" s="360"/>
      <c r="M8" s="360"/>
      <c r="N8" s="360"/>
      <c r="O8" s="360"/>
      <c r="P8" s="360"/>
      <c r="Q8" s="360"/>
      <c r="R8" s="360"/>
      <c r="S8" s="360"/>
      <c r="T8" s="360"/>
      <c r="U8" s="360"/>
      <c r="V8" s="360"/>
      <c r="W8" s="360"/>
      <c r="X8" s="360"/>
      <c r="Y8" s="360"/>
      <c r="Z8" s="360"/>
      <c r="AA8" s="360"/>
      <c r="AB8" s="360"/>
      <c r="AC8" s="360"/>
      <c r="AD8" s="359"/>
    </row>
    <row r="9" spans="1:30" x14ac:dyDescent="0.3">
      <c r="A9" s="359"/>
      <c r="B9" s="359"/>
      <c r="C9" s="360"/>
      <c r="D9" s="360"/>
      <c r="E9" s="360"/>
      <c r="F9" s="360"/>
      <c r="G9" s="360"/>
      <c r="H9" s="360"/>
      <c r="I9" s="360"/>
      <c r="J9" s="360"/>
      <c r="K9" s="360"/>
      <c r="L9" s="360"/>
      <c r="M9" s="360"/>
      <c r="N9" s="360"/>
      <c r="O9" s="360"/>
      <c r="P9" s="360"/>
      <c r="Q9" s="360"/>
      <c r="R9" s="360"/>
      <c r="S9" s="360"/>
      <c r="T9" s="360"/>
      <c r="U9" s="360"/>
      <c r="V9" s="360"/>
      <c r="W9" s="360"/>
      <c r="X9" s="360"/>
      <c r="Y9" s="360"/>
      <c r="Z9" s="360"/>
      <c r="AA9" s="360"/>
      <c r="AB9" s="360"/>
      <c r="AC9" s="360"/>
      <c r="AD9" s="359"/>
    </row>
    <row r="10" spans="1:30" x14ac:dyDescent="0.3">
      <c r="A10" s="359"/>
      <c r="B10" s="359"/>
      <c r="C10" s="360"/>
      <c r="D10" s="360"/>
      <c r="E10" s="360"/>
      <c r="F10" s="360"/>
      <c r="G10" s="360"/>
      <c r="H10" s="360"/>
      <c r="I10" s="360"/>
      <c r="J10" s="360"/>
      <c r="K10" s="360"/>
      <c r="L10" s="360"/>
      <c r="M10" s="360"/>
      <c r="N10" s="360"/>
      <c r="O10" s="360"/>
      <c r="P10" s="360"/>
      <c r="Q10" s="360"/>
      <c r="R10" s="360"/>
      <c r="S10" s="360"/>
      <c r="T10" s="360"/>
      <c r="U10" s="360"/>
      <c r="V10" s="360"/>
      <c r="W10" s="360"/>
      <c r="X10" s="360"/>
      <c r="Y10" s="360"/>
      <c r="Z10" s="360"/>
      <c r="AA10" s="360"/>
      <c r="AB10" s="360"/>
      <c r="AC10" s="360"/>
      <c r="AD10" s="359"/>
    </row>
    <row r="11" spans="1:30" x14ac:dyDescent="0.3">
      <c r="A11" s="359"/>
      <c r="B11" s="359"/>
      <c r="C11" s="360"/>
      <c r="D11" s="360"/>
      <c r="E11" s="360"/>
      <c r="F11" s="360"/>
      <c r="G11" s="360"/>
      <c r="H11" s="360"/>
      <c r="I11" s="360"/>
      <c r="J11" s="360"/>
      <c r="K11" s="360"/>
      <c r="L11" s="360"/>
      <c r="M11" s="360"/>
      <c r="N11" s="360"/>
      <c r="O11" s="360"/>
      <c r="P11" s="360"/>
      <c r="Q11" s="360"/>
      <c r="R11" s="360"/>
      <c r="S11" s="360"/>
      <c r="T11" s="360"/>
      <c r="U11" s="360"/>
      <c r="V11" s="360"/>
      <c r="W11" s="360"/>
      <c r="X11" s="360"/>
      <c r="Y11" s="360"/>
      <c r="Z11" s="360"/>
      <c r="AA11" s="360"/>
      <c r="AB11" s="360"/>
      <c r="AC11" s="360"/>
      <c r="AD11" s="359"/>
    </row>
    <row r="12" spans="1:30" x14ac:dyDescent="0.3">
      <c r="A12" s="359"/>
      <c r="B12" s="359"/>
      <c r="C12" s="360"/>
      <c r="D12" s="360"/>
      <c r="E12" s="360"/>
      <c r="F12" s="360"/>
      <c r="G12" s="360"/>
      <c r="H12" s="360"/>
      <c r="I12" s="360"/>
      <c r="J12" s="360"/>
      <c r="K12" s="360"/>
      <c r="L12" s="360"/>
      <c r="M12" s="360"/>
      <c r="N12" s="360"/>
      <c r="O12" s="360"/>
      <c r="P12" s="360"/>
      <c r="Q12" s="360"/>
      <c r="R12" s="360"/>
      <c r="S12" s="360"/>
      <c r="T12" s="360"/>
      <c r="U12" s="360"/>
      <c r="V12" s="360"/>
      <c r="W12" s="360"/>
      <c r="X12" s="360"/>
      <c r="Y12" s="360"/>
      <c r="Z12" s="360"/>
      <c r="AA12" s="360"/>
      <c r="AB12" s="360"/>
      <c r="AC12" s="360"/>
      <c r="AD12" s="359"/>
    </row>
    <row r="13" spans="1:30" x14ac:dyDescent="0.3">
      <c r="A13" s="359"/>
      <c r="B13" s="359"/>
      <c r="C13" s="360"/>
      <c r="D13" s="360"/>
      <c r="E13" s="360"/>
      <c r="F13" s="360"/>
      <c r="G13" s="360"/>
      <c r="H13" s="360"/>
      <c r="I13" s="360"/>
      <c r="J13" s="360"/>
      <c r="K13" s="360"/>
      <c r="L13" s="360"/>
      <c r="M13" s="360"/>
      <c r="N13" s="360"/>
      <c r="O13" s="360"/>
      <c r="P13" s="360"/>
      <c r="Q13" s="360"/>
      <c r="R13" s="360"/>
      <c r="S13" s="360"/>
      <c r="T13" s="360"/>
      <c r="U13" s="360"/>
      <c r="V13" s="360"/>
      <c r="W13" s="360"/>
      <c r="X13" s="360"/>
      <c r="Y13" s="360"/>
      <c r="Z13" s="360"/>
      <c r="AA13" s="360"/>
      <c r="AB13" s="360"/>
      <c r="AC13" s="360"/>
      <c r="AD13" s="359"/>
    </row>
    <row r="14" spans="1:30" x14ac:dyDescent="0.3">
      <c r="A14" s="359"/>
      <c r="B14" s="359"/>
      <c r="C14" s="360"/>
      <c r="D14" s="360"/>
      <c r="E14" s="360"/>
      <c r="F14" s="360"/>
      <c r="G14" s="360"/>
      <c r="H14" s="360"/>
      <c r="I14" s="360"/>
      <c r="J14" s="360"/>
      <c r="K14" s="360"/>
      <c r="L14" s="360"/>
      <c r="M14" s="360"/>
      <c r="N14" s="360"/>
      <c r="O14" s="360"/>
      <c r="P14" s="360"/>
      <c r="Q14" s="360"/>
      <c r="R14" s="360"/>
      <c r="S14" s="360"/>
      <c r="T14" s="360"/>
      <c r="U14" s="360"/>
      <c r="V14" s="360"/>
      <c r="W14" s="360"/>
      <c r="X14" s="360"/>
      <c r="Y14" s="360"/>
      <c r="Z14" s="360"/>
      <c r="AA14" s="360"/>
      <c r="AB14" s="360"/>
      <c r="AC14" s="360"/>
      <c r="AD14" s="359"/>
    </row>
    <row r="15" spans="1:30" ht="60.6" x14ac:dyDescent="1">
      <c r="A15" s="359"/>
      <c r="B15" s="359"/>
      <c r="C15" s="360"/>
      <c r="D15" s="360"/>
      <c r="E15" s="360"/>
      <c r="F15" s="360"/>
      <c r="G15" s="360"/>
      <c r="H15" s="360"/>
      <c r="I15" s="361" t="s">
        <v>535</v>
      </c>
      <c r="J15" s="360"/>
      <c r="K15" s="360"/>
      <c r="L15" s="360"/>
      <c r="M15" s="360"/>
      <c r="N15" s="360"/>
      <c r="O15" s="360"/>
      <c r="P15" s="360"/>
      <c r="Q15" s="360"/>
      <c r="R15" s="360"/>
      <c r="S15" s="360"/>
      <c r="T15" s="360"/>
      <c r="U15" s="360"/>
      <c r="V15" s="360"/>
      <c r="W15" s="360"/>
      <c r="X15" s="360"/>
      <c r="Y15" s="360"/>
      <c r="Z15" s="360"/>
      <c r="AA15" s="360"/>
      <c r="AB15" s="360"/>
      <c r="AC15" s="360"/>
      <c r="AD15" s="359"/>
    </row>
    <row r="16" spans="1:30" x14ac:dyDescent="0.3">
      <c r="A16" s="359"/>
      <c r="B16" s="359"/>
      <c r="C16" s="360"/>
      <c r="D16" s="360"/>
      <c r="E16" s="360"/>
      <c r="F16" s="360"/>
      <c r="G16" s="360"/>
      <c r="H16" s="360"/>
      <c r="I16" s="360"/>
      <c r="J16" s="360"/>
      <c r="K16" s="360"/>
      <c r="L16" s="360"/>
      <c r="M16" s="360"/>
      <c r="N16" s="360"/>
      <c r="O16" s="360"/>
      <c r="P16" s="360"/>
      <c r="Q16" s="360"/>
      <c r="R16" s="360"/>
      <c r="S16" s="360"/>
      <c r="T16" s="360"/>
      <c r="U16" s="360"/>
      <c r="V16" s="360"/>
      <c r="W16" s="360"/>
      <c r="X16" s="360"/>
      <c r="Y16" s="360"/>
      <c r="Z16" s="360"/>
      <c r="AA16" s="360"/>
      <c r="AB16" s="360"/>
      <c r="AC16" s="360"/>
      <c r="AD16" s="359"/>
    </row>
    <row r="17" spans="1:30" x14ac:dyDescent="0.3">
      <c r="A17" s="359"/>
      <c r="B17" s="359"/>
      <c r="C17" s="360"/>
      <c r="D17" s="360"/>
      <c r="E17" s="360"/>
      <c r="F17" s="360"/>
      <c r="G17" s="360"/>
      <c r="H17" s="360"/>
      <c r="I17" s="360"/>
      <c r="J17" s="360"/>
      <c r="K17" s="360"/>
      <c r="L17" s="360"/>
      <c r="M17" s="360"/>
      <c r="N17" s="360"/>
      <c r="O17" s="360"/>
      <c r="P17" s="360"/>
      <c r="Q17" s="360"/>
      <c r="R17" s="360"/>
      <c r="S17" s="360"/>
      <c r="T17" s="360"/>
      <c r="U17" s="360"/>
      <c r="V17" s="360"/>
      <c r="W17" s="360"/>
      <c r="X17" s="360"/>
      <c r="Y17" s="360"/>
      <c r="Z17" s="360"/>
      <c r="AA17" s="360"/>
      <c r="AB17" s="360"/>
      <c r="AC17" s="360"/>
      <c r="AD17" s="359"/>
    </row>
    <row r="18" spans="1:30" x14ac:dyDescent="0.3">
      <c r="A18" s="359"/>
      <c r="B18" s="359"/>
      <c r="C18" s="360"/>
      <c r="D18" s="360"/>
      <c r="E18" s="360"/>
      <c r="F18" s="360"/>
      <c r="G18" s="360"/>
      <c r="H18" s="360"/>
      <c r="I18" s="360"/>
      <c r="J18" s="360"/>
      <c r="K18" s="360"/>
      <c r="L18" s="360"/>
      <c r="M18" s="360"/>
      <c r="N18" s="360"/>
      <c r="O18" s="360"/>
      <c r="P18" s="360"/>
      <c r="Q18" s="360"/>
      <c r="R18" s="360"/>
      <c r="S18" s="360"/>
      <c r="T18" s="360"/>
      <c r="U18" s="360"/>
      <c r="V18" s="360"/>
      <c r="W18" s="360"/>
      <c r="X18" s="360"/>
      <c r="Y18" s="360"/>
      <c r="Z18" s="360"/>
      <c r="AA18" s="360"/>
      <c r="AB18" s="360"/>
      <c r="AC18" s="360"/>
      <c r="AD18" s="359"/>
    </row>
    <row r="19" spans="1:30" x14ac:dyDescent="0.3">
      <c r="A19" s="359"/>
      <c r="B19" s="359"/>
      <c r="C19" s="360"/>
      <c r="D19" s="360"/>
      <c r="E19" s="360"/>
      <c r="F19" s="360"/>
      <c r="G19" s="360"/>
      <c r="H19" s="360"/>
      <c r="I19" s="360"/>
      <c r="J19" s="360"/>
      <c r="K19" s="360"/>
      <c r="L19" s="360"/>
      <c r="M19" s="360"/>
      <c r="N19" s="360"/>
      <c r="O19" s="360"/>
      <c r="P19" s="360"/>
      <c r="Q19" s="360"/>
      <c r="R19" s="360"/>
      <c r="S19" s="360"/>
      <c r="T19" s="360"/>
      <c r="U19" s="360"/>
      <c r="V19" s="360"/>
      <c r="W19" s="360"/>
      <c r="X19" s="360"/>
      <c r="Y19" s="360"/>
      <c r="Z19" s="360"/>
      <c r="AA19" s="360"/>
      <c r="AB19" s="360"/>
      <c r="AC19" s="360"/>
      <c r="AD19" s="359"/>
    </row>
    <row r="20" spans="1:30" x14ac:dyDescent="0.3">
      <c r="A20" s="359"/>
      <c r="B20" s="359"/>
      <c r="C20" s="360"/>
      <c r="D20" s="360"/>
      <c r="E20" s="360"/>
      <c r="F20" s="360"/>
      <c r="G20" s="360"/>
      <c r="H20" s="360"/>
      <c r="I20" s="360"/>
      <c r="J20" s="360"/>
      <c r="K20" s="360"/>
      <c r="L20" s="360"/>
      <c r="M20" s="360"/>
      <c r="N20" s="360"/>
      <c r="O20" s="360"/>
      <c r="P20" s="360"/>
      <c r="Q20" s="360"/>
      <c r="R20" s="360"/>
      <c r="S20" s="360"/>
      <c r="T20" s="360"/>
      <c r="U20" s="360"/>
      <c r="V20" s="360"/>
      <c r="W20" s="360"/>
      <c r="X20" s="360"/>
      <c r="Y20" s="360"/>
      <c r="Z20" s="360"/>
      <c r="AA20" s="360"/>
      <c r="AB20" s="360"/>
      <c r="AC20" s="360"/>
      <c r="AD20" s="359"/>
    </row>
    <row r="21" spans="1:30" x14ac:dyDescent="0.3">
      <c r="A21" s="359"/>
      <c r="B21" s="359"/>
      <c r="C21" s="360"/>
      <c r="D21" s="360"/>
      <c r="E21" s="360"/>
      <c r="F21" s="360"/>
      <c r="G21" s="360"/>
      <c r="H21" s="360"/>
      <c r="I21" s="360"/>
      <c r="J21" s="360"/>
      <c r="K21" s="360"/>
      <c r="L21" s="360"/>
      <c r="M21" s="360"/>
      <c r="N21" s="360"/>
      <c r="O21" s="360"/>
      <c r="P21" s="360"/>
      <c r="Q21" s="360"/>
      <c r="R21" s="360"/>
      <c r="S21" s="360"/>
      <c r="T21" s="360"/>
      <c r="U21" s="360"/>
      <c r="V21" s="360"/>
      <c r="W21" s="360"/>
      <c r="X21" s="360"/>
      <c r="Y21" s="360"/>
      <c r="Z21" s="360"/>
      <c r="AA21" s="360"/>
      <c r="AB21" s="360"/>
      <c r="AC21" s="360"/>
      <c r="AD21" s="359"/>
    </row>
    <row r="22" spans="1:30" x14ac:dyDescent="0.3">
      <c r="A22" s="359"/>
      <c r="B22" s="359"/>
      <c r="C22" s="360"/>
      <c r="D22" s="360"/>
      <c r="E22" s="360"/>
      <c r="F22" s="360"/>
      <c r="G22" s="360"/>
      <c r="H22" s="360"/>
      <c r="I22" s="360"/>
      <c r="J22" s="360"/>
      <c r="K22" s="360"/>
      <c r="L22" s="360"/>
      <c r="M22" s="360"/>
      <c r="N22" s="360"/>
      <c r="O22" s="360"/>
      <c r="P22" s="360"/>
      <c r="Q22" s="360"/>
      <c r="R22" s="360"/>
      <c r="S22" s="360"/>
      <c r="T22" s="360"/>
      <c r="U22" s="360"/>
      <c r="V22" s="360"/>
      <c r="W22" s="360"/>
      <c r="X22" s="360"/>
      <c r="Y22" s="360"/>
      <c r="Z22" s="360"/>
      <c r="AA22" s="360"/>
      <c r="AB22" s="360"/>
      <c r="AC22" s="360"/>
      <c r="AD22" s="359"/>
    </row>
    <row r="23" spans="1:30" x14ac:dyDescent="0.3">
      <c r="A23" s="359"/>
      <c r="B23" s="359"/>
      <c r="C23" s="360"/>
      <c r="D23" s="360"/>
      <c r="E23" s="360"/>
      <c r="F23" s="360"/>
      <c r="G23" s="360"/>
      <c r="H23" s="360"/>
      <c r="I23" s="360"/>
      <c r="J23" s="360"/>
      <c r="K23" s="360"/>
      <c r="L23" s="360"/>
      <c r="M23" s="360"/>
      <c r="N23" s="360"/>
      <c r="O23" s="360"/>
      <c r="P23" s="360"/>
      <c r="Q23" s="360"/>
      <c r="R23" s="360"/>
      <c r="S23" s="360"/>
      <c r="T23" s="360"/>
      <c r="U23" s="360"/>
      <c r="V23" s="360"/>
      <c r="W23" s="360"/>
      <c r="X23" s="360"/>
      <c r="Y23" s="360"/>
      <c r="Z23" s="360"/>
      <c r="AA23" s="360"/>
      <c r="AB23" s="360"/>
      <c r="AC23" s="360"/>
      <c r="AD23" s="359"/>
    </row>
    <row r="24" spans="1:30" x14ac:dyDescent="0.3">
      <c r="A24" s="359"/>
      <c r="B24" s="359"/>
      <c r="C24" s="360"/>
      <c r="D24" s="360"/>
      <c r="E24" s="360"/>
      <c r="F24" s="360"/>
      <c r="G24" s="360"/>
      <c r="H24" s="360"/>
      <c r="I24" s="360"/>
      <c r="J24" s="360"/>
      <c r="K24" s="360"/>
      <c r="L24" s="360"/>
      <c r="M24" s="360"/>
      <c r="N24" s="360"/>
      <c r="O24" s="360"/>
      <c r="P24" s="360"/>
      <c r="Q24" s="360"/>
      <c r="R24" s="360"/>
      <c r="S24" s="360"/>
      <c r="T24" s="360"/>
      <c r="U24" s="360"/>
      <c r="V24" s="360"/>
      <c r="W24" s="360"/>
      <c r="X24" s="360"/>
      <c r="Y24" s="360"/>
      <c r="Z24" s="360"/>
      <c r="AA24" s="360"/>
      <c r="AB24" s="360"/>
      <c r="AC24" s="360"/>
      <c r="AD24" s="359"/>
    </row>
    <row r="25" spans="1:30" x14ac:dyDescent="0.3">
      <c r="A25" s="359"/>
      <c r="B25" s="359"/>
      <c r="C25" s="360"/>
      <c r="D25" s="360"/>
      <c r="E25" s="360"/>
      <c r="F25" s="360"/>
      <c r="G25" s="360"/>
      <c r="H25" s="360"/>
      <c r="I25" s="360"/>
      <c r="J25" s="360"/>
      <c r="K25" s="360"/>
      <c r="L25" s="360"/>
      <c r="M25" s="360"/>
      <c r="N25" s="360"/>
      <c r="O25" s="360"/>
      <c r="P25" s="360"/>
      <c r="Q25" s="360"/>
      <c r="R25" s="360"/>
      <c r="S25" s="360"/>
      <c r="T25" s="360"/>
      <c r="U25" s="360"/>
      <c r="V25" s="360"/>
      <c r="W25" s="360"/>
      <c r="X25" s="360"/>
      <c r="Y25" s="360"/>
      <c r="Z25" s="360"/>
      <c r="AA25" s="360"/>
      <c r="AB25" s="360"/>
      <c r="AC25" s="360"/>
      <c r="AD25" s="359"/>
    </row>
    <row r="26" spans="1:30" x14ac:dyDescent="0.3">
      <c r="A26" s="359"/>
      <c r="B26" s="359"/>
      <c r="C26" s="360"/>
      <c r="D26" s="360"/>
      <c r="E26" s="360"/>
      <c r="F26" s="360"/>
      <c r="G26" s="360"/>
      <c r="H26" s="360"/>
      <c r="I26" s="360"/>
      <c r="J26" s="360"/>
      <c r="K26" s="360"/>
      <c r="L26" s="360"/>
      <c r="M26" s="360"/>
      <c r="N26" s="360"/>
      <c r="O26" s="360"/>
      <c r="P26" s="360"/>
      <c r="Q26" s="360"/>
      <c r="R26" s="360"/>
      <c r="S26" s="360"/>
      <c r="T26" s="360"/>
      <c r="U26" s="360"/>
      <c r="V26" s="360"/>
      <c r="W26" s="360"/>
      <c r="X26" s="360"/>
      <c r="Y26" s="360"/>
      <c r="Z26" s="360"/>
      <c r="AA26" s="360"/>
      <c r="AB26" s="360"/>
      <c r="AC26" s="360"/>
      <c r="AD26" s="359"/>
    </row>
    <row r="27" spans="1:30" x14ac:dyDescent="0.3">
      <c r="A27" s="359"/>
      <c r="B27" s="359"/>
      <c r="C27" s="360"/>
      <c r="D27" s="360"/>
      <c r="E27" s="360"/>
      <c r="F27" s="360"/>
      <c r="G27" s="360"/>
      <c r="H27" s="360"/>
      <c r="I27" s="360"/>
      <c r="J27" s="360"/>
      <c r="K27" s="360"/>
      <c r="L27" s="360"/>
      <c r="M27" s="360"/>
      <c r="N27" s="360"/>
      <c r="O27" s="360"/>
      <c r="P27" s="360"/>
      <c r="Q27" s="360"/>
      <c r="R27" s="360"/>
      <c r="S27" s="360"/>
      <c r="T27" s="360"/>
      <c r="U27" s="360"/>
      <c r="V27" s="360"/>
      <c r="W27" s="360"/>
      <c r="X27" s="360"/>
      <c r="Y27" s="360"/>
      <c r="Z27" s="360"/>
      <c r="AA27" s="360"/>
      <c r="AB27" s="360"/>
      <c r="AC27" s="360"/>
      <c r="AD27" s="359"/>
    </row>
    <row r="28" spans="1:30" x14ac:dyDescent="0.3">
      <c r="A28" s="359"/>
      <c r="B28" s="359"/>
      <c r="C28" s="360"/>
      <c r="D28" s="360"/>
      <c r="E28" s="360"/>
      <c r="F28" s="360"/>
      <c r="G28" s="360"/>
      <c r="H28" s="360"/>
      <c r="I28" s="360"/>
      <c r="J28" s="360"/>
      <c r="K28" s="360"/>
      <c r="L28" s="360"/>
      <c r="M28" s="360"/>
      <c r="N28" s="360"/>
      <c r="O28" s="360"/>
      <c r="P28" s="360"/>
      <c r="Q28" s="360"/>
      <c r="R28" s="360"/>
      <c r="S28" s="360"/>
      <c r="T28" s="360"/>
      <c r="U28" s="360"/>
      <c r="V28" s="360"/>
      <c r="W28" s="360"/>
      <c r="X28" s="360"/>
      <c r="Y28" s="360"/>
      <c r="Z28" s="360"/>
      <c r="AA28" s="360"/>
      <c r="AB28" s="360"/>
      <c r="AC28" s="360"/>
      <c r="AD28" s="359"/>
    </row>
    <row r="29" spans="1:30" x14ac:dyDescent="0.3">
      <c r="A29" s="359"/>
      <c r="B29" s="359"/>
      <c r="C29" s="360"/>
      <c r="D29" s="360"/>
      <c r="E29" s="360"/>
      <c r="F29" s="360"/>
      <c r="G29" s="360"/>
      <c r="H29" s="360"/>
      <c r="I29" s="360"/>
      <c r="J29" s="360"/>
      <c r="K29" s="360"/>
      <c r="L29" s="360"/>
      <c r="M29" s="360"/>
      <c r="N29" s="360"/>
      <c r="O29" s="360"/>
      <c r="P29" s="360"/>
      <c r="Q29" s="360"/>
      <c r="R29" s="360"/>
      <c r="S29" s="360"/>
      <c r="T29" s="360"/>
      <c r="U29" s="360"/>
      <c r="V29" s="360"/>
      <c r="W29" s="360"/>
      <c r="X29" s="360"/>
      <c r="Y29" s="360"/>
      <c r="Z29" s="360"/>
      <c r="AA29" s="360"/>
      <c r="AB29" s="360"/>
      <c r="AC29" s="360"/>
      <c r="AD29" s="359"/>
    </row>
    <row r="30" spans="1:30" x14ac:dyDescent="0.3">
      <c r="A30" s="359"/>
      <c r="B30" s="359"/>
      <c r="C30" s="360"/>
      <c r="D30" s="360"/>
      <c r="E30" s="360"/>
      <c r="F30" s="360"/>
      <c r="G30" s="360"/>
      <c r="H30" s="360"/>
      <c r="I30" s="360"/>
      <c r="J30" s="360"/>
      <c r="K30" s="360"/>
      <c r="L30" s="360"/>
      <c r="M30" s="360"/>
      <c r="N30" s="360"/>
      <c r="O30" s="360"/>
      <c r="P30" s="360"/>
      <c r="Q30" s="360"/>
      <c r="R30" s="360"/>
      <c r="S30" s="360"/>
      <c r="T30" s="360"/>
      <c r="U30" s="360"/>
      <c r="V30" s="360"/>
      <c r="W30" s="360"/>
      <c r="X30" s="360"/>
      <c r="Y30" s="360"/>
      <c r="Z30" s="360"/>
      <c r="AA30" s="360"/>
      <c r="AB30" s="360"/>
      <c r="AC30" s="360"/>
      <c r="AD30" s="359"/>
    </row>
    <row r="31" spans="1:30" x14ac:dyDescent="0.3">
      <c r="A31" s="359"/>
      <c r="B31" s="359"/>
      <c r="C31" s="360"/>
      <c r="D31" s="360"/>
      <c r="E31" s="360"/>
      <c r="F31" s="360"/>
      <c r="G31" s="360"/>
      <c r="H31" s="360"/>
      <c r="I31" s="360"/>
      <c r="J31" s="360"/>
      <c r="K31" s="360"/>
      <c r="L31" s="360"/>
      <c r="M31" s="360"/>
      <c r="N31" s="360"/>
      <c r="O31" s="360"/>
      <c r="P31" s="360"/>
      <c r="Q31" s="360"/>
      <c r="R31" s="360"/>
      <c r="S31" s="360"/>
      <c r="T31" s="360"/>
      <c r="U31" s="360"/>
      <c r="V31" s="360"/>
      <c r="W31" s="360"/>
      <c r="X31" s="360"/>
      <c r="Y31" s="360"/>
      <c r="Z31" s="360"/>
      <c r="AA31" s="360"/>
      <c r="AB31" s="360"/>
      <c r="AC31" s="360"/>
      <c r="AD31" s="359"/>
    </row>
    <row r="32" spans="1:30" x14ac:dyDescent="0.3">
      <c r="A32" s="359"/>
      <c r="B32" s="359"/>
      <c r="C32" s="360"/>
      <c r="D32" s="360"/>
      <c r="E32" s="360"/>
      <c r="F32" s="360"/>
      <c r="G32" s="360"/>
      <c r="H32" s="360"/>
      <c r="I32" s="360"/>
      <c r="J32" s="360"/>
      <c r="K32" s="360"/>
      <c r="L32" s="360"/>
      <c r="M32" s="360"/>
      <c r="N32" s="360"/>
      <c r="O32" s="360"/>
      <c r="P32" s="360"/>
      <c r="Q32" s="360"/>
      <c r="R32" s="360"/>
      <c r="S32" s="360"/>
      <c r="T32" s="360"/>
      <c r="U32" s="360"/>
      <c r="V32" s="360"/>
      <c r="W32" s="360"/>
      <c r="X32" s="360"/>
      <c r="Y32" s="360"/>
      <c r="Z32" s="360"/>
      <c r="AA32" s="360"/>
      <c r="AB32" s="360"/>
      <c r="AC32" s="360"/>
      <c r="AD32" s="359"/>
    </row>
    <row r="33" spans="1:30" x14ac:dyDescent="0.3">
      <c r="A33" s="359"/>
      <c r="B33" s="359"/>
      <c r="C33" s="359"/>
      <c r="D33" s="359"/>
      <c r="E33" s="359"/>
      <c r="F33" s="359"/>
      <c r="G33" s="359"/>
      <c r="H33" s="359"/>
      <c r="I33" s="359"/>
      <c r="J33" s="359"/>
      <c r="K33" s="359"/>
      <c r="L33" s="359"/>
      <c r="M33" s="359"/>
      <c r="N33" s="359"/>
      <c r="O33" s="359"/>
      <c r="P33" s="359"/>
      <c r="Q33" s="359"/>
      <c r="R33" s="359"/>
      <c r="S33" s="359"/>
      <c r="T33" s="359"/>
      <c r="U33" s="359"/>
      <c r="V33" s="359"/>
      <c r="W33" s="359"/>
      <c r="X33" s="359"/>
      <c r="Y33" s="359"/>
      <c r="Z33" s="359"/>
      <c r="AA33" s="359"/>
      <c r="AB33" s="359"/>
      <c r="AC33" s="359"/>
      <c r="AD33" s="359"/>
    </row>
    <row r="34" spans="1:30" x14ac:dyDescent="0.3">
      <c r="A34" s="359"/>
      <c r="B34" s="359"/>
      <c r="C34" s="359"/>
      <c r="D34" s="359"/>
      <c r="E34" s="359"/>
      <c r="F34" s="359"/>
      <c r="G34" s="359"/>
      <c r="H34" s="359"/>
      <c r="I34" s="359"/>
      <c r="J34" s="359"/>
      <c r="K34" s="359"/>
      <c r="L34" s="359"/>
      <c r="M34" s="359"/>
      <c r="N34" s="359"/>
      <c r="O34" s="359"/>
      <c r="P34" s="359"/>
      <c r="Q34" s="359"/>
      <c r="R34" s="359"/>
      <c r="S34" s="359"/>
      <c r="T34" s="359"/>
      <c r="U34" s="359"/>
      <c r="V34" s="359"/>
      <c r="W34" s="359"/>
      <c r="X34" s="359"/>
      <c r="Y34" s="359"/>
      <c r="Z34" s="359"/>
      <c r="AA34" s="359"/>
      <c r="AB34" s="359"/>
      <c r="AC34" s="359"/>
      <c r="AD34" s="359"/>
    </row>
    <row r="35" spans="1:30" x14ac:dyDescent="0.3">
      <c r="A35" s="359"/>
      <c r="B35" s="359"/>
      <c r="C35" s="359"/>
      <c r="D35" s="359"/>
      <c r="E35" s="359"/>
      <c r="F35" s="359"/>
      <c r="G35" s="359"/>
      <c r="H35" s="359"/>
      <c r="I35" s="359"/>
      <c r="J35" s="359"/>
      <c r="K35" s="359"/>
      <c r="L35" s="359"/>
      <c r="M35" s="359"/>
      <c r="N35" s="359"/>
      <c r="O35" s="359"/>
      <c r="P35" s="359"/>
      <c r="Q35" s="359"/>
      <c r="R35" s="359"/>
      <c r="S35" s="359"/>
      <c r="T35" s="359"/>
      <c r="U35" s="359"/>
      <c r="V35" s="359"/>
      <c r="W35" s="359"/>
      <c r="X35" s="359"/>
      <c r="Y35" s="359"/>
      <c r="Z35" s="359"/>
      <c r="AA35" s="359"/>
      <c r="AB35" s="359"/>
      <c r="AC35" s="359"/>
      <c r="AD35" s="359"/>
    </row>
    <row r="36" spans="1:30" x14ac:dyDescent="0.3">
      <c r="A36" s="359"/>
      <c r="B36" s="359"/>
      <c r="C36" s="359"/>
      <c r="D36" s="359"/>
      <c r="E36" s="359"/>
      <c r="F36" s="359"/>
      <c r="G36" s="359"/>
      <c r="H36" s="359"/>
      <c r="I36" s="359"/>
      <c r="J36" s="359"/>
      <c r="K36" s="359"/>
      <c r="L36" s="359"/>
      <c r="M36" s="359"/>
      <c r="N36" s="359"/>
      <c r="O36" s="359"/>
      <c r="P36" s="359"/>
      <c r="Q36" s="359"/>
      <c r="R36" s="359"/>
      <c r="S36" s="359"/>
      <c r="T36" s="359"/>
      <c r="U36" s="359"/>
      <c r="V36" s="359"/>
      <c r="W36" s="359"/>
      <c r="X36" s="359"/>
      <c r="Y36" s="359"/>
      <c r="Z36" s="359"/>
      <c r="AA36" s="359"/>
      <c r="AB36" s="359"/>
      <c r="AC36" s="359"/>
      <c r="AD36" s="359"/>
    </row>
    <row r="37" spans="1:30" x14ac:dyDescent="0.3">
      <c r="A37" s="359"/>
      <c r="B37" s="359"/>
      <c r="C37" s="359"/>
      <c r="D37" s="359"/>
      <c r="E37" s="359"/>
      <c r="F37" s="359"/>
      <c r="G37" s="359"/>
      <c r="H37" s="359"/>
      <c r="I37" s="359"/>
      <c r="J37" s="359"/>
      <c r="K37" s="359"/>
      <c r="L37" s="359"/>
      <c r="M37" s="359"/>
      <c r="N37" s="359"/>
      <c r="O37" s="359"/>
      <c r="P37" s="359"/>
      <c r="Q37" s="359"/>
      <c r="R37" s="359"/>
      <c r="S37" s="359"/>
      <c r="T37" s="359"/>
      <c r="U37" s="359"/>
      <c r="V37" s="359"/>
      <c r="W37" s="359"/>
      <c r="X37" s="359"/>
      <c r="Y37" s="359"/>
      <c r="Z37" s="359"/>
      <c r="AA37" s="359"/>
      <c r="AB37" s="359"/>
      <c r="AC37" s="359"/>
      <c r="AD37" s="359"/>
    </row>
    <row r="38" spans="1:30" x14ac:dyDescent="0.3">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FF2B-7C9D-4382-9019-E3A6CE1863D2}">
  <sheetPr>
    <tabColor rgb="FF0000FF"/>
  </sheetPr>
  <dimension ref="A1:XFC324"/>
  <sheetViews>
    <sheetView zoomScale="85" zoomScaleNormal="85" workbookViewId="0">
      <pane xSplit="12" ySplit="6" topLeftCell="M58" activePane="bottomRight" state="frozen"/>
      <selection activeCell="M7" sqref="M7"/>
      <selection pane="topRight" activeCell="M7" sqref="M7"/>
      <selection pane="bottomLeft" activeCell="M7" sqref="M7"/>
      <selection pane="bottomRight" activeCell="R90" sqref="R90"/>
    </sheetView>
  </sheetViews>
  <sheetFormatPr defaultColWidth="0" defaultRowHeight="12" outlineLevelCol="1" x14ac:dyDescent="0.2"/>
  <cols>
    <col min="1" max="5" width="2.6640625" style="1" customWidth="1"/>
    <col min="6" max="6" width="46.6640625" style="1" customWidth="1"/>
    <col min="7" max="7" width="22.88671875" style="1" hidden="1" customWidth="1" outlineLevel="1"/>
    <col min="8" max="8" width="22" style="1" hidden="1" customWidth="1" outlineLevel="1"/>
    <col min="9" max="9" width="2.33203125" style="1" customWidth="1" collapsed="1"/>
    <col min="10" max="10" width="9.109375" style="2" customWidth="1"/>
    <col min="11" max="11" width="3.109375" style="1" customWidth="1"/>
    <col min="12" max="12" width="36" style="3" hidden="1" customWidth="1" outlineLevel="1"/>
    <col min="13" max="13" width="13.6640625" style="1" bestFit="1" customWidth="1" collapsed="1"/>
    <col min="14" max="14" width="17.109375" style="1" hidden="1" customWidth="1" outlineLevel="1"/>
    <col min="15" max="16" width="16" style="18" hidden="1" customWidth="1" outlineLevel="1"/>
    <col min="17" max="17" width="16" style="18" customWidth="1" collapsed="1"/>
    <col min="18" max="28" width="16" style="18" customWidth="1"/>
    <col min="29" max="41" width="16" style="18" hidden="1"/>
    <col min="42" max="42" width="14.109375" style="1" hidden="1"/>
    <col min="43" max="16383" width="9.109375" style="1" hidden="1"/>
    <col min="16384" max="16384" width="1.44140625" style="1" hidden="1"/>
  </cols>
  <sheetData>
    <row r="1" spans="1:43" s="293" customFormat="1" ht="13.2" thickBot="1" x14ac:dyDescent="0.3">
      <c r="B1" s="294" t="str">
        <f>Cover!$F$11</f>
        <v>Alusystems - KSA</v>
      </c>
      <c r="J1" s="295"/>
      <c r="L1" s="296"/>
    </row>
    <row r="2" spans="1:43" x14ac:dyDescent="0.2">
      <c r="O2" s="1"/>
      <c r="P2" s="1"/>
      <c r="Q2" s="1"/>
      <c r="R2" s="1"/>
      <c r="S2" s="1"/>
      <c r="T2" s="1"/>
      <c r="U2" s="1"/>
      <c r="V2" s="1"/>
      <c r="W2" s="1"/>
      <c r="X2" s="1"/>
      <c r="Y2" s="1"/>
      <c r="Z2" s="1"/>
      <c r="AA2" s="1"/>
      <c r="AB2" s="1"/>
      <c r="AC2" s="1"/>
      <c r="AD2" s="1"/>
      <c r="AE2" s="1"/>
      <c r="AF2" s="1"/>
      <c r="AG2" s="1"/>
      <c r="AH2" s="1"/>
      <c r="AI2" s="1"/>
      <c r="AJ2" s="1"/>
      <c r="AK2" s="1"/>
      <c r="AL2" s="1"/>
      <c r="AM2" s="1"/>
      <c r="AN2" s="1"/>
      <c r="AO2" s="1"/>
    </row>
    <row r="3" spans="1:43" ht="12.6" x14ac:dyDescent="0.25">
      <c r="B3" s="4" t="s">
        <v>716</v>
      </c>
      <c r="O3" s="1"/>
      <c r="P3" s="1"/>
      <c r="Q3" s="1"/>
      <c r="R3" s="1"/>
      <c r="S3" s="1"/>
      <c r="T3" s="1"/>
      <c r="U3" s="1"/>
      <c r="V3" s="1"/>
      <c r="W3" s="1"/>
      <c r="X3" s="1"/>
      <c r="Y3" s="1"/>
      <c r="Z3" s="1"/>
      <c r="AA3" s="1"/>
      <c r="AB3" s="1"/>
      <c r="AC3" s="1"/>
      <c r="AD3" s="1"/>
      <c r="AE3" s="1"/>
      <c r="AF3" s="1"/>
      <c r="AG3" s="1"/>
      <c r="AH3" s="1"/>
      <c r="AI3" s="1"/>
      <c r="AJ3" s="1"/>
      <c r="AK3" s="1"/>
      <c r="AL3" s="1"/>
      <c r="AM3" s="1"/>
      <c r="AN3" s="1"/>
      <c r="AO3" s="1"/>
    </row>
    <row r="4" spans="1:43" x14ac:dyDescent="0.2">
      <c r="F4" s="362"/>
      <c r="N4" s="6" t="s">
        <v>1</v>
      </c>
      <c r="O4" s="7" t="s">
        <v>1</v>
      </c>
      <c r="P4" s="7" t="s">
        <v>1</v>
      </c>
      <c r="Q4" s="7" t="s">
        <v>1</v>
      </c>
      <c r="R4" s="7" t="s">
        <v>1</v>
      </c>
      <c r="S4" s="305" t="s">
        <v>2</v>
      </c>
      <c r="T4" s="305" t="s">
        <v>2</v>
      </c>
      <c r="U4" s="305" t="s">
        <v>2</v>
      </c>
      <c r="V4" s="305" t="s">
        <v>2</v>
      </c>
      <c r="W4" s="305" t="s">
        <v>2</v>
      </c>
      <c r="X4" s="305" t="s">
        <v>2</v>
      </c>
      <c r="Y4" s="305" t="s">
        <v>2</v>
      </c>
      <c r="Z4" s="305" t="s">
        <v>2</v>
      </c>
      <c r="AA4" s="305" t="s">
        <v>2</v>
      </c>
      <c r="AB4" s="305" t="s">
        <v>2</v>
      </c>
      <c r="AC4" s="305" t="s">
        <v>2</v>
      </c>
      <c r="AD4" s="306" t="s">
        <v>2</v>
      </c>
      <c r="AE4" s="362"/>
      <c r="AF4" s="362"/>
      <c r="AG4" s="362"/>
      <c r="AH4" s="362"/>
      <c r="AI4" s="362"/>
      <c r="AJ4" s="362"/>
      <c r="AK4" s="362"/>
      <c r="AL4" s="362"/>
      <c r="AM4" s="362"/>
      <c r="AN4" s="362"/>
      <c r="AO4" s="362"/>
    </row>
    <row r="5" spans="1:43" x14ac:dyDescent="0.2">
      <c r="B5" s="1" t="s">
        <v>3</v>
      </c>
      <c r="G5" s="1" t="s">
        <v>4</v>
      </c>
      <c r="H5" s="8" t="s">
        <v>5</v>
      </c>
      <c r="J5" s="2" t="s">
        <v>6</v>
      </c>
      <c r="L5" s="3" t="s">
        <v>7</v>
      </c>
      <c r="N5" s="9">
        <f t="shared" ref="N5:AD5" si="0">Support_Date</f>
        <v>42582</v>
      </c>
      <c r="O5" s="9">
        <f t="shared" si="0"/>
        <v>42947</v>
      </c>
      <c r="P5" s="9">
        <f t="shared" si="0"/>
        <v>43312</v>
      </c>
      <c r="Q5" s="9">
        <f t="shared" si="0"/>
        <v>43677</v>
      </c>
      <c r="R5" s="9">
        <f t="shared" si="0"/>
        <v>44043</v>
      </c>
      <c r="S5" s="9">
        <f t="shared" si="0"/>
        <v>44408</v>
      </c>
      <c r="T5" s="9">
        <f t="shared" si="0"/>
        <v>44773</v>
      </c>
      <c r="U5" s="9">
        <f t="shared" si="0"/>
        <v>45138</v>
      </c>
      <c r="V5" s="9">
        <f t="shared" si="0"/>
        <v>45504</v>
      </c>
      <c r="W5" s="9">
        <f t="shared" si="0"/>
        <v>45869</v>
      </c>
      <c r="X5" s="9">
        <f t="shared" si="0"/>
        <v>46234</v>
      </c>
      <c r="Y5" s="9">
        <f t="shared" si="0"/>
        <v>46599</v>
      </c>
      <c r="Z5" s="9">
        <f t="shared" si="0"/>
        <v>46965</v>
      </c>
      <c r="AA5" s="9">
        <f t="shared" si="0"/>
        <v>47330</v>
      </c>
      <c r="AB5" s="9">
        <f t="shared" si="0"/>
        <v>47695</v>
      </c>
      <c r="AC5" s="9">
        <f t="shared" si="0"/>
        <v>48060</v>
      </c>
      <c r="AD5" s="9">
        <f t="shared" si="0"/>
        <v>48426</v>
      </c>
      <c r="AE5" s="362"/>
      <c r="AF5" s="362"/>
      <c r="AG5" s="362"/>
      <c r="AH5" s="362"/>
      <c r="AI5" s="362"/>
      <c r="AJ5" s="362"/>
      <c r="AK5" s="362"/>
      <c r="AL5" s="362"/>
      <c r="AM5" s="362"/>
      <c r="AN5" s="362"/>
      <c r="AO5" s="362"/>
    </row>
    <row r="6" spans="1:43" x14ac:dyDescent="0.2">
      <c r="O6" s="1"/>
      <c r="P6" s="1"/>
      <c r="Q6" s="1" t="s">
        <v>8</v>
      </c>
      <c r="R6" s="1"/>
      <c r="S6" s="1"/>
      <c r="T6" s="1"/>
      <c r="U6" s="1"/>
      <c r="V6" s="1"/>
      <c r="W6" s="1"/>
      <c r="X6" s="1"/>
      <c r="Y6" s="1"/>
      <c r="Z6" s="1"/>
      <c r="AA6" s="1"/>
      <c r="AB6" s="1"/>
      <c r="AC6" s="1"/>
      <c r="AD6" s="1"/>
      <c r="AE6" s="1"/>
      <c r="AF6" s="1"/>
      <c r="AG6" s="1"/>
      <c r="AH6" s="1"/>
      <c r="AI6" s="1"/>
      <c r="AJ6" s="1"/>
      <c r="AK6" s="1"/>
      <c r="AL6" s="1"/>
      <c r="AM6" s="1"/>
      <c r="AN6" s="1"/>
      <c r="AO6" s="1"/>
    </row>
    <row r="7" spans="1:43" ht="12.6" thickBot="1" x14ac:dyDescent="0.25">
      <c r="O7" s="1"/>
      <c r="P7" s="1"/>
      <c r="Q7" s="1"/>
      <c r="R7" s="1"/>
      <c r="S7" s="1"/>
      <c r="T7" s="1"/>
      <c r="U7" s="1"/>
      <c r="V7" s="1"/>
      <c r="W7" s="1"/>
      <c r="X7" s="1"/>
      <c r="Y7" s="1"/>
      <c r="Z7" s="1"/>
      <c r="AA7" s="1"/>
      <c r="AB7" s="1"/>
      <c r="AC7" s="1"/>
      <c r="AD7" s="1"/>
      <c r="AE7" s="1"/>
      <c r="AF7" s="1"/>
      <c r="AG7" s="1"/>
      <c r="AH7" s="1"/>
      <c r="AI7" s="1"/>
      <c r="AJ7" s="1"/>
      <c r="AK7" s="1"/>
      <c r="AL7" s="1"/>
      <c r="AM7" s="1"/>
      <c r="AN7" s="1"/>
      <c r="AO7" s="1"/>
    </row>
    <row r="8" spans="1:43" ht="13.2" thickTop="1" x14ac:dyDescent="0.25">
      <c r="A8" s="11"/>
      <c r="B8" s="12" t="str">
        <f>B3</f>
        <v>Consolidated - Discounted Cash Flow ("DCF")</v>
      </c>
      <c r="C8" s="13"/>
      <c r="D8" s="13"/>
      <c r="E8" s="13"/>
      <c r="F8" s="13"/>
      <c r="G8" s="13"/>
      <c r="H8" s="13"/>
      <c r="I8" s="13"/>
      <c r="J8" s="13"/>
      <c r="K8" s="13"/>
      <c r="L8" s="14"/>
      <c r="M8" s="13"/>
      <c r="N8" s="15"/>
      <c r="O8" s="15"/>
      <c r="P8" s="15"/>
      <c r="Q8" s="15"/>
      <c r="R8" s="15"/>
      <c r="S8" s="15"/>
      <c r="T8" s="15"/>
      <c r="U8" s="15"/>
      <c r="V8" s="15"/>
      <c r="W8" s="15"/>
      <c r="X8" s="15"/>
      <c r="Y8" s="15"/>
      <c r="Z8" s="15"/>
      <c r="AA8" s="15"/>
      <c r="AB8" s="15"/>
      <c r="AC8" s="15"/>
      <c r="AD8" s="15"/>
      <c r="AE8" s="16"/>
      <c r="AF8" s="16"/>
      <c r="AG8" s="16"/>
      <c r="AH8" s="16"/>
      <c r="AI8" s="16"/>
      <c r="AJ8" s="16"/>
      <c r="AK8" s="16"/>
      <c r="AL8" s="16"/>
      <c r="AM8" s="16"/>
      <c r="AN8" s="16"/>
      <c r="AO8" s="16"/>
      <c r="AP8" s="11"/>
      <c r="AQ8" s="11"/>
    </row>
    <row r="9" spans="1:43" x14ac:dyDescent="0.2">
      <c r="B9" s="17" t="s">
        <v>536</v>
      </c>
      <c r="F9" s="18"/>
      <c r="N9" s="18"/>
      <c r="O9" s="19"/>
    </row>
    <row r="10" spans="1:43" ht="12.6" thickBot="1" x14ac:dyDescent="0.25">
      <c r="N10" s="18"/>
    </row>
    <row r="11" spans="1:43" ht="12.6" thickTop="1" x14ac:dyDescent="0.2">
      <c r="B11" s="17"/>
      <c r="C11" s="333" t="s">
        <v>537</v>
      </c>
      <c r="D11" s="320"/>
      <c r="E11" s="321"/>
      <c r="F11" s="321"/>
      <c r="G11" s="321"/>
      <c r="H11" s="321"/>
      <c r="I11" s="321"/>
      <c r="J11" s="322"/>
      <c r="K11" s="321"/>
      <c r="L11" s="323"/>
      <c r="M11" s="321"/>
      <c r="N11" s="324"/>
      <c r="O11" s="324"/>
      <c r="P11" s="324"/>
      <c r="Q11" s="324"/>
      <c r="R11" s="324"/>
      <c r="S11" s="324"/>
      <c r="T11" s="324"/>
      <c r="U11" s="324"/>
      <c r="V11" s="324"/>
      <c r="W11" s="324"/>
      <c r="X11" s="324"/>
      <c r="Y11" s="324"/>
      <c r="Z11" s="324"/>
      <c r="AA11" s="324"/>
      <c r="AB11" s="324"/>
      <c r="AC11" s="324"/>
      <c r="AD11" s="324"/>
      <c r="AE11" s="21"/>
      <c r="AF11" s="21"/>
      <c r="AG11" s="21"/>
      <c r="AH11" s="21"/>
      <c r="AI11" s="21"/>
      <c r="AJ11" s="21"/>
      <c r="AK11" s="21"/>
      <c r="AL11" s="21"/>
      <c r="AM11" s="21"/>
      <c r="AN11" s="21"/>
      <c r="AO11" s="21"/>
    </row>
    <row r="12" spans="1:43" x14ac:dyDescent="0.2">
      <c r="B12" s="17"/>
      <c r="C12" s="17"/>
      <c r="D12" s="17"/>
      <c r="N12" s="21"/>
      <c r="O12" s="21"/>
      <c r="P12" s="24"/>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row>
    <row r="13" spans="1:43" ht="12.6" x14ac:dyDescent="0.25">
      <c r="C13" s="17"/>
      <c r="D13" s="35" t="s">
        <v>538</v>
      </c>
      <c r="H13" s="101"/>
      <c r="M13" s="101"/>
      <c r="N13" s="101"/>
      <c r="O13" s="101"/>
      <c r="P13" s="84"/>
      <c r="Q13" s="101"/>
      <c r="R13" s="101"/>
      <c r="S13" s="101"/>
      <c r="T13" s="101"/>
      <c r="U13" s="101"/>
      <c r="V13" s="101"/>
      <c r="W13" s="101"/>
      <c r="X13" s="101"/>
      <c r="Y13" s="101"/>
      <c r="Z13" s="101"/>
      <c r="AA13" s="101"/>
      <c r="AB13" s="101"/>
      <c r="AC13" s="101"/>
      <c r="AD13" s="101"/>
      <c r="AE13" s="101"/>
      <c r="AF13" s="25"/>
      <c r="AG13" s="25"/>
      <c r="AH13" s="25"/>
      <c r="AI13" s="25"/>
      <c r="AJ13" s="25"/>
      <c r="AK13" s="25"/>
      <c r="AL13" s="25"/>
      <c r="AM13" s="25"/>
      <c r="AN13" s="25"/>
      <c r="AO13" s="25"/>
    </row>
    <row r="14" spans="1:43" x14ac:dyDescent="0.2">
      <c r="E14" s="1" t="s">
        <v>539</v>
      </c>
      <c r="H14" s="101"/>
      <c r="J14" s="2" t="s">
        <v>49</v>
      </c>
      <c r="M14" s="101"/>
      <c r="N14" s="101"/>
      <c r="O14" s="101"/>
      <c r="P14" s="101"/>
      <c r="Q14" s="108">
        <f>'WACC '!H37</f>
        <v>2.5000000000000001E-2</v>
      </c>
      <c r="R14" s="108"/>
      <c r="S14" s="108"/>
      <c r="T14" s="24"/>
      <c r="U14" s="24"/>
      <c r="V14" s="24"/>
      <c r="W14" s="101"/>
      <c r="X14" s="101"/>
      <c r="Y14" s="101"/>
      <c r="Z14" s="101"/>
      <c r="AA14" s="101"/>
      <c r="AB14" s="101"/>
      <c r="AC14" s="101"/>
      <c r="AD14" s="101"/>
      <c r="AE14" s="101"/>
      <c r="AF14" s="25"/>
      <c r="AG14" s="25"/>
      <c r="AH14" s="25"/>
      <c r="AI14" s="25"/>
      <c r="AJ14" s="25"/>
      <c r="AK14" s="25"/>
      <c r="AL14" s="25"/>
      <c r="AM14" s="25"/>
      <c r="AN14" s="25"/>
      <c r="AO14" s="25"/>
    </row>
    <row r="15" spans="1:43" x14ac:dyDescent="0.2">
      <c r="E15" s="1" t="s">
        <v>540</v>
      </c>
      <c r="H15" s="101"/>
      <c r="J15" s="2" t="s">
        <v>49</v>
      </c>
      <c r="N15" s="34"/>
      <c r="O15" s="34"/>
      <c r="P15" s="34"/>
      <c r="Q15" s="108">
        <f>'WACC '!H39</f>
        <v>7.0000000000000007E-2</v>
      </c>
      <c r="R15" s="101"/>
      <c r="S15" s="101"/>
      <c r="T15" s="101"/>
      <c r="U15" s="101"/>
      <c r="V15" s="101"/>
      <c r="W15" s="101"/>
      <c r="X15" s="101"/>
      <c r="Y15" s="101"/>
      <c r="Z15" s="101"/>
      <c r="AA15" s="101"/>
      <c r="AB15" s="101"/>
      <c r="AC15" s="101"/>
      <c r="AD15" s="101"/>
      <c r="AE15" s="34"/>
      <c r="AF15" s="34"/>
      <c r="AG15" s="34"/>
      <c r="AH15" s="34"/>
      <c r="AI15" s="34"/>
      <c r="AJ15" s="34"/>
      <c r="AK15" s="34"/>
      <c r="AL15" s="34"/>
      <c r="AM15" s="34"/>
      <c r="AN15" s="34"/>
      <c r="AO15" s="34"/>
    </row>
    <row r="16" spans="1:43" x14ac:dyDescent="0.2">
      <c r="E16" s="1" t="s">
        <v>541</v>
      </c>
      <c r="H16" s="101"/>
      <c r="J16" s="2" t="s">
        <v>542</v>
      </c>
      <c r="M16" s="101"/>
      <c r="N16" s="101"/>
      <c r="O16" s="101"/>
      <c r="P16" s="101"/>
      <c r="Q16" s="21">
        <f>'WACC '!H38</f>
        <v>1.2208803345018993</v>
      </c>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row>
    <row r="17" spans="2:41" x14ac:dyDescent="0.2">
      <c r="E17" s="1" t="s">
        <v>543</v>
      </c>
      <c r="H17" s="101"/>
      <c r="J17" s="2" t="s">
        <v>49</v>
      </c>
      <c r="N17" s="34"/>
      <c r="O17" s="34"/>
      <c r="P17" s="34"/>
      <c r="Q17" s="108">
        <f>'WACC '!H40</f>
        <v>0.11046162341513296</v>
      </c>
      <c r="R17" s="108"/>
      <c r="S17" s="108"/>
      <c r="T17" s="108"/>
      <c r="U17" s="108"/>
      <c r="V17" s="108"/>
      <c r="W17" s="108"/>
      <c r="X17" s="108"/>
      <c r="Y17" s="108"/>
      <c r="Z17" s="108"/>
      <c r="AA17" s="108"/>
      <c r="AB17" s="108"/>
      <c r="AC17" s="108"/>
      <c r="AD17" s="108"/>
      <c r="AE17" s="34"/>
      <c r="AF17" s="34"/>
      <c r="AG17" s="34"/>
      <c r="AH17" s="34"/>
      <c r="AI17" s="34"/>
      <c r="AJ17" s="34"/>
      <c r="AK17" s="34"/>
      <c r="AL17" s="34"/>
      <c r="AM17" s="34"/>
      <c r="AN17" s="34"/>
      <c r="AO17" s="34"/>
    </row>
    <row r="18" spans="2:41" ht="12.6" x14ac:dyDescent="0.25">
      <c r="E18" s="35"/>
      <c r="H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row>
    <row r="19" spans="2:41" ht="12.6" x14ac:dyDescent="0.25">
      <c r="D19" s="35" t="s">
        <v>544</v>
      </c>
      <c r="H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row>
    <row r="20" spans="2:41" ht="12.6" x14ac:dyDescent="0.25">
      <c r="C20" s="17"/>
      <c r="D20" s="35"/>
      <c r="E20" s="1" t="s">
        <v>545</v>
      </c>
      <c r="H20" s="101"/>
      <c r="J20" s="2" t="s">
        <v>49</v>
      </c>
      <c r="M20" s="101"/>
      <c r="N20" s="101"/>
      <c r="O20" s="101"/>
      <c r="P20" s="84"/>
      <c r="Q20" s="24">
        <f>'WACC '!H44</f>
        <v>2.0999999999999998E-2</v>
      </c>
      <c r="R20" s="101"/>
      <c r="S20" s="108"/>
      <c r="T20" s="108"/>
      <c r="U20" s="108"/>
      <c r="V20" s="108"/>
      <c r="W20" s="108"/>
      <c r="X20" s="108"/>
      <c r="Y20" s="108"/>
      <c r="Z20" s="108"/>
      <c r="AA20" s="108"/>
      <c r="AB20" s="108"/>
      <c r="AC20" s="108"/>
      <c r="AD20" s="108"/>
      <c r="AE20" s="101"/>
      <c r="AF20" s="25"/>
      <c r="AG20" s="25"/>
      <c r="AH20" s="25"/>
      <c r="AI20" s="25"/>
      <c r="AJ20" s="25"/>
      <c r="AK20" s="25"/>
      <c r="AL20" s="25"/>
      <c r="AM20" s="25"/>
      <c r="AN20" s="25"/>
      <c r="AO20" s="25"/>
    </row>
    <row r="21" spans="2:41" x14ac:dyDescent="0.2">
      <c r="H21" s="101"/>
      <c r="M21" s="101"/>
      <c r="N21" s="101"/>
      <c r="O21" s="101"/>
      <c r="P21" s="101"/>
      <c r="Q21" s="101"/>
      <c r="R21" s="101"/>
      <c r="S21" s="101"/>
      <c r="T21" s="101"/>
      <c r="U21" s="101"/>
      <c r="V21" s="101"/>
      <c r="W21" s="101"/>
      <c r="X21" s="101"/>
      <c r="Y21" s="101"/>
      <c r="Z21" s="101"/>
      <c r="AA21" s="101"/>
      <c r="AB21" s="101"/>
      <c r="AC21" s="101"/>
      <c r="AD21" s="101"/>
      <c r="AE21" s="101"/>
      <c r="AF21" s="25"/>
      <c r="AG21" s="25"/>
      <c r="AH21" s="25"/>
      <c r="AI21" s="25"/>
      <c r="AJ21" s="25"/>
      <c r="AK21" s="25"/>
      <c r="AL21" s="25"/>
      <c r="AM21" s="25"/>
      <c r="AN21" s="25"/>
      <c r="AO21" s="25"/>
    </row>
    <row r="22" spans="2:41" ht="12.6" x14ac:dyDescent="0.25">
      <c r="D22" s="35" t="s">
        <v>546</v>
      </c>
      <c r="H22" s="101"/>
      <c r="N22" s="34"/>
      <c r="O22" s="34"/>
      <c r="P22" s="34"/>
      <c r="Q22" s="34"/>
      <c r="R22" s="101"/>
      <c r="S22" s="471"/>
      <c r="T22" s="471"/>
      <c r="U22" s="471"/>
      <c r="V22" s="471"/>
      <c r="W22" s="471"/>
      <c r="X22" s="471"/>
      <c r="Y22" s="471"/>
      <c r="Z22" s="471"/>
      <c r="AA22" s="471"/>
      <c r="AB22" s="471"/>
      <c r="AC22" s="471"/>
      <c r="AD22" s="471"/>
      <c r="AE22" s="34"/>
      <c r="AF22" s="34"/>
      <c r="AG22" s="34"/>
      <c r="AH22" s="34"/>
      <c r="AI22" s="34"/>
      <c r="AJ22" s="34"/>
      <c r="AK22" s="34"/>
      <c r="AL22" s="34"/>
      <c r="AM22" s="34"/>
      <c r="AN22" s="34"/>
      <c r="AO22" s="34"/>
    </row>
    <row r="23" spans="2:41" x14ac:dyDescent="0.2">
      <c r="E23" s="1" t="s">
        <v>547</v>
      </c>
      <c r="H23" s="101"/>
      <c r="J23" s="2" t="s">
        <v>49</v>
      </c>
      <c r="M23" s="101"/>
      <c r="N23" s="101"/>
      <c r="O23" s="101"/>
      <c r="P23" s="101"/>
      <c r="Q23" s="108">
        <f>'WACC '!E49</f>
        <v>0.32397356295072188</v>
      </c>
      <c r="R23" s="101"/>
      <c r="S23" s="108"/>
      <c r="T23" s="108"/>
      <c r="U23" s="108"/>
      <c r="V23" s="108"/>
      <c r="W23" s="108"/>
      <c r="X23" s="108"/>
      <c r="Y23" s="108"/>
      <c r="Z23" s="108"/>
      <c r="AA23" s="108"/>
      <c r="AB23" s="108"/>
      <c r="AC23" s="108"/>
      <c r="AD23" s="108"/>
      <c r="AE23" s="101"/>
      <c r="AF23" s="101"/>
      <c r="AG23" s="101"/>
      <c r="AH23" s="101"/>
      <c r="AI23" s="101"/>
      <c r="AJ23" s="101"/>
      <c r="AK23" s="101"/>
      <c r="AL23" s="101"/>
      <c r="AM23" s="101"/>
      <c r="AN23" s="101"/>
      <c r="AO23" s="101"/>
    </row>
    <row r="24" spans="2:41" x14ac:dyDescent="0.2">
      <c r="E24" s="1" t="s">
        <v>548</v>
      </c>
      <c r="H24" s="101"/>
      <c r="J24" s="2" t="s">
        <v>49</v>
      </c>
      <c r="N24" s="34"/>
      <c r="O24" s="34"/>
      <c r="P24" s="34"/>
      <c r="Q24" s="108">
        <f>1-Q23</f>
        <v>0.67602643704927812</v>
      </c>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row>
    <row r="25" spans="2:41" ht="12.6" x14ac:dyDescent="0.25">
      <c r="C25" s="17"/>
      <c r="D25" s="35"/>
      <c r="E25" s="35" t="s">
        <v>549</v>
      </c>
      <c r="H25" s="101"/>
      <c r="J25" s="2" t="s">
        <v>49</v>
      </c>
      <c r="M25" s="101"/>
      <c r="N25" s="101"/>
      <c r="O25" s="101"/>
      <c r="P25" s="84"/>
      <c r="Q25" s="85">
        <f>(Q17*Q24)+(Q20*Q23)</f>
        <v>8.1478422529976599E-2</v>
      </c>
      <c r="R25" s="101"/>
      <c r="S25" s="363"/>
      <c r="T25" s="363"/>
      <c r="U25" s="363"/>
      <c r="V25" s="363"/>
      <c r="W25" s="363"/>
      <c r="X25" s="363"/>
      <c r="Y25" s="363"/>
      <c r="Z25" s="363"/>
      <c r="AA25" s="363"/>
      <c r="AB25" s="363"/>
      <c r="AC25" s="363"/>
      <c r="AD25" s="363"/>
      <c r="AE25" s="101"/>
      <c r="AF25" s="25"/>
      <c r="AG25" s="25"/>
      <c r="AH25" s="25"/>
      <c r="AI25" s="25"/>
      <c r="AJ25" s="25"/>
      <c r="AK25" s="25"/>
      <c r="AL25" s="25"/>
      <c r="AM25" s="25"/>
      <c r="AN25" s="25"/>
      <c r="AO25" s="25"/>
    </row>
    <row r="26" spans="2:41" ht="13.2" thickBot="1" x14ac:dyDescent="0.3">
      <c r="D26" s="35"/>
      <c r="H26" s="101"/>
      <c r="N26" s="34"/>
      <c r="O26" s="34"/>
      <c r="P26" s="34"/>
      <c r="Q26" s="34"/>
      <c r="R26" s="101"/>
      <c r="S26" s="394"/>
      <c r="T26" s="395"/>
      <c r="U26" s="395"/>
      <c r="V26" s="395"/>
      <c r="W26" s="395"/>
      <c r="X26" s="395"/>
      <c r="Y26" s="395"/>
      <c r="Z26" s="395"/>
      <c r="AA26" s="395"/>
      <c r="AB26" s="395"/>
      <c r="AC26" s="395"/>
      <c r="AD26" s="395"/>
      <c r="AE26" s="34"/>
      <c r="AF26" s="34"/>
      <c r="AG26" s="34"/>
      <c r="AH26" s="34"/>
      <c r="AI26" s="34"/>
      <c r="AJ26" s="34"/>
      <c r="AK26" s="34"/>
      <c r="AL26" s="34"/>
      <c r="AM26" s="34"/>
      <c r="AN26" s="34"/>
      <c r="AO26" s="34"/>
    </row>
    <row r="27" spans="2:41" ht="12.6" thickTop="1" x14ac:dyDescent="0.2">
      <c r="B27" s="17"/>
      <c r="C27" s="333" t="s">
        <v>550</v>
      </c>
      <c r="D27" s="320"/>
      <c r="E27" s="321"/>
      <c r="F27" s="321"/>
      <c r="G27" s="321"/>
      <c r="H27" s="321"/>
      <c r="I27" s="321"/>
      <c r="J27" s="322"/>
      <c r="K27" s="321"/>
      <c r="L27" s="323"/>
      <c r="M27" s="321"/>
      <c r="N27" s="324"/>
      <c r="O27" s="324"/>
      <c r="P27" s="324"/>
      <c r="Q27" s="324"/>
      <c r="R27" s="324"/>
      <c r="S27" s="324"/>
      <c r="T27" s="324"/>
      <c r="U27" s="324"/>
      <c r="V27" s="324"/>
      <c r="W27" s="324"/>
      <c r="X27" s="324"/>
      <c r="Y27" s="324"/>
      <c r="Z27" s="324"/>
      <c r="AA27" s="324"/>
      <c r="AB27" s="324"/>
      <c r="AC27" s="324"/>
      <c r="AD27" s="324"/>
      <c r="AE27" s="21"/>
      <c r="AF27" s="21"/>
      <c r="AG27" s="21"/>
      <c r="AH27" s="21"/>
      <c r="AI27" s="21"/>
      <c r="AJ27" s="21"/>
      <c r="AK27" s="21"/>
      <c r="AL27" s="21"/>
      <c r="AM27" s="21"/>
      <c r="AN27" s="21"/>
      <c r="AO27" s="21"/>
    </row>
    <row r="28" spans="2:41" ht="12.6" thickBot="1" x14ac:dyDescent="0.25">
      <c r="H28" s="101"/>
      <c r="M28" s="101"/>
      <c r="N28" s="101"/>
      <c r="O28" s="101"/>
      <c r="P28" s="101"/>
      <c r="Q28" s="101"/>
      <c r="R28" s="101"/>
      <c r="S28" s="101"/>
      <c r="T28" s="101"/>
      <c r="U28" s="101"/>
      <c r="V28" s="101"/>
      <c r="W28" s="101"/>
      <c r="X28" s="101"/>
      <c r="Y28" s="101"/>
      <c r="Z28" s="101"/>
      <c r="AA28" s="101"/>
      <c r="AB28" s="101"/>
      <c r="AC28" s="101"/>
      <c r="AD28" s="101"/>
      <c r="AE28" s="101"/>
      <c r="AF28" s="25"/>
      <c r="AG28" s="25"/>
      <c r="AH28" s="25"/>
      <c r="AI28" s="25"/>
      <c r="AJ28" s="25"/>
      <c r="AK28" s="25"/>
      <c r="AL28" s="25"/>
      <c r="AM28" s="25"/>
      <c r="AN28" s="25"/>
      <c r="AO28" s="25"/>
    </row>
    <row r="29" spans="2:41" ht="12.6" x14ac:dyDescent="0.25">
      <c r="C29" s="364" t="s">
        <v>551</v>
      </c>
      <c r="D29" s="364"/>
      <c r="E29" s="365"/>
      <c r="F29" s="365"/>
      <c r="G29" s="365"/>
      <c r="H29" s="366"/>
      <c r="I29" s="365"/>
      <c r="J29" s="367"/>
      <c r="K29" s="365"/>
      <c r="L29" s="368"/>
      <c r="M29" s="366"/>
      <c r="N29" s="366"/>
      <c r="O29" s="366"/>
      <c r="P29" s="366"/>
      <c r="Q29" s="369"/>
      <c r="R29" s="370"/>
      <c r="S29" s="366"/>
      <c r="T29" s="366"/>
      <c r="U29" s="366"/>
      <c r="V29" s="366"/>
      <c r="W29" s="366"/>
      <c r="X29" s="366"/>
      <c r="Y29" s="366"/>
      <c r="Z29" s="366"/>
      <c r="AA29" s="366"/>
      <c r="AB29" s="366"/>
      <c r="AC29" s="366"/>
      <c r="AD29" s="366"/>
      <c r="AE29" s="101"/>
      <c r="AF29" s="101"/>
      <c r="AG29" s="101"/>
      <c r="AH29" s="101"/>
      <c r="AI29" s="101"/>
      <c r="AJ29" s="101"/>
      <c r="AK29" s="101"/>
      <c r="AL29" s="101"/>
      <c r="AM29" s="101"/>
      <c r="AN29" s="101"/>
      <c r="AO29" s="101"/>
    </row>
    <row r="30" spans="2:41" x14ac:dyDescent="0.2">
      <c r="H30" s="101"/>
      <c r="M30" s="101"/>
      <c r="N30" s="101"/>
      <c r="O30" s="101"/>
      <c r="P30" s="101"/>
      <c r="Q30" s="101"/>
      <c r="R30" s="101"/>
      <c r="S30" s="101"/>
      <c r="T30" s="101"/>
      <c r="U30" s="101"/>
      <c r="V30" s="101"/>
      <c r="W30" s="101"/>
      <c r="X30" s="101"/>
      <c r="Y30" s="101"/>
      <c r="Z30" s="101"/>
      <c r="AA30" s="101"/>
      <c r="AB30" s="101"/>
      <c r="AC30" s="101"/>
      <c r="AD30" s="101"/>
      <c r="AE30" s="101"/>
      <c r="AF30" s="25"/>
      <c r="AG30" s="25"/>
      <c r="AH30" s="25"/>
      <c r="AI30" s="25"/>
      <c r="AJ30" s="25"/>
      <c r="AK30" s="25"/>
      <c r="AL30" s="25"/>
      <c r="AM30" s="25"/>
      <c r="AN30" s="25"/>
      <c r="AO30" s="25"/>
    </row>
    <row r="31" spans="2:41" ht="12.6" x14ac:dyDescent="0.25">
      <c r="D31" s="35" t="s">
        <v>552</v>
      </c>
      <c r="H31" s="101"/>
      <c r="N31" s="34"/>
      <c r="O31" s="34"/>
      <c r="P31" s="34"/>
      <c r="Q31" s="34"/>
      <c r="R31" s="101"/>
      <c r="S31" s="101"/>
      <c r="T31" s="101"/>
      <c r="U31" s="101"/>
      <c r="V31" s="101"/>
      <c r="W31" s="101"/>
      <c r="X31" s="101"/>
      <c r="Y31" s="101"/>
      <c r="Z31" s="101"/>
      <c r="AA31" s="101"/>
      <c r="AB31" s="101"/>
      <c r="AC31" s="101"/>
      <c r="AD31" s="101"/>
      <c r="AE31" s="34"/>
      <c r="AF31" s="34"/>
      <c r="AG31" s="34"/>
      <c r="AH31" s="34"/>
      <c r="AI31" s="34"/>
      <c r="AJ31" s="34"/>
      <c r="AK31" s="34"/>
      <c r="AL31" s="34"/>
      <c r="AM31" s="34"/>
      <c r="AN31" s="34"/>
      <c r="AO31" s="34"/>
    </row>
    <row r="32" spans="2:41" x14ac:dyDescent="0.2">
      <c r="E32" s="1" t="s">
        <v>553</v>
      </c>
      <c r="H32" s="101"/>
      <c r="J32" s="2" t="s">
        <v>49</v>
      </c>
      <c r="M32" s="101"/>
      <c r="N32" s="101"/>
      <c r="O32" s="101"/>
      <c r="P32" s="101"/>
      <c r="Q32" s="86">
        <v>0.01</v>
      </c>
      <c r="R32" s="101"/>
      <c r="S32" s="397"/>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row>
    <row r="33" spans="3:41" x14ac:dyDescent="0.2">
      <c r="E33" s="1" t="s">
        <v>554</v>
      </c>
      <c r="H33" s="101"/>
      <c r="J33" s="2" t="s">
        <v>52</v>
      </c>
      <c r="N33" s="34"/>
      <c r="O33" s="34"/>
      <c r="P33" s="34"/>
      <c r="Q33" s="21">
        <f>(1+$Q$32)/($Q$25-$Q$32)</f>
        <v>14.130138358557458</v>
      </c>
      <c r="R33" s="34"/>
      <c r="S33" s="397"/>
      <c r="T33" s="34"/>
      <c r="U33" s="34"/>
      <c r="V33" s="34"/>
      <c r="W33" s="34"/>
      <c r="X33" s="34"/>
      <c r="Y33" s="34"/>
      <c r="Z33" s="34"/>
      <c r="AA33" s="34"/>
      <c r="AB33" s="34"/>
      <c r="AC33" s="34"/>
      <c r="AD33" s="34"/>
      <c r="AE33" s="34"/>
      <c r="AF33" s="34"/>
      <c r="AG33" s="34"/>
      <c r="AH33" s="34"/>
      <c r="AI33" s="34"/>
      <c r="AJ33" s="34"/>
      <c r="AK33" s="34"/>
      <c r="AL33" s="34"/>
      <c r="AM33" s="34"/>
      <c r="AN33" s="34"/>
      <c r="AO33" s="34"/>
    </row>
    <row r="34" spans="3:41" ht="12.6" x14ac:dyDescent="0.25">
      <c r="C34" s="17"/>
      <c r="D34" s="35"/>
      <c r="H34" s="101"/>
      <c r="M34" s="101"/>
      <c r="N34" s="101"/>
      <c r="O34" s="101"/>
      <c r="P34" s="84"/>
      <c r="Q34" s="101"/>
      <c r="R34" s="101"/>
      <c r="S34" s="101"/>
      <c r="T34" s="101"/>
      <c r="U34" s="101"/>
      <c r="V34" s="101"/>
      <c r="W34" s="101"/>
      <c r="X34" s="101"/>
      <c r="Y34" s="101"/>
      <c r="Z34" s="101"/>
      <c r="AA34" s="101"/>
      <c r="AB34" s="101"/>
      <c r="AC34" s="101"/>
      <c r="AD34" s="101"/>
      <c r="AE34" s="101"/>
      <c r="AF34" s="25"/>
      <c r="AG34" s="25"/>
      <c r="AH34" s="25"/>
      <c r="AI34" s="25"/>
      <c r="AJ34" s="25"/>
      <c r="AK34" s="25"/>
      <c r="AL34" s="25"/>
      <c r="AM34" s="25"/>
      <c r="AN34" s="25"/>
      <c r="AO34" s="25"/>
    </row>
    <row r="35" spans="3:41" ht="12.6" x14ac:dyDescent="0.25">
      <c r="D35" s="35" t="s">
        <v>555</v>
      </c>
      <c r="H35" s="101"/>
      <c r="M35" s="101"/>
      <c r="N35" s="101"/>
      <c r="O35" s="101"/>
      <c r="P35" s="101"/>
      <c r="Q35" s="101"/>
      <c r="R35" s="101"/>
      <c r="S35" s="101"/>
      <c r="T35" s="101"/>
      <c r="U35" s="101"/>
      <c r="V35" s="101"/>
      <c r="W35" s="101"/>
      <c r="X35" s="101"/>
      <c r="Y35" s="101"/>
      <c r="Z35" s="101"/>
      <c r="AA35" s="101"/>
      <c r="AB35" s="101"/>
      <c r="AC35" s="101"/>
      <c r="AD35" s="101"/>
      <c r="AE35" s="101"/>
      <c r="AF35" s="25"/>
      <c r="AG35" s="25"/>
      <c r="AH35" s="25"/>
      <c r="AI35" s="25"/>
      <c r="AJ35" s="25"/>
      <c r="AK35" s="25"/>
      <c r="AL35" s="25"/>
      <c r="AM35" s="25"/>
      <c r="AN35" s="25"/>
      <c r="AO35" s="25"/>
    </row>
    <row r="36" spans="3:41" x14ac:dyDescent="0.2">
      <c r="E36" s="1" t="s">
        <v>556</v>
      </c>
      <c r="H36" s="101"/>
      <c r="J36" s="2" t="s">
        <v>52</v>
      </c>
      <c r="N36" s="34"/>
      <c r="O36" s="34"/>
      <c r="P36" s="34"/>
      <c r="Q36" s="34"/>
      <c r="R36" s="21"/>
      <c r="S36" s="21">
        <v>1</v>
      </c>
      <c r="T36" s="21">
        <f>S36+1</f>
        <v>2</v>
      </c>
      <c r="U36" s="21">
        <f t="shared" ref="U36:W36" si="1">T36+1</f>
        <v>3</v>
      </c>
      <c r="V36" s="21">
        <f t="shared" si="1"/>
        <v>4</v>
      </c>
      <c r="W36" s="21">
        <f t="shared" si="1"/>
        <v>5</v>
      </c>
      <c r="X36" s="21">
        <f t="shared" ref="X36:AD36" si="2">W36+1</f>
        <v>6</v>
      </c>
      <c r="Y36" s="21">
        <f t="shared" si="2"/>
        <v>7</v>
      </c>
      <c r="Z36" s="21">
        <f t="shared" si="2"/>
        <v>8</v>
      </c>
      <c r="AA36" s="21">
        <f t="shared" si="2"/>
        <v>9</v>
      </c>
      <c r="AB36" s="21">
        <f t="shared" si="2"/>
        <v>10</v>
      </c>
      <c r="AC36" s="21">
        <f t="shared" si="2"/>
        <v>11</v>
      </c>
      <c r="AD36" s="21">
        <f t="shared" si="2"/>
        <v>12</v>
      </c>
      <c r="AE36" s="34"/>
      <c r="AF36" s="34"/>
      <c r="AG36" s="34"/>
      <c r="AH36" s="34"/>
      <c r="AI36" s="34"/>
      <c r="AJ36" s="34"/>
      <c r="AK36" s="34"/>
      <c r="AL36" s="34"/>
      <c r="AM36" s="34"/>
      <c r="AN36" s="34"/>
      <c r="AO36" s="34"/>
    </row>
    <row r="37" spans="3:41" x14ac:dyDescent="0.2">
      <c r="H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row>
    <row r="38" spans="3:41" x14ac:dyDescent="0.2">
      <c r="D38" s="371" t="s">
        <v>557</v>
      </c>
      <c r="H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row>
    <row r="39" spans="3:41" x14ac:dyDescent="0.2">
      <c r="D39" s="1" t="s">
        <v>10</v>
      </c>
      <c r="H39" s="101"/>
      <c r="J39" s="2" t="s">
        <v>1205</v>
      </c>
      <c r="M39" s="101"/>
      <c r="N39" s="101"/>
      <c r="O39" s="101"/>
      <c r="P39" s="101"/>
      <c r="Q39" s="101"/>
      <c r="R39" s="101"/>
      <c r="S39" s="101">
        <f t="shared" ref="S39:AD39" si="3">IS_Revenue</f>
        <v>583515.59155405359</v>
      </c>
      <c r="T39" s="101">
        <f t="shared" si="3"/>
        <v>685344.872080573</v>
      </c>
      <c r="U39" s="101">
        <f t="shared" si="3"/>
        <v>812190.4820599329</v>
      </c>
      <c r="V39" s="101">
        <f t="shared" si="3"/>
        <v>971824.79453884356</v>
      </c>
      <c r="W39" s="101">
        <f t="shared" si="3"/>
        <v>1174742.6343971477</v>
      </c>
      <c r="X39" s="101">
        <f t="shared" si="3"/>
        <v>1435162.002211099</v>
      </c>
      <c r="Y39" s="101">
        <f t="shared" si="3"/>
        <v>1772399.071436577</v>
      </c>
      <c r="Z39" s="101">
        <f t="shared" si="3"/>
        <v>2212758.2734427336</v>
      </c>
      <c r="AA39" s="101">
        <f t="shared" si="3"/>
        <v>2792131.3709527845</v>
      </c>
      <c r="AB39" s="101">
        <f t="shared" si="3"/>
        <v>3559572.5330697442</v>
      </c>
      <c r="AC39" s="101">
        <f t="shared" si="3"/>
        <v>4582217.1209917394</v>
      </c>
      <c r="AD39" s="101">
        <f t="shared" si="3"/>
        <v>5952050.5810853578</v>
      </c>
      <c r="AE39" s="101"/>
      <c r="AF39" s="101"/>
      <c r="AG39" s="101"/>
      <c r="AH39" s="101"/>
      <c r="AI39" s="101"/>
      <c r="AJ39" s="101"/>
      <c r="AK39" s="101"/>
      <c r="AL39" s="101"/>
      <c r="AM39" s="101"/>
      <c r="AN39" s="101"/>
      <c r="AO39" s="101"/>
    </row>
    <row r="40" spans="3:41" x14ac:dyDescent="0.2">
      <c r="H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row>
    <row r="41" spans="3:41" x14ac:dyDescent="0.2">
      <c r="D41" s="1" t="s">
        <v>12</v>
      </c>
      <c r="H41" s="101"/>
      <c r="J41" s="2" t="s">
        <v>1205</v>
      </c>
      <c r="M41" s="101"/>
      <c r="N41" s="101"/>
      <c r="O41" s="101"/>
      <c r="P41" s="101"/>
      <c r="Q41" s="101"/>
      <c r="R41" s="101"/>
      <c r="S41" s="101">
        <f t="shared" ref="S41:AC41" si="4">IS_EBITDA</f>
        <v>80488.744347983229</v>
      </c>
      <c r="T41" s="101">
        <f t="shared" si="4"/>
        <v>94534.831626661995</v>
      </c>
      <c r="U41" s="101">
        <f t="shared" si="4"/>
        <v>112031.61152606754</v>
      </c>
      <c r="V41" s="101">
        <f t="shared" si="4"/>
        <v>111955.31961184702</v>
      </c>
      <c r="W41" s="101">
        <f t="shared" si="4"/>
        <v>158826.5378174677</v>
      </c>
      <c r="X41" s="101">
        <f t="shared" si="4"/>
        <v>194035.53199152311</v>
      </c>
      <c r="Y41" s="101">
        <f t="shared" si="4"/>
        <v>239630.36660504621</v>
      </c>
      <c r="Z41" s="101">
        <f t="shared" si="4"/>
        <v>321295.01337613614</v>
      </c>
      <c r="AA41" s="101">
        <f t="shared" si="4"/>
        <v>405420.6448779644</v>
      </c>
      <c r="AB41" s="101">
        <f t="shared" si="4"/>
        <v>516853.97286825185</v>
      </c>
      <c r="AC41" s="101">
        <f t="shared" si="4"/>
        <v>665343.12800955051</v>
      </c>
      <c r="AD41" s="101">
        <f t="shared" ref="AD41" si="5">AD39*AD42</f>
        <v>864244.5015423646</v>
      </c>
      <c r="AE41" s="101"/>
      <c r="AF41" s="101"/>
      <c r="AG41" s="101"/>
      <c r="AH41" s="101"/>
      <c r="AI41" s="101"/>
      <c r="AJ41" s="101"/>
      <c r="AK41" s="101"/>
      <c r="AL41" s="101"/>
      <c r="AM41" s="101"/>
      <c r="AN41" s="101"/>
      <c r="AO41" s="101"/>
    </row>
    <row r="42" spans="3:41" x14ac:dyDescent="0.2">
      <c r="D42" s="1" t="s">
        <v>746</v>
      </c>
      <c r="H42" s="101"/>
      <c r="J42" s="2" t="s">
        <v>1205</v>
      </c>
      <c r="M42" s="101"/>
      <c r="N42" s="101"/>
      <c r="O42" s="101"/>
      <c r="P42" s="101"/>
      <c r="Q42" s="101"/>
      <c r="R42" s="101"/>
      <c r="S42" s="108">
        <f t="shared" ref="S42:AC42" si="6">S41/S39</f>
        <v>0.13793760700313215</v>
      </c>
      <c r="T42" s="108">
        <f t="shared" si="6"/>
        <v>0.13793760700313221</v>
      </c>
      <c r="U42" s="108">
        <f t="shared" si="6"/>
        <v>0.13793760700313223</v>
      </c>
      <c r="V42" s="108">
        <f t="shared" si="6"/>
        <v>0.11520113526736346</v>
      </c>
      <c r="W42" s="108">
        <f t="shared" si="6"/>
        <v>0.13520113526736349</v>
      </c>
      <c r="X42" s="108">
        <f t="shared" si="6"/>
        <v>0.13520113526736355</v>
      </c>
      <c r="Y42" s="108">
        <f t="shared" si="6"/>
        <v>0.13520113526736355</v>
      </c>
      <c r="Z42" s="108">
        <f t="shared" si="6"/>
        <v>0.14520113526736353</v>
      </c>
      <c r="AA42" s="108">
        <f t="shared" si="6"/>
        <v>0.1452011352673635</v>
      </c>
      <c r="AB42" s="108">
        <f t="shared" si="6"/>
        <v>0.14520113526736356</v>
      </c>
      <c r="AC42" s="108">
        <f t="shared" si="6"/>
        <v>0.1452011352673635</v>
      </c>
      <c r="AD42" s="589">
        <f t="shared" ref="AD42" si="7">AC42</f>
        <v>0.1452011352673635</v>
      </c>
      <c r="AE42" s="101"/>
      <c r="AF42" s="101"/>
      <c r="AG42" s="101"/>
      <c r="AH42" s="101"/>
      <c r="AI42" s="101"/>
      <c r="AJ42" s="101"/>
      <c r="AK42" s="101"/>
      <c r="AL42" s="101"/>
      <c r="AM42" s="101"/>
      <c r="AN42" s="101"/>
      <c r="AO42" s="101"/>
    </row>
    <row r="43" spans="3:41" ht="12.6" x14ac:dyDescent="0.25">
      <c r="D43" s="35" t="s">
        <v>558</v>
      </c>
      <c r="H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row>
    <row r="44" spans="3:41" x14ac:dyDescent="0.2">
      <c r="E44" s="1" t="s">
        <v>456</v>
      </c>
      <c r="H44" s="101"/>
      <c r="J44" s="2" t="s">
        <v>1205</v>
      </c>
      <c r="M44" s="101"/>
      <c r="N44" s="101"/>
      <c r="O44" s="101"/>
      <c r="P44" s="101"/>
      <c r="Q44" s="101"/>
      <c r="R44" s="101"/>
      <c r="S44" s="101">
        <f t="shared" ref="S44:AD44" si="8">CF_Receivables</f>
        <v>-20763.707431892821</v>
      </c>
      <c r="T44" s="101">
        <f t="shared" si="8"/>
        <v>-17410.632798677063</v>
      </c>
      <c r="U44" s="101">
        <f t="shared" si="8"/>
        <v>-21687.891007927654</v>
      </c>
      <c r="V44" s="101">
        <f t="shared" si="8"/>
        <v>-27294.059059130464</v>
      </c>
      <c r="W44" s="101">
        <f t="shared" si="8"/>
        <v>-34694.6180882974</v>
      </c>
      <c r="X44" s="101">
        <f t="shared" si="8"/>
        <v>-44526.151645464299</v>
      </c>
      <c r="Y44" s="101">
        <f t="shared" si="8"/>
        <v>-57660.338441237633</v>
      </c>
      <c r="Z44" s="101">
        <f t="shared" si="8"/>
        <v>-75292.021371504699</v>
      </c>
      <c r="AA44" s="101">
        <f t="shared" si="8"/>
        <v>-99060.429397344065</v>
      </c>
      <c r="AB44" s="101">
        <f t="shared" si="8"/>
        <v>-131216.05297730264</v>
      </c>
      <c r="AC44" s="101">
        <f t="shared" si="8"/>
        <v>-174850.38990555727</v>
      </c>
      <c r="AD44" s="101">
        <f t="shared" si="8"/>
        <v>-234212.27416823467</v>
      </c>
      <c r="AE44" s="101"/>
      <c r="AF44" s="101"/>
      <c r="AG44" s="101"/>
      <c r="AH44" s="101"/>
      <c r="AI44" s="101"/>
      <c r="AJ44" s="101"/>
      <c r="AK44" s="101"/>
      <c r="AL44" s="101"/>
      <c r="AM44" s="101"/>
      <c r="AN44" s="101"/>
      <c r="AO44" s="101"/>
    </row>
    <row r="45" spans="3:41" x14ac:dyDescent="0.2">
      <c r="E45" s="1" t="s">
        <v>1002</v>
      </c>
      <c r="H45" s="101"/>
      <c r="J45" s="2" t="s">
        <v>1205</v>
      </c>
      <c r="M45" s="101"/>
      <c r="N45" s="101"/>
      <c r="O45" s="101"/>
      <c r="P45" s="101"/>
      <c r="Q45" s="101"/>
      <c r="R45" s="101"/>
      <c r="S45" s="101">
        <f t="shared" ref="S45:AD45" si="9">CF_Inventories</f>
        <v>-3170.469480253847</v>
      </c>
      <c r="T45" s="101">
        <f t="shared" si="9"/>
        <v>-2923.9962509215184</v>
      </c>
      <c r="U45" s="101">
        <f t="shared" si="9"/>
        <v>-3642.3324028976931</v>
      </c>
      <c r="V45" s="101">
        <f t="shared" si="9"/>
        <v>-4583.8498395872302</v>
      </c>
      <c r="W45" s="101">
        <f t="shared" si="9"/>
        <v>-5826.722922158453</v>
      </c>
      <c r="X45" s="101">
        <f t="shared" si="9"/>
        <v>-7477.8614875613857</v>
      </c>
      <c r="Y45" s="101">
        <f t="shared" si="9"/>
        <v>-9683.6579909867141</v>
      </c>
      <c r="Z45" s="101">
        <f t="shared" si="9"/>
        <v>-12644.778093953639</v>
      </c>
      <c r="AA45" s="101">
        <f t="shared" si="9"/>
        <v>-16636.519046827438</v>
      </c>
      <c r="AB45" s="101">
        <f t="shared" si="9"/>
        <v>-22036.835272035911</v>
      </c>
      <c r="AC45" s="101">
        <f t="shared" si="9"/>
        <v>-29364.922600335485</v>
      </c>
      <c r="AD45" s="101">
        <f t="shared" si="9"/>
        <v>-39334.343530566985</v>
      </c>
      <c r="AE45" s="101"/>
      <c r="AF45" s="101"/>
      <c r="AG45" s="101"/>
      <c r="AH45" s="101"/>
      <c r="AI45" s="101"/>
      <c r="AJ45" s="101"/>
      <c r="AK45" s="101"/>
      <c r="AL45" s="101"/>
      <c r="AM45" s="101"/>
      <c r="AN45" s="101"/>
      <c r="AO45" s="101"/>
    </row>
    <row r="46" spans="3:41" x14ac:dyDescent="0.2">
      <c r="E46" s="1" t="s">
        <v>837</v>
      </c>
      <c r="H46" s="101"/>
      <c r="J46" s="2" t="s">
        <v>1205</v>
      </c>
      <c r="M46" s="101"/>
      <c r="N46" s="101"/>
      <c r="O46" s="101"/>
      <c r="P46" s="101"/>
      <c r="Q46" s="101"/>
      <c r="R46" s="101"/>
      <c r="S46" s="101">
        <f t="shared" ref="S46:AD46" si="10">CF_ContrAssets</f>
        <v>-2219.3277417490972</v>
      </c>
      <c r="T46" s="101">
        <f t="shared" si="10"/>
        <v>-2587.3418099622977</v>
      </c>
      <c r="U46" s="101">
        <f t="shared" si="10"/>
        <v>-3222.9722965026485</v>
      </c>
      <c r="V46" s="101">
        <f t="shared" si="10"/>
        <v>-4056.0880804191329</v>
      </c>
      <c r="W46" s="101">
        <f t="shared" si="10"/>
        <v>-5155.8629142616192</v>
      </c>
      <c r="X46" s="101">
        <f t="shared" si="10"/>
        <v>-6616.8975660542928</v>
      </c>
      <c r="Y46" s="101">
        <f t="shared" si="10"/>
        <v>-8568.7295890202367</v>
      </c>
      <c r="Z46" s="101">
        <f t="shared" si="10"/>
        <v>-11188.920994639047</v>
      </c>
      <c r="AA46" s="101">
        <f t="shared" si="10"/>
        <v>-14721.072671869901</v>
      </c>
      <c r="AB46" s="101">
        <f t="shared" si="10"/>
        <v>-19499.623243573296</v>
      </c>
      <c r="AC46" s="101">
        <f t="shared" si="10"/>
        <v>-25983.990904984967</v>
      </c>
      <c r="AD46" s="101">
        <f t="shared" si="10"/>
        <v>-34805.582104280067</v>
      </c>
      <c r="AE46" s="101"/>
      <c r="AF46" s="101"/>
      <c r="AG46" s="101"/>
      <c r="AH46" s="101"/>
      <c r="AI46" s="101"/>
      <c r="AJ46" s="101"/>
      <c r="AK46" s="101"/>
      <c r="AL46" s="101"/>
      <c r="AM46" s="101"/>
      <c r="AN46" s="101"/>
      <c r="AO46" s="101"/>
    </row>
    <row r="47" spans="3:41" x14ac:dyDescent="0.2">
      <c r="E47" s="1" t="s">
        <v>842</v>
      </c>
      <c r="H47" s="101"/>
      <c r="J47" s="2" t="s">
        <v>1205</v>
      </c>
      <c r="M47" s="101"/>
      <c r="N47" s="101"/>
      <c r="O47" s="101"/>
      <c r="P47" s="101"/>
      <c r="Q47" s="101"/>
      <c r="R47" s="101"/>
      <c r="S47" s="101">
        <f t="shared" ref="S47:AD47" si="11">CF_Prepaid_Expenses</f>
        <v>98.820465714514285</v>
      </c>
      <c r="T47" s="101">
        <f t="shared" si="11"/>
        <v>-5288.5555636732715</v>
      </c>
      <c r="U47" s="101">
        <f t="shared" si="11"/>
        <v>-6587.7913790146995</v>
      </c>
      <c r="V47" s="101">
        <f t="shared" si="11"/>
        <v>-8290.6893483710446</v>
      </c>
      <c r="W47" s="101">
        <f t="shared" si="11"/>
        <v>-10538.641394718659</v>
      </c>
      <c r="X47" s="101">
        <f t="shared" si="11"/>
        <v>-13525.012544717669</v>
      </c>
      <c r="Y47" s="101">
        <f t="shared" si="11"/>
        <v>-17514.579004265805</v>
      </c>
      <c r="Z47" s="101">
        <f t="shared" si="11"/>
        <v>-22870.279508435458</v>
      </c>
      <c r="AA47" s="101">
        <f t="shared" si="11"/>
        <v>-30090.036995610804</v>
      </c>
      <c r="AB47" s="101">
        <f t="shared" si="11"/>
        <v>-39857.447747050843</v>
      </c>
      <c r="AC47" s="101">
        <f t="shared" si="11"/>
        <v>-53111.567686140537</v>
      </c>
      <c r="AD47" s="101">
        <f t="shared" si="11"/>
        <v>-71142.998646614666</v>
      </c>
      <c r="AE47" s="101"/>
      <c r="AF47" s="101"/>
      <c r="AG47" s="101"/>
      <c r="AH47" s="101"/>
      <c r="AI47" s="101"/>
      <c r="AJ47" s="101"/>
      <c r="AK47" s="101"/>
      <c r="AL47" s="101"/>
      <c r="AM47" s="101"/>
      <c r="AN47" s="101"/>
      <c r="AO47" s="101"/>
    </row>
    <row r="48" spans="3:41" x14ac:dyDescent="0.2">
      <c r="E48" s="1" t="s">
        <v>450</v>
      </c>
      <c r="H48" s="101"/>
      <c r="J48" s="2" t="s">
        <v>1205</v>
      </c>
      <c r="M48" s="101"/>
      <c r="N48" s="101"/>
      <c r="O48" s="101"/>
      <c r="P48" s="101"/>
      <c r="Q48" s="101"/>
      <c r="R48" s="101"/>
      <c r="S48" s="101">
        <f t="shared" ref="S48:AD48" si="12">CF_Payables</f>
        <v>8143.759258446029</v>
      </c>
      <c r="T48" s="101">
        <f t="shared" si="12"/>
        <v>8846.3912154323916</v>
      </c>
      <c r="U48" s="101">
        <f t="shared" si="12"/>
        <v>11019.678073295792</v>
      </c>
      <c r="V48" s="101">
        <f t="shared" si="12"/>
        <v>13868.187738272871</v>
      </c>
      <c r="W48" s="101">
        <f t="shared" si="12"/>
        <v>17628.432477331735</v>
      </c>
      <c r="X48" s="101">
        <f t="shared" si="12"/>
        <v>22623.862172509631</v>
      </c>
      <c r="Y48" s="101">
        <f t="shared" si="12"/>
        <v>29297.379214394852</v>
      </c>
      <c r="Z48" s="101">
        <f t="shared" si="12"/>
        <v>38256.086619875045</v>
      </c>
      <c r="AA48" s="101">
        <f t="shared" si="12"/>
        <v>50332.881208327599</v>
      </c>
      <c r="AB48" s="101">
        <f t="shared" si="12"/>
        <v>66671.243475442374</v>
      </c>
      <c r="AC48" s="101">
        <f t="shared" si="12"/>
        <v>88841.972096096433</v>
      </c>
      <c r="AD48" s="101">
        <f t="shared" si="12"/>
        <v>119003.91150089318</v>
      </c>
      <c r="AE48" s="101"/>
      <c r="AF48" s="101"/>
      <c r="AG48" s="101"/>
      <c r="AH48" s="101"/>
      <c r="AI48" s="101"/>
      <c r="AJ48" s="101"/>
      <c r="AK48" s="101"/>
      <c r="AL48" s="101"/>
      <c r="AM48" s="101"/>
      <c r="AN48" s="101"/>
      <c r="AO48" s="101"/>
    </row>
    <row r="49" spans="3:41" x14ac:dyDescent="0.2">
      <c r="E49" s="1" t="s">
        <v>862</v>
      </c>
      <c r="H49" s="101"/>
      <c r="J49" s="2" t="s">
        <v>1205</v>
      </c>
      <c r="M49" s="101"/>
      <c r="N49" s="101"/>
      <c r="O49" s="101"/>
      <c r="P49" s="101"/>
      <c r="Q49" s="101"/>
      <c r="R49" s="101"/>
      <c r="S49" s="101">
        <f t="shared" ref="S49:AD49" si="13">CF_ContrLiabilities_Current</f>
        <v>81411.767197021429</v>
      </c>
      <c r="T49" s="101">
        <f t="shared" si="13"/>
        <v>-29019.981939485333</v>
      </c>
      <c r="U49" s="101">
        <f t="shared" si="13"/>
        <v>26153.2831933079</v>
      </c>
      <c r="V49" s="101">
        <f t="shared" si="13"/>
        <v>32913.72387510533</v>
      </c>
      <c r="W49" s="101">
        <f t="shared" si="13"/>
        <v>41838.00867568118</v>
      </c>
      <c r="X49" s="101">
        <f t="shared" si="13"/>
        <v>53693.789454508747</v>
      </c>
      <c r="Y49" s="101">
        <f t="shared" si="13"/>
        <v>69532.217758030878</v>
      </c>
      <c r="Z49" s="101">
        <f t="shared" si="13"/>
        <v>90794.146669483482</v>
      </c>
      <c r="AA49" s="101">
        <f t="shared" si="13"/>
        <v>119456.31146580435</v>
      </c>
      <c r="AB49" s="101">
        <f t="shared" si="13"/>
        <v>158232.56358901275</v>
      </c>
      <c r="AC49" s="101">
        <f t="shared" si="13"/>
        <v>210850.91962094381</v>
      </c>
      <c r="AD49" s="101">
        <f t="shared" si="13"/>
        <v>282435.02014241362</v>
      </c>
      <c r="AE49" s="101"/>
      <c r="AF49" s="101"/>
      <c r="AG49" s="101"/>
      <c r="AH49" s="101"/>
      <c r="AI49" s="101"/>
      <c r="AJ49" s="101"/>
      <c r="AK49" s="101"/>
      <c r="AL49" s="101"/>
      <c r="AM49" s="101"/>
      <c r="AN49" s="101"/>
      <c r="AO49" s="101"/>
    </row>
    <row r="50" spans="3:41" x14ac:dyDescent="0.2">
      <c r="E50" s="1" t="s">
        <v>882</v>
      </c>
      <c r="H50" s="101"/>
      <c r="J50" s="2" t="s">
        <v>1205</v>
      </c>
      <c r="M50" s="101"/>
      <c r="N50" s="101"/>
      <c r="O50" s="101"/>
      <c r="P50" s="101"/>
      <c r="Q50" s="101"/>
      <c r="R50" s="101"/>
      <c r="S50" s="101">
        <f t="shared" ref="S50:AD50" si="14">CF_Other_Current_Liabilities</f>
        <v>31.895232956409018</v>
      </c>
      <c r="T50" s="101">
        <f t="shared" si="14"/>
        <v>3503.2690947862029</v>
      </c>
      <c r="U50" s="101">
        <f t="shared" si="14"/>
        <v>4363.914808710324</v>
      </c>
      <c r="V50" s="101">
        <f t="shared" si="14"/>
        <v>5491.9562475860512</v>
      </c>
      <c r="W50" s="101">
        <f t="shared" si="14"/>
        <v>6981.0548938449938</v>
      </c>
      <c r="X50" s="101">
        <f t="shared" si="14"/>
        <v>8959.3004902826651</v>
      </c>
      <c r="Y50" s="101">
        <f t="shared" si="14"/>
        <v>11602.087298713777</v>
      </c>
      <c r="Z50" s="101">
        <f t="shared" si="14"/>
        <v>15149.834851196043</v>
      </c>
      <c r="AA50" s="101">
        <f t="shared" si="14"/>
        <v>19932.379531336468</v>
      </c>
      <c r="AB50" s="101">
        <f t="shared" si="14"/>
        <v>26402.552305286823</v>
      </c>
      <c r="AC50" s="101">
        <f t="shared" si="14"/>
        <v>35182.406880351889</v>
      </c>
      <c r="AD50" s="101">
        <f t="shared" si="14"/>
        <v>47126.869608984853</v>
      </c>
      <c r="AE50" s="101"/>
      <c r="AF50" s="101"/>
      <c r="AG50" s="101"/>
      <c r="AH50" s="101"/>
      <c r="AI50" s="101"/>
      <c r="AJ50" s="101"/>
      <c r="AK50" s="101"/>
      <c r="AL50" s="101"/>
      <c r="AM50" s="101"/>
      <c r="AN50" s="101"/>
      <c r="AO50" s="101"/>
    </row>
    <row r="51" spans="3:41" x14ac:dyDescent="0.2">
      <c r="E51" s="1" t="s">
        <v>931</v>
      </c>
      <c r="H51" s="101"/>
      <c r="J51" s="2" t="s">
        <v>1205</v>
      </c>
      <c r="M51" s="101"/>
      <c r="N51" s="101"/>
      <c r="O51" s="101"/>
      <c r="P51" s="101"/>
      <c r="Q51" s="101"/>
      <c r="R51" s="101"/>
      <c r="S51" s="101" t="e">
        <f t="shared" ref="S51:AD51" si="15">CF_Tax_Paid</f>
        <v>#NAME?</v>
      </c>
      <c r="T51" s="101" t="e">
        <f t="shared" si="15"/>
        <v>#NAME?</v>
      </c>
      <c r="U51" s="101" t="e">
        <f t="shared" si="15"/>
        <v>#NAME?</v>
      </c>
      <c r="V51" s="101" t="e">
        <f t="shared" si="15"/>
        <v>#NAME?</v>
      </c>
      <c r="W51" s="101" t="e">
        <f t="shared" si="15"/>
        <v>#NAME?</v>
      </c>
      <c r="X51" s="101" t="e">
        <f t="shared" si="15"/>
        <v>#NAME?</v>
      </c>
      <c r="Y51" s="101" t="e">
        <f t="shared" si="15"/>
        <v>#NAME?</v>
      </c>
      <c r="Z51" s="101" t="e">
        <f t="shared" si="15"/>
        <v>#NAME?</v>
      </c>
      <c r="AA51" s="101" t="e">
        <f t="shared" si="15"/>
        <v>#NAME?</v>
      </c>
      <c r="AB51" s="101" t="e">
        <f t="shared" si="15"/>
        <v>#NAME?</v>
      </c>
      <c r="AC51" s="101" t="e">
        <f t="shared" si="15"/>
        <v>#NAME?</v>
      </c>
      <c r="AD51" s="101" t="e">
        <f t="shared" si="15"/>
        <v>#NAME?</v>
      </c>
      <c r="AE51" s="101"/>
      <c r="AF51" s="101"/>
      <c r="AG51" s="101"/>
      <c r="AH51" s="101"/>
      <c r="AI51" s="101"/>
      <c r="AJ51" s="101"/>
      <c r="AK51" s="101"/>
      <c r="AL51" s="101"/>
      <c r="AM51" s="101"/>
      <c r="AN51" s="101"/>
      <c r="AO51" s="101"/>
    </row>
    <row r="52" spans="3:41" x14ac:dyDescent="0.2">
      <c r="D52" s="28" t="s">
        <v>559</v>
      </c>
      <c r="E52" s="28"/>
      <c r="F52" s="28"/>
      <c r="G52" s="28"/>
      <c r="H52" s="100"/>
      <c r="I52" s="28"/>
      <c r="J52" s="29" t="s">
        <v>1205</v>
      </c>
      <c r="K52" s="28"/>
      <c r="L52" s="30"/>
      <c r="M52" s="100"/>
      <c r="N52" s="100"/>
      <c r="O52" s="100"/>
      <c r="P52" s="100"/>
      <c r="Q52" s="100"/>
      <c r="R52" s="100"/>
      <c r="S52" s="100" t="e">
        <f t="shared" ref="S52:W52" si="16">SUM(S44:S51)</f>
        <v>#NAME?</v>
      </c>
      <c r="T52" s="100" t="e">
        <f t="shared" si="16"/>
        <v>#NAME?</v>
      </c>
      <c r="U52" s="100" t="e">
        <f t="shared" si="16"/>
        <v>#NAME?</v>
      </c>
      <c r="V52" s="100" t="e">
        <f t="shared" si="16"/>
        <v>#NAME?</v>
      </c>
      <c r="W52" s="100" t="e">
        <f t="shared" si="16"/>
        <v>#NAME?</v>
      </c>
      <c r="X52" s="100" t="e">
        <f t="shared" ref="X52:AD52" si="17">SUM(X44:X51)</f>
        <v>#NAME?</v>
      </c>
      <c r="Y52" s="100" t="e">
        <f t="shared" si="17"/>
        <v>#NAME?</v>
      </c>
      <c r="Z52" s="100" t="e">
        <f t="shared" si="17"/>
        <v>#NAME?</v>
      </c>
      <c r="AA52" s="100" t="e">
        <f t="shared" si="17"/>
        <v>#NAME?</v>
      </c>
      <c r="AB52" s="100" t="e">
        <f t="shared" si="17"/>
        <v>#NAME?</v>
      </c>
      <c r="AC52" s="100" t="e">
        <f t="shared" si="17"/>
        <v>#NAME?</v>
      </c>
      <c r="AD52" s="100" t="e">
        <f t="shared" si="17"/>
        <v>#NAME?</v>
      </c>
      <c r="AE52" s="101"/>
      <c r="AF52" s="101"/>
      <c r="AG52" s="101"/>
      <c r="AH52" s="101"/>
      <c r="AI52" s="101"/>
      <c r="AJ52" s="101"/>
      <c r="AK52" s="101"/>
      <c r="AL52" s="101"/>
      <c r="AM52" s="101"/>
      <c r="AN52" s="101"/>
      <c r="AO52" s="101"/>
    </row>
    <row r="53" spans="3:41" x14ac:dyDescent="0.2">
      <c r="H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1"/>
      <c r="AL53" s="101"/>
      <c r="AM53" s="101"/>
      <c r="AN53" s="101"/>
      <c r="AO53" s="101"/>
    </row>
    <row r="54" spans="3:41" ht="12.6" x14ac:dyDescent="0.25">
      <c r="D54" s="27" t="s">
        <v>560</v>
      </c>
      <c r="E54" s="28"/>
      <c r="F54" s="28"/>
      <c r="G54" s="28"/>
      <c r="H54" s="100"/>
      <c r="I54" s="28"/>
      <c r="J54" s="29" t="s">
        <v>1205</v>
      </c>
      <c r="K54" s="28"/>
      <c r="L54" s="30"/>
      <c r="M54" s="100"/>
      <c r="N54" s="100"/>
      <c r="O54" s="100"/>
      <c r="P54" s="100"/>
      <c r="Q54" s="100"/>
      <c r="R54" s="100"/>
      <c r="S54" s="100" t="e">
        <f>S41+S52</f>
        <v>#NAME?</v>
      </c>
      <c r="T54" s="100" t="e">
        <f t="shared" ref="T54:W54" si="18">T41+T52</f>
        <v>#NAME?</v>
      </c>
      <c r="U54" s="100" t="e">
        <f t="shared" si="18"/>
        <v>#NAME?</v>
      </c>
      <c r="V54" s="100" t="e">
        <f t="shared" si="18"/>
        <v>#NAME?</v>
      </c>
      <c r="W54" s="100" t="e">
        <f t="shared" si="18"/>
        <v>#NAME?</v>
      </c>
      <c r="X54" s="100" t="e">
        <f t="shared" ref="X54:AD54" si="19">X41+X52</f>
        <v>#NAME?</v>
      </c>
      <c r="Y54" s="100" t="e">
        <f t="shared" si="19"/>
        <v>#NAME?</v>
      </c>
      <c r="Z54" s="100" t="e">
        <f t="shared" si="19"/>
        <v>#NAME?</v>
      </c>
      <c r="AA54" s="100" t="e">
        <f t="shared" si="19"/>
        <v>#NAME?</v>
      </c>
      <c r="AB54" s="100" t="e">
        <f t="shared" si="19"/>
        <v>#NAME?</v>
      </c>
      <c r="AC54" s="100" t="e">
        <f t="shared" si="19"/>
        <v>#NAME?</v>
      </c>
      <c r="AD54" s="100" t="e">
        <f t="shared" si="19"/>
        <v>#NAME?</v>
      </c>
      <c r="AE54" s="101"/>
      <c r="AF54" s="101"/>
      <c r="AG54" s="101"/>
      <c r="AH54" s="101"/>
      <c r="AI54" s="101"/>
      <c r="AJ54" s="101"/>
      <c r="AK54" s="101"/>
      <c r="AL54" s="101"/>
      <c r="AM54" s="101"/>
      <c r="AN54" s="101"/>
      <c r="AO54" s="101"/>
    </row>
    <row r="55" spans="3:41" x14ac:dyDescent="0.2">
      <c r="H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row>
    <row r="56" spans="3:41" x14ac:dyDescent="0.2">
      <c r="D56" s="1" t="s">
        <v>942</v>
      </c>
      <c r="H56" s="101"/>
      <c r="J56" s="2" t="s">
        <v>1205</v>
      </c>
      <c r="M56" s="101"/>
      <c r="N56" s="101"/>
      <c r="O56" s="101"/>
      <c r="P56" s="101"/>
      <c r="Q56" s="101"/>
      <c r="R56" s="101"/>
      <c r="S56" s="101">
        <f t="shared" ref="S56:AD56" si="20">CF_Capital_Expenditure</f>
        <v>-50000</v>
      </c>
      <c r="T56" s="101">
        <f t="shared" si="20"/>
        <v>-50000</v>
      </c>
      <c r="U56" s="101">
        <f t="shared" si="20"/>
        <v>-50000</v>
      </c>
      <c r="V56" s="101">
        <f t="shared" si="20"/>
        <v>-50000</v>
      </c>
      <c r="W56" s="101">
        <f t="shared" si="20"/>
        <v>-50000</v>
      </c>
      <c r="X56" s="101">
        <f t="shared" si="20"/>
        <v>-50000</v>
      </c>
      <c r="Y56" s="101">
        <f t="shared" si="20"/>
        <v>-50000</v>
      </c>
      <c r="Z56" s="101">
        <f t="shared" si="20"/>
        <v>-50000</v>
      </c>
      <c r="AA56" s="101">
        <f t="shared" si="20"/>
        <v>-50000</v>
      </c>
      <c r="AB56" s="101">
        <f t="shared" si="20"/>
        <v>-50000</v>
      </c>
      <c r="AC56" s="101">
        <f t="shared" si="20"/>
        <v>-50000</v>
      </c>
      <c r="AD56" s="101">
        <f t="shared" si="20"/>
        <v>-50000</v>
      </c>
      <c r="AE56" s="101"/>
      <c r="AF56" s="101"/>
      <c r="AG56" s="101"/>
      <c r="AH56" s="101"/>
      <c r="AI56" s="101"/>
      <c r="AJ56" s="101"/>
      <c r="AK56" s="101"/>
      <c r="AL56" s="101"/>
      <c r="AM56" s="101"/>
      <c r="AN56" s="101"/>
      <c r="AO56" s="101"/>
    </row>
    <row r="57" spans="3:41" x14ac:dyDescent="0.2">
      <c r="D57" s="1" t="s">
        <v>932</v>
      </c>
      <c r="H57" s="101"/>
      <c r="J57" s="2" t="s">
        <v>1205</v>
      </c>
      <c r="M57" s="101"/>
      <c r="N57" s="101"/>
      <c r="O57" s="101"/>
      <c r="P57" s="101"/>
      <c r="Q57" s="101"/>
      <c r="R57" s="101"/>
      <c r="S57" s="101">
        <f t="shared" ref="S57:AD57" si="21">CF_Capital_Expenditure_Intangibles</f>
        <v>-10000</v>
      </c>
      <c r="T57" s="101">
        <f t="shared" si="21"/>
        <v>-5000</v>
      </c>
      <c r="U57" s="101">
        <f t="shared" si="21"/>
        <v>-5000</v>
      </c>
      <c r="V57" s="101">
        <f t="shared" si="21"/>
        <v>-5000</v>
      </c>
      <c r="W57" s="101">
        <f t="shared" si="21"/>
        <v>-5000</v>
      </c>
      <c r="X57" s="101">
        <f t="shared" si="21"/>
        <v>-5000</v>
      </c>
      <c r="Y57" s="101">
        <f t="shared" si="21"/>
        <v>-5000</v>
      </c>
      <c r="Z57" s="101">
        <f t="shared" si="21"/>
        <v>-5000</v>
      </c>
      <c r="AA57" s="101">
        <f t="shared" si="21"/>
        <v>-5000</v>
      </c>
      <c r="AB57" s="101">
        <f t="shared" si="21"/>
        <v>-5000</v>
      </c>
      <c r="AC57" s="101">
        <f t="shared" si="21"/>
        <v>-5000</v>
      </c>
      <c r="AD57" s="101">
        <f t="shared" si="21"/>
        <v>-5000</v>
      </c>
      <c r="AE57" s="101"/>
      <c r="AF57" s="101"/>
      <c r="AG57" s="101"/>
      <c r="AH57" s="101"/>
      <c r="AI57" s="101"/>
      <c r="AJ57" s="101"/>
      <c r="AK57" s="101"/>
      <c r="AL57" s="101"/>
      <c r="AM57" s="101"/>
      <c r="AN57" s="101"/>
      <c r="AO57" s="101"/>
    </row>
    <row r="58" spans="3:41" x14ac:dyDescent="0.2">
      <c r="H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row>
    <row r="59" spans="3:41" ht="12.6" x14ac:dyDescent="0.25">
      <c r="D59" s="27" t="s">
        <v>562</v>
      </c>
      <c r="E59" s="27"/>
      <c r="F59" s="27"/>
      <c r="G59" s="27"/>
      <c r="H59" s="66"/>
      <c r="I59" s="27"/>
      <c r="J59" s="372" t="s">
        <v>1205</v>
      </c>
      <c r="K59" s="27"/>
      <c r="L59" s="83"/>
      <c r="M59" s="66"/>
      <c r="N59" s="66"/>
      <c r="O59" s="66"/>
      <c r="P59" s="66"/>
      <c r="Q59" s="66"/>
      <c r="R59" s="66"/>
      <c r="S59" s="66" t="e">
        <f>S54+S56+S57</f>
        <v>#NAME?</v>
      </c>
      <c r="T59" s="66" t="e">
        <f t="shared" ref="T59:W59" si="22">T54+T56+T57</f>
        <v>#NAME?</v>
      </c>
      <c r="U59" s="66" t="e">
        <f t="shared" si="22"/>
        <v>#NAME?</v>
      </c>
      <c r="V59" s="66" t="e">
        <f t="shared" si="22"/>
        <v>#NAME?</v>
      </c>
      <c r="W59" s="66" t="e">
        <f t="shared" si="22"/>
        <v>#NAME?</v>
      </c>
      <c r="X59" s="66" t="e">
        <f t="shared" ref="X59:AD59" si="23">X54+X56+X57</f>
        <v>#NAME?</v>
      </c>
      <c r="Y59" s="66" t="e">
        <f t="shared" si="23"/>
        <v>#NAME?</v>
      </c>
      <c r="Z59" s="66" t="e">
        <f t="shared" si="23"/>
        <v>#NAME?</v>
      </c>
      <c r="AA59" s="66" t="e">
        <f t="shared" si="23"/>
        <v>#NAME?</v>
      </c>
      <c r="AB59" s="66" t="e">
        <f t="shared" si="23"/>
        <v>#NAME?</v>
      </c>
      <c r="AC59" s="66" t="e">
        <f t="shared" si="23"/>
        <v>#NAME?</v>
      </c>
      <c r="AD59" s="66" t="e">
        <f t="shared" si="23"/>
        <v>#NAME?</v>
      </c>
      <c r="AE59" s="101"/>
      <c r="AF59" s="101"/>
      <c r="AG59" s="101"/>
      <c r="AH59" s="101"/>
      <c r="AI59" s="101"/>
      <c r="AJ59" s="101"/>
      <c r="AK59" s="101"/>
      <c r="AL59" s="101"/>
      <c r="AM59" s="101"/>
      <c r="AN59" s="101"/>
      <c r="AO59" s="101"/>
    </row>
    <row r="60" spans="3:41" ht="12.6" x14ac:dyDescent="0.25">
      <c r="E60" s="35"/>
      <c r="H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row>
    <row r="61" spans="3:41" x14ac:dyDescent="0.2">
      <c r="D61" s="1" t="s">
        <v>563</v>
      </c>
      <c r="H61" s="101"/>
      <c r="J61" s="2" t="s">
        <v>1205</v>
      </c>
      <c r="N61" s="34"/>
      <c r="O61" s="34"/>
      <c r="P61" s="34"/>
      <c r="Q61" s="34"/>
      <c r="R61" s="21"/>
      <c r="S61" s="21">
        <f>1/((1+$Q$25)^S36)</f>
        <v>0.92466014963167875</v>
      </c>
      <c r="T61" s="21">
        <f>1/((1+$Q$25)^T36)</f>
        <v>0.85499639231687863</v>
      </c>
      <c r="U61" s="21">
        <f>1/((1+$Q$25)^U36)</f>
        <v>0.79058109205427052</v>
      </c>
      <c r="V61" s="21">
        <f>1/((1+$Q$25)^V36)</f>
        <v>0.73101883087487785</v>
      </c>
      <c r="W61" s="21">
        <f>1/((1+$Q$25)^W36)</f>
        <v>0.6759439815403393</v>
      </c>
      <c r="X61" s="21">
        <f t="shared" ref="X61:AD61" si="24">1/((1+$Q$25)^X36)</f>
        <v>0.625018463113723</v>
      </c>
      <c r="Y61" s="21">
        <f t="shared" si="24"/>
        <v>0.57792966562529691</v>
      </c>
      <c r="Z61" s="21">
        <f t="shared" si="24"/>
        <v>0.53438853109367312</v>
      </c>
      <c r="AA61" s="21">
        <f t="shared" si="24"/>
        <v>0.49412777912252887</v>
      </c>
      <c r="AB61" s="21">
        <f t="shared" si="24"/>
        <v>0.4569002661806067</v>
      </c>
      <c r="AC61" s="21">
        <f t="shared" si="24"/>
        <v>0.42247746849331369</v>
      </c>
      <c r="AD61" s="21">
        <f t="shared" si="24"/>
        <v>0.39064807923304024</v>
      </c>
      <c r="AE61" s="34"/>
      <c r="AF61" s="34"/>
      <c r="AG61" s="34"/>
      <c r="AH61" s="34"/>
      <c r="AI61" s="34"/>
      <c r="AJ61" s="34"/>
      <c r="AK61" s="34"/>
      <c r="AL61" s="34"/>
      <c r="AM61" s="34"/>
      <c r="AN61" s="34"/>
      <c r="AO61" s="34"/>
    </row>
    <row r="62" spans="3:41" ht="12.6" x14ac:dyDescent="0.25">
      <c r="C62" s="17"/>
      <c r="D62" s="27" t="s">
        <v>564</v>
      </c>
      <c r="E62" s="28"/>
      <c r="F62" s="28"/>
      <c r="G62" s="28"/>
      <c r="H62" s="100"/>
      <c r="I62" s="28"/>
      <c r="J62" s="372" t="s">
        <v>1205</v>
      </c>
      <c r="K62" s="28"/>
      <c r="L62" s="30"/>
      <c r="M62" s="100"/>
      <c r="N62" s="100"/>
      <c r="O62" s="100"/>
      <c r="P62" s="88"/>
      <c r="Q62" s="100"/>
      <c r="R62" s="100"/>
      <c r="S62" s="100" t="e">
        <f t="shared" ref="S62:W62" si="25">S59*S61</f>
        <v>#NAME?</v>
      </c>
      <c r="T62" s="100" t="e">
        <f t="shared" si="25"/>
        <v>#NAME?</v>
      </c>
      <c r="U62" s="100" t="e">
        <f t="shared" si="25"/>
        <v>#NAME?</v>
      </c>
      <c r="V62" s="100" t="e">
        <f t="shared" si="25"/>
        <v>#NAME?</v>
      </c>
      <c r="W62" s="100" t="e">
        <f t="shared" si="25"/>
        <v>#NAME?</v>
      </c>
      <c r="X62" s="100" t="e">
        <f t="shared" ref="X62:AD62" si="26">X59*X61</f>
        <v>#NAME?</v>
      </c>
      <c r="Y62" s="100" t="e">
        <f t="shared" si="26"/>
        <v>#NAME?</v>
      </c>
      <c r="Z62" s="100" t="e">
        <f t="shared" si="26"/>
        <v>#NAME?</v>
      </c>
      <c r="AA62" s="100" t="e">
        <f t="shared" si="26"/>
        <v>#NAME?</v>
      </c>
      <c r="AB62" s="100" t="e">
        <f t="shared" si="26"/>
        <v>#NAME?</v>
      </c>
      <c r="AC62" s="100" t="e">
        <f t="shared" si="26"/>
        <v>#NAME?</v>
      </c>
      <c r="AD62" s="100" t="e">
        <f t="shared" si="26"/>
        <v>#NAME?</v>
      </c>
      <c r="AE62" s="101"/>
      <c r="AF62" s="25"/>
      <c r="AG62" s="25"/>
      <c r="AH62" s="25"/>
      <c r="AI62" s="25"/>
      <c r="AJ62" s="25"/>
      <c r="AK62" s="25"/>
      <c r="AL62" s="25"/>
      <c r="AM62" s="25"/>
      <c r="AN62" s="25"/>
      <c r="AO62" s="25"/>
    </row>
    <row r="63" spans="3:41" x14ac:dyDescent="0.2">
      <c r="H63" s="101"/>
      <c r="N63" s="34"/>
      <c r="O63" s="34"/>
      <c r="P63" s="34"/>
      <c r="Q63" s="34"/>
      <c r="R63" s="101"/>
      <c r="S63" s="101"/>
      <c r="T63" s="101"/>
      <c r="U63" s="101"/>
      <c r="V63" s="101"/>
      <c r="W63" s="101"/>
      <c r="X63" s="101"/>
      <c r="Y63" s="101"/>
      <c r="Z63" s="101"/>
      <c r="AA63" s="101"/>
      <c r="AB63" s="101"/>
      <c r="AC63" s="101"/>
      <c r="AD63" s="101"/>
      <c r="AE63" s="34"/>
      <c r="AF63" s="34"/>
      <c r="AG63" s="34"/>
      <c r="AH63" s="34"/>
      <c r="AI63" s="34"/>
      <c r="AJ63" s="34"/>
      <c r="AK63" s="34"/>
      <c r="AL63" s="34"/>
      <c r="AM63" s="34"/>
      <c r="AN63" s="34"/>
      <c r="AO63" s="34"/>
    </row>
    <row r="64" spans="3:41" ht="12.6" x14ac:dyDescent="0.25">
      <c r="D64" s="35" t="s">
        <v>565</v>
      </c>
      <c r="E64" s="35"/>
      <c r="H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row>
    <row r="65" spans="2:41" x14ac:dyDescent="0.2">
      <c r="D65" s="1" t="s">
        <v>566</v>
      </c>
      <c r="H65" s="101"/>
      <c r="J65" s="2" t="s">
        <v>1205</v>
      </c>
      <c r="N65" s="34"/>
      <c r="O65" s="34"/>
      <c r="P65" s="34"/>
      <c r="Q65" s="34"/>
      <c r="R65" s="34"/>
      <c r="S65" s="34"/>
      <c r="T65" s="34"/>
      <c r="U65" s="34"/>
      <c r="V65" s="34"/>
      <c r="W65" s="89"/>
      <c r="X65" s="34"/>
      <c r="Y65" s="34"/>
      <c r="Z65" s="34"/>
      <c r="AA65" s="89"/>
      <c r="AB65" s="89" t="e">
        <f>AB59</f>
        <v>#NAME?</v>
      </c>
      <c r="AC65" s="34"/>
      <c r="AD65" s="89"/>
      <c r="AE65" s="34"/>
      <c r="AF65" s="34"/>
      <c r="AG65" s="34"/>
      <c r="AH65" s="34"/>
      <c r="AI65" s="34"/>
      <c r="AJ65" s="34"/>
      <c r="AK65" s="34"/>
      <c r="AL65" s="34"/>
      <c r="AM65" s="34"/>
      <c r="AN65" s="34"/>
      <c r="AO65" s="34"/>
    </row>
    <row r="66" spans="2:41" x14ac:dyDescent="0.2">
      <c r="D66" s="1" t="s">
        <v>567</v>
      </c>
      <c r="H66" s="101"/>
      <c r="J66" s="2" t="s">
        <v>1205</v>
      </c>
      <c r="N66" s="34"/>
      <c r="O66" s="34"/>
      <c r="P66" s="34"/>
      <c r="Q66" s="34"/>
      <c r="R66" s="34"/>
      <c r="S66" s="34"/>
      <c r="T66" s="34"/>
      <c r="U66" s="34"/>
      <c r="V66" s="34"/>
      <c r="W66" s="89"/>
      <c r="X66" s="34"/>
      <c r="Y66" s="34"/>
      <c r="Z66" s="34"/>
      <c r="AA66" s="89"/>
      <c r="AB66" s="679">
        <v>0</v>
      </c>
      <c r="AC66" s="34"/>
      <c r="AD66" s="89"/>
      <c r="AE66" s="34"/>
      <c r="AF66" s="34"/>
      <c r="AG66" s="34"/>
      <c r="AH66" s="34"/>
      <c r="AI66" s="34"/>
      <c r="AJ66" s="34"/>
      <c r="AK66" s="34"/>
      <c r="AL66" s="34"/>
      <c r="AM66" s="34"/>
      <c r="AN66" s="34"/>
      <c r="AO66" s="34"/>
    </row>
    <row r="67" spans="2:41" x14ac:dyDescent="0.2">
      <c r="D67" s="92" t="s">
        <v>568</v>
      </c>
      <c r="E67" s="92"/>
      <c r="F67" s="92"/>
      <c r="G67" s="92"/>
      <c r="H67" s="93"/>
      <c r="I67" s="92"/>
      <c r="J67" s="94" t="s">
        <v>1205</v>
      </c>
      <c r="K67" s="92"/>
      <c r="L67" s="95"/>
      <c r="M67" s="92"/>
      <c r="N67" s="373"/>
      <c r="O67" s="373"/>
      <c r="P67" s="373"/>
      <c r="Q67" s="373"/>
      <c r="R67" s="373"/>
      <c r="S67" s="373"/>
      <c r="T67" s="373"/>
      <c r="U67" s="373"/>
      <c r="V67" s="373"/>
      <c r="W67" s="374"/>
      <c r="X67" s="373"/>
      <c r="Y67" s="373"/>
      <c r="Z67" s="373"/>
      <c r="AA67" s="374"/>
      <c r="AB67" s="374" t="e">
        <f>SUM(AB65:AB66)</f>
        <v>#NAME?</v>
      </c>
      <c r="AC67" s="373"/>
      <c r="AD67" s="374"/>
      <c r="AE67" s="34"/>
      <c r="AF67" s="34"/>
      <c r="AG67" s="34"/>
      <c r="AH67" s="34"/>
      <c r="AI67" s="34"/>
      <c r="AJ67" s="34"/>
      <c r="AK67" s="34"/>
      <c r="AL67" s="34"/>
      <c r="AM67" s="34"/>
      <c r="AN67" s="34"/>
      <c r="AO67" s="34"/>
    </row>
    <row r="68" spans="2:41" x14ac:dyDescent="0.2">
      <c r="C68" s="17"/>
      <c r="D68" s="1" t="s">
        <v>552</v>
      </c>
      <c r="H68" s="101"/>
      <c r="J68" s="2" t="s">
        <v>52</v>
      </c>
      <c r="M68" s="101"/>
      <c r="N68" s="101"/>
      <c r="O68" s="101"/>
      <c r="P68" s="84"/>
      <c r="Q68" s="101"/>
      <c r="R68" s="101"/>
      <c r="S68" s="101"/>
      <c r="T68" s="101"/>
      <c r="U68" s="101"/>
      <c r="V68" s="101"/>
      <c r="W68" s="21"/>
      <c r="X68" s="101"/>
      <c r="Y68" s="101"/>
      <c r="Z68" s="101"/>
      <c r="AA68" s="21"/>
      <c r="AB68" s="21">
        <f>$Q$33</f>
        <v>14.130138358557458</v>
      </c>
      <c r="AC68" s="101"/>
      <c r="AD68" s="21"/>
      <c r="AE68" s="34"/>
      <c r="AF68" s="34"/>
      <c r="AG68" s="34"/>
      <c r="AH68" s="34"/>
      <c r="AI68" s="34"/>
      <c r="AJ68" s="34"/>
      <c r="AK68" s="34"/>
      <c r="AL68" s="34"/>
      <c r="AM68" s="34"/>
      <c r="AN68" s="34"/>
      <c r="AO68" s="34"/>
    </row>
    <row r="69" spans="2:41" x14ac:dyDescent="0.2">
      <c r="D69" s="1" t="s">
        <v>569</v>
      </c>
      <c r="H69" s="101"/>
      <c r="J69" s="2" t="s">
        <v>1205</v>
      </c>
      <c r="N69" s="34"/>
      <c r="O69" s="34"/>
      <c r="P69" s="34"/>
      <c r="Q69" s="34"/>
      <c r="R69" s="101"/>
      <c r="S69" s="101"/>
      <c r="T69" s="101"/>
      <c r="U69" s="101"/>
      <c r="V69" s="101"/>
      <c r="W69" s="101"/>
      <c r="X69" s="101"/>
      <c r="Y69" s="101"/>
      <c r="Z69" s="101"/>
      <c r="AA69" s="101"/>
      <c r="AB69" s="101" t="e">
        <f>AB67*AB68</f>
        <v>#NAME?</v>
      </c>
      <c r="AC69" s="101"/>
      <c r="AD69" s="101"/>
      <c r="AE69" s="34"/>
      <c r="AF69" s="34"/>
      <c r="AG69" s="34"/>
      <c r="AH69" s="34"/>
      <c r="AI69" s="34"/>
      <c r="AJ69" s="34"/>
      <c r="AK69" s="34"/>
      <c r="AL69" s="34"/>
      <c r="AM69" s="34"/>
      <c r="AN69" s="34"/>
      <c r="AO69" s="34"/>
    </row>
    <row r="70" spans="2:41" ht="12.6" x14ac:dyDescent="0.25">
      <c r="D70" s="1" t="s">
        <v>555</v>
      </c>
      <c r="E70" s="35"/>
      <c r="H70" s="101"/>
      <c r="J70" s="2" t="s">
        <v>52</v>
      </c>
      <c r="M70" s="101"/>
      <c r="N70" s="101"/>
      <c r="O70" s="101"/>
      <c r="P70" s="101"/>
      <c r="Q70" s="101"/>
      <c r="R70" s="101"/>
      <c r="S70" s="101"/>
      <c r="T70" s="101"/>
      <c r="U70" s="101"/>
      <c r="V70" s="101"/>
      <c r="W70" s="21"/>
      <c r="X70" s="101"/>
      <c r="Y70" s="101"/>
      <c r="Z70" s="101"/>
      <c r="AA70" s="21"/>
      <c r="AB70" s="21">
        <f>AB61</f>
        <v>0.4569002661806067</v>
      </c>
      <c r="AC70" s="101"/>
      <c r="AD70" s="21"/>
      <c r="AE70" s="101"/>
      <c r="AF70" s="101"/>
      <c r="AG70" s="101"/>
      <c r="AH70" s="101"/>
      <c r="AI70" s="101"/>
      <c r="AJ70" s="101"/>
      <c r="AK70" s="101"/>
      <c r="AL70" s="101"/>
      <c r="AM70" s="101"/>
      <c r="AN70" s="101"/>
      <c r="AO70" s="101"/>
    </row>
    <row r="71" spans="2:41" ht="12.6" x14ac:dyDescent="0.25">
      <c r="D71" s="375" t="s">
        <v>570</v>
      </c>
      <c r="E71" s="376"/>
      <c r="F71" s="376"/>
      <c r="G71" s="376"/>
      <c r="H71" s="377"/>
      <c r="I71" s="376"/>
      <c r="J71" s="378" t="s">
        <v>1205</v>
      </c>
      <c r="K71" s="376"/>
      <c r="L71" s="379"/>
      <c r="M71" s="377"/>
      <c r="N71" s="377"/>
      <c r="O71" s="377"/>
      <c r="P71" s="377"/>
      <c r="Q71" s="377"/>
      <c r="R71" s="377"/>
      <c r="S71" s="377"/>
      <c r="T71" s="377"/>
      <c r="U71" s="377"/>
      <c r="V71" s="377"/>
      <c r="W71" s="380"/>
      <c r="X71" s="377"/>
      <c r="Y71" s="377"/>
      <c r="Z71" s="377"/>
      <c r="AA71" s="380"/>
      <c r="AB71" s="380" t="e">
        <f>AB69*AB70</f>
        <v>#NAME?</v>
      </c>
      <c r="AC71" s="377"/>
      <c r="AD71" s="380"/>
      <c r="AE71" s="101"/>
      <c r="AF71" s="101"/>
      <c r="AG71" s="101"/>
      <c r="AH71" s="101"/>
      <c r="AI71" s="101"/>
      <c r="AJ71" s="101"/>
      <c r="AK71" s="101"/>
      <c r="AL71" s="101"/>
      <c r="AM71" s="101"/>
      <c r="AN71" s="101"/>
      <c r="AO71" s="101"/>
    </row>
    <row r="72" spans="2:41" ht="12.6" x14ac:dyDescent="0.25">
      <c r="C72" s="35"/>
      <c r="D72" s="35"/>
      <c r="H72" s="101"/>
      <c r="N72" s="101"/>
      <c r="O72" s="101"/>
      <c r="P72" s="33"/>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row>
    <row r="73" spans="2:41" ht="12.6" x14ac:dyDescent="0.25">
      <c r="D73" s="35" t="s">
        <v>571</v>
      </c>
      <c r="H73" s="101"/>
      <c r="M73" s="101"/>
      <c r="N73" s="101"/>
      <c r="O73" s="101"/>
      <c r="P73" s="101"/>
      <c r="Q73" s="101"/>
      <c r="R73" s="101"/>
      <c r="S73" s="101"/>
      <c r="T73" s="101"/>
      <c r="U73" s="101"/>
      <c r="V73" s="101"/>
      <c r="W73" s="101"/>
      <c r="X73" s="101"/>
      <c r="Y73" s="101"/>
      <c r="Z73" s="101"/>
      <c r="AA73" s="1"/>
      <c r="AB73" s="101"/>
      <c r="AC73" s="101"/>
      <c r="AD73" s="101"/>
      <c r="AE73" s="101"/>
      <c r="AF73" s="101"/>
      <c r="AG73" s="101"/>
      <c r="AH73" s="101"/>
      <c r="AI73" s="101"/>
      <c r="AJ73" s="101"/>
      <c r="AK73" s="101"/>
      <c r="AL73" s="101"/>
      <c r="AM73" s="101"/>
      <c r="AN73" s="101"/>
      <c r="AO73" s="101"/>
    </row>
    <row r="74" spans="2:41" x14ac:dyDescent="0.2">
      <c r="D74" s="1" t="s">
        <v>572</v>
      </c>
      <c r="H74" s="101"/>
      <c r="J74" s="2" t="s">
        <v>1205</v>
      </c>
      <c r="M74" s="101"/>
      <c r="N74" s="101"/>
      <c r="O74" s="101"/>
      <c r="P74" s="101"/>
      <c r="Q74" s="101"/>
      <c r="R74" s="101" t="e">
        <f>SUM(S62:AB62)</f>
        <v>#NAME?</v>
      </c>
      <c r="S74" s="397"/>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row>
    <row r="75" spans="2:41" x14ac:dyDescent="0.2">
      <c r="D75" s="1" t="s">
        <v>573</v>
      </c>
      <c r="H75" s="101"/>
      <c r="J75" s="2" t="s">
        <v>1205</v>
      </c>
      <c r="M75" s="101"/>
      <c r="N75" s="101"/>
      <c r="O75" s="101"/>
      <c r="P75" s="101"/>
      <c r="Q75" s="101"/>
      <c r="R75" s="101" t="e">
        <f>AB71</f>
        <v>#NAME?</v>
      </c>
      <c r="S75" s="397"/>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row>
    <row r="76" spans="2:41" x14ac:dyDescent="0.2">
      <c r="D76" s="1" t="s">
        <v>574</v>
      </c>
      <c r="H76" s="101"/>
      <c r="J76" s="2" t="s">
        <v>49</v>
      </c>
      <c r="M76" s="101"/>
      <c r="N76" s="101"/>
      <c r="O76" s="101"/>
      <c r="P76" s="101"/>
      <c r="Q76" s="34"/>
      <c r="R76" s="34" t="e">
        <f>R75/R78</f>
        <v>#NAME?</v>
      </c>
      <c r="S76" s="472"/>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row>
    <row r="77" spans="2:41" x14ac:dyDescent="0.2">
      <c r="B77" s="17"/>
      <c r="C77" s="17"/>
      <c r="D77" s="17"/>
      <c r="N77" s="21"/>
      <c r="O77" s="21"/>
      <c r="P77" s="21"/>
      <c r="Q77" s="21"/>
      <c r="R77" s="21"/>
      <c r="S77" s="473"/>
      <c r="T77" s="21"/>
      <c r="U77" s="21"/>
      <c r="V77" s="21"/>
      <c r="W77" s="21"/>
      <c r="X77" s="21"/>
      <c r="Y77" s="21"/>
      <c r="Z77" s="21"/>
      <c r="AA77" s="21"/>
      <c r="AB77" s="21"/>
      <c r="AC77" s="21"/>
      <c r="AD77" s="21"/>
      <c r="AE77" s="21"/>
      <c r="AF77" s="21"/>
      <c r="AG77" s="21"/>
      <c r="AH77" s="21"/>
      <c r="AI77" s="21"/>
      <c r="AJ77" s="21"/>
      <c r="AK77" s="21"/>
      <c r="AL77" s="21"/>
      <c r="AM77" s="21"/>
      <c r="AN77" s="21"/>
      <c r="AO77" s="21"/>
    </row>
    <row r="78" spans="2:41" ht="12.6" x14ac:dyDescent="0.25">
      <c r="D78" s="35" t="s">
        <v>575</v>
      </c>
      <c r="H78" s="101"/>
      <c r="J78" s="2" t="s">
        <v>1205</v>
      </c>
      <c r="M78" s="101"/>
      <c r="N78" s="101"/>
      <c r="O78" s="101"/>
      <c r="P78" s="101"/>
      <c r="Q78" s="101"/>
      <c r="R78" s="261" t="e">
        <f>SUM(R74:R75)</f>
        <v>#NAME?</v>
      </c>
      <c r="S78" s="475"/>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row>
    <row r="79" spans="2:41" x14ac:dyDescent="0.2">
      <c r="H79" s="101"/>
      <c r="M79" s="101"/>
      <c r="N79" s="101"/>
      <c r="O79" s="101"/>
      <c r="P79" s="101"/>
      <c r="Q79" s="101"/>
      <c r="R79" s="101"/>
      <c r="S79" s="397"/>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row>
    <row r="80" spans="2:41" x14ac:dyDescent="0.2">
      <c r="D80" s="229" t="s">
        <v>576</v>
      </c>
      <c r="H80" s="101"/>
      <c r="M80" s="101"/>
      <c r="N80" s="101"/>
      <c r="O80" s="101"/>
      <c r="P80" s="101"/>
      <c r="Q80" s="101"/>
      <c r="R80" s="101"/>
      <c r="S80" s="397"/>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row>
    <row r="81" spans="4:41" x14ac:dyDescent="0.2">
      <c r="D81" s="1" t="s">
        <v>577</v>
      </c>
      <c r="H81" s="101"/>
      <c r="J81" s="2" t="s">
        <v>1205</v>
      </c>
      <c r="M81" s="101"/>
      <c r="N81" s="101"/>
      <c r="O81" s="101"/>
      <c r="P81" s="101"/>
      <c r="Q81" s="101"/>
      <c r="R81" s="91">
        <f>BS_Cash</f>
        <v>422580</v>
      </c>
      <c r="S81" s="397"/>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row>
    <row r="82" spans="4:41" x14ac:dyDescent="0.2">
      <c r="D82" s="1" t="s">
        <v>532</v>
      </c>
      <c r="H82" s="101"/>
      <c r="J82" s="2" t="s">
        <v>1205</v>
      </c>
      <c r="M82" s="101"/>
      <c r="N82" s="101"/>
      <c r="O82" s="101"/>
      <c r="P82" s="101"/>
      <c r="Q82" s="101"/>
      <c r="R82" s="91">
        <f>-(BS_Debt_Current+BS_Debt_Non_Current)</f>
        <v>-346411</v>
      </c>
      <c r="S82" s="397"/>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row>
    <row r="83" spans="4:41" x14ac:dyDescent="0.2">
      <c r="D83" s="1" t="s">
        <v>1052</v>
      </c>
      <c r="H83" s="101"/>
      <c r="J83" s="2" t="s">
        <v>1205</v>
      </c>
      <c r="M83" s="101"/>
      <c r="N83" s="101"/>
      <c r="O83" s="101"/>
      <c r="P83" s="101"/>
      <c r="Q83" s="101"/>
      <c r="R83" s="91">
        <f>-(BS_Lease_Current+BS_Lease_Non_Current)</f>
        <v>-145554</v>
      </c>
      <c r="S83" s="397"/>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row>
    <row r="84" spans="4:41" x14ac:dyDescent="0.2">
      <c r="D84" s="1" t="s">
        <v>578</v>
      </c>
      <c r="H84" s="101"/>
      <c r="J84" s="2" t="s">
        <v>1205</v>
      </c>
      <c r="M84" s="101"/>
      <c r="N84" s="101"/>
      <c r="O84" s="101"/>
      <c r="P84" s="101"/>
      <c r="Q84" s="101"/>
      <c r="R84" s="91">
        <f>SUM(R81:R83)</f>
        <v>-69385</v>
      </c>
      <c r="S84" s="397"/>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row>
    <row r="85" spans="4:41" x14ac:dyDescent="0.2">
      <c r="H85" s="101"/>
      <c r="M85" s="101"/>
      <c r="N85" s="101"/>
      <c r="O85" s="101"/>
      <c r="P85" s="101"/>
      <c r="Q85" s="101"/>
      <c r="R85" s="101"/>
      <c r="S85" s="397"/>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row>
    <row r="86" spans="4:41" x14ac:dyDescent="0.2">
      <c r="D86" s="1" t="s">
        <v>296</v>
      </c>
      <c r="H86" s="101"/>
      <c r="J86" s="2" t="s">
        <v>1205</v>
      </c>
      <c r="M86" s="101"/>
      <c r="N86" s="101"/>
      <c r="O86" s="101"/>
      <c r="P86" s="101"/>
      <c r="Q86" s="67"/>
      <c r="R86" s="91">
        <f>Act_BS_Cur_Investments+Act_BS_Other_Curr_FA+Act_BS_LT_Investments+Act_BS_Other_FA_Non_Current</f>
        <v>129258</v>
      </c>
      <c r="S86" s="397"/>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row>
    <row r="87" spans="4:41" x14ac:dyDescent="0.2">
      <c r="H87" s="101"/>
      <c r="M87" s="101"/>
      <c r="N87" s="101"/>
      <c r="O87" s="101"/>
      <c r="P87" s="101"/>
      <c r="Q87" s="101"/>
      <c r="R87" s="101"/>
      <c r="S87" s="397"/>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row>
    <row r="88" spans="4:41" ht="12.6" x14ac:dyDescent="0.25">
      <c r="D88" s="35" t="s">
        <v>579</v>
      </c>
      <c r="H88" s="101"/>
      <c r="J88" s="2" t="s">
        <v>1205</v>
      </c>
      <c r="M88" s="101"/>
      <c r="N88" s="101"/>
      <c r="O88" s="101"/>
      <c r="P88" s="101"/>
      <c r="Q88" s="103"/>
      <c r="R88" s="261" t="e">
        <f>R78+R84+R86</f>
        <v>#NAME?</v>
      </c>
      <c r="S88" s="475"/>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row>
    <row r="89" spans="4:41" ht="12.6" x14ac:dyDescent="0.25">
      <c r="D89" s="1" t="s">
        <v>580</v>
      </c>
      <c r="H89" s="101"/>
      <c r="J89" s="2" t="s">
        <v>49</v>
      </c>
      <c r="M89" s="101"/>
      <c r="N89" s="101"/>
      <c r="O89" s="101"/>
      <c r="P89" s="101"/>
      <c r="Q89" s="103"/>
      <c r="R89" s="381">
        <v>0</v>
      </c>
      <c r="S89" s="474"/>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row>
    <row r="90" spans="4:41" ht="12.6" x14ac:dyDescent="0.25">
      <c r="D90" s="35" t="s">
        <v>581</v>
      </c>
      <c r="H90" s="101"/>
      <c r="J90" s="2" t="s">
        <v>1205</v>
      </c>
      <c r="M90" s="101"/>
      <c r="N90" s="101"/>
      <c r="O90" s="101"/>
      <c r="P90" s="101"/>
      <c r="Q90" s="103"/>
      <c r="R90" s="261" t="e">
        <f>R88*(1-R89)</f>
        <v>#NAME?</v>
      </c>
      <c r="S90" s="475"/>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row>
    <row r="91" spans="4:41" ht="12.6" x14ac:dyDescent="0.25">
      <c r="D91" s="35"/>
      <c r="H91" s="101"/>
      <c r="M91" s="101"/>
      <c r="N91" s="101"/>
      <c r="O91" s="101"/>
      <c r="P91" s="101"/>
      <c r="Q91" s="103"/>
      <c r="R91" s="103"/>
      <c r="S91" s="475"/>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row>
    <row r="92" spans="4:41" ht="12.6" x14ac:dyDescent="0.25">
      <c r="D92" s="35" t="s">
        <v>765</v>
      </c>
      <c r="H92" s="101"/>
      <c r="M92" s="101"/>
      <c r="N92" s="101"/>
      <c r="O92" s="101"/>
      <c r="P92" s="101"/>
      <c r="Q92" s="103"/>
      <c r="R92" s="103"/>
      <c r="S92" s="475"/>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row>
    <row r="93" spans="4:41" ht="12.6" x14ac:dyDescent="0.25">
      <c r="D93" s="1" t="s">
        <v>763</v>
      </c>
      <c r="H93" s="101"/>
      <c r="J93" s="2" t="s">
        <v>1205</v>
      </c>
      <c r="M93" s="630">
        <v>0.2</v>
      </c>
      <c r="N93" s="101"/>
      <c r="O93" s="101"/>
      <c r="P93" s="101"/>
      <c r="Q93" s="103"/>
      <c r="R93" s="103" t="e">
        <f>M93*-R90</f>
        <v>#NAME?</v>
      </c>
      <c r="S93" s="475"/>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row>
    <row r="94" spans="4:41" ht="12.6" x14ac:dyDescent="0.25">
      <c r="D94" s="1" t="s">
        <v>764</v>
      </c>
      <c r="H94" s="101"/>
      <c r="J94" s="2" t="s">
        <v>1205</v>
      </c>
      <c r="M94" s="631"/>
      <c r="N94" s="101"/>
      <c r="O94" s="101"/>
      <c r="P94" s="101"/>
      <c r="Q94" s="103"/>
      <c r="R94" s="103"/>
      <c r="S94" s="508" t="e">
        <f>S62*$M$93</f>
        <v>#NAME?</v>
      </c>
      <c r="T94" s="508" t="e">
        <f t="shared" ref="T94:W94" si="27">T62*$M$93</f>
        <v>#NAME?</v>
      </c>
      <c r="U94" s="508" t="e">
        <f t="shared" si="27"/>
        <v>#NAME?</v>
      </c>
      <c r="V94" s="508" t="e">
        <f t="shared" si="27"/>
        <v>#NAME?</v>
      </c>
      <c r="W94" s="508" t="e">
        <f t="shared" si="27"/>
        <v>#NAME?</v>
      </c>
      <c r="X94" s="508" t="e">
        <f t="shared" ref="X94:AA94" si="28">X62*$M$93</f>
        <v>#NAME?</v>
      </c>
      <c r="Y94" s="508" t="e">
        <f t="shared" si="28"/>
        <v>#NAME?</v>
      </c>
      <c r="Z94" s="508" t="e">
        <f t="shared" si="28"/>
        <v>#NAME?</v>
      </c>
      <c r="AA94" s="508" t="e">
        <f t="shared" si="28"/>
        <v>#NAME?</v>
      </c>
      <c r="AB94" s="508" t="e">
        <f t="shared" ref="AB94" si="29">AB62*$M$93</f>
        <v>#NAME?</v>
      </c>
      <c r="AC94" s="101"/>
      <c r="AD94" s="101"/>
      <c r="AE94" s="101"/>
      <c r="AF94" s="101"/>
      <c r="AG94" s="101"/>
      <c r="AH94" s="101"/>
      <c r="AI94" s="101"/>
      <c r="AJ94" s="101"/>
      <c r="AK94" s="101"/>
      <c r="AL94" s="101"/>
      <c r="AM94" s="101"/>
      <c r="AN94" s="101"/>
      <c r="AO94" s="101"/>
    </row>
    <row r="95" spans="4:41" ht="13.2" x14ac:dyDescent="0.25">
      <c r="D95" s="1" t="s">
        <v>767</v>
      </c>
      <c r="H95" s="101"/>
      <c r="J95" s="2" t="s">
        <v>1205</v>
      </c>
      <c r="M95" s="634">
        <v>14</v>
      </c>
      <c r="N95" s="101"/>
      <c r="O95" s="101"/>
      <c r="P95" s="101"/>
      <c r="Q95" s="103"/>
      <c r="R95" s="103"/>
      <c r="S95" s="508"/>
      <c r="T95" s="508"/>
      <c r="U95" s="508"/>
      <c r="V95" s="508"/>
      <c r="W95" s="508"/>
      <c r="X95" s="508"/>
      <c r="Y95" s="508"/>
      <c r="Z95" s="508"/>
      <c r="AA95" s="508"/>
      <c r="AB95" s="508">
        <f>IS_EBITDA*M95*M93</f>
        <v>1447191.1240311053</v>
      </c>
      <c r="AC95" s="101"/>
      <c r="AD95" s="101"/>
      <c r="AE95" s="101"/>
      <c r="AF95" s="101"/>
      <c r="AG95" s="101"/>
      <c r="AH95" s="101"/>
      <c r="AI95" s="101"/>
      <c r="AJ95" s="101"/>
      <c r="AK95" s="101"/>
      <c r="AL95" s="101"/>
      <c r="AM95" s="101"/>
      <c r="AN95" s="101"/>
      <c r="AO95" s="101"/>
    </row>
    <row r="96" spans="4:41" ht="12.6" x14ac:dyDescent="0.25">
      <c r="D96" s="326" t="s">
        <v>766</v>
      </c>
      <c r="E96" s="326"/>
      <c r="F96" s="326"/>
      <c r="G96" s="326"/>
      <c r="H96" s="327"/>
      <c r="I96" s="326"/>
      <c r="J96" s="633" t="s">
        <v>1205</v>
      </c>
      <c r="K96" s="326"/>
      <c r="L96" s="319"/>
      <c r="M96" s="108"/>
      <c r="N96" s="327"/>
      <c r="O96" s="327"/>
      <c r="P96" s="327"/>
      <c r="Q96" s="261"/>
      <c r="R96" s="261" t="e">
        <f>SUM(R93:R95)</f>
        <v>#NAME?</v>
      </c>
      <c r="S96" s="261" t="e">
        <f t="shared" ref="S96:W96" si="30">SUM(S93:S95)</f>
        <v>#NAME?</v>
      </c>
      <c r="T96" s="261" t="e">
        <f t="shared" si="30"/>
        <v>#NAME?</v>
      </c>
      <c r="U96" s="261" t="e">
        <f t="shared" si="30"/>
        <v>#NAME?</v>
      </c>
      <c r="V96" s="261" t="e">
        <f t="shared" si="30"/>
        <v>#NAME?</v>
      </c>
      <c r="W96" s="261" t="e">
        <f t="shared" si="30"/>
        <v>#NAME?</v>
      </c>
      <c r="X96" s="261" t="e">
        <f t="shared" ref="X96:AA96" si="31">SUM(X93:X95)</f>
        <v>#NAME?</v>
      </c>
      <c r="Y96" s="261" t="e">
        <f t="shared" si="31"/>
        <v>#NAME?</v>
      </c>
      <c r="Z96" s="261" t="e">
        <f t="shared" si="31"/>
        <v>#NAME?</v>
      </c>
      <c r="AA96" s="261" t="e">
        <f t="shared" si="31"/>
        <v>#NAME?</v>
      </c>
      <c r="AB96" s="261" t="e">
        <f t="shared" ref="AB96" si="32">SUM(AB93:AB95)</f>
        <v>#NAME?</v>
      </c>
      <c r="AC96" s="101"/>
      <c r="AD96" s="101"/>
      <c r="AE96" s="101"/>
      <c r="AF96" s="101"/>
      <c r="AG96" s="101"/>
      <c r="AH96" s="101"/>
      <c r="AI96" s="101"/>
      <c r="AJ96" s="101"/>
      <c r="AK96" s="101"/>
      <c r="AL96" s="101"/>
      <c r="AM96" s="101"/>
      <c r="AN96" s="101"/>
      <c r="AO96" s="101"/>
    </row>
    <row r="97" spans="2:41" ht="12.6" x14ac:dyDescent="0.25">
      <c r="D97" s="1" t="s">
        <v>762</v>
      </c>
      <c r="H97" s="101"/>
      <c r="J97" s="2" t="s">
        <v>49</v>
      </c>
      <c r="M97" s="630" t="e">
        <f>IRR(R96:AB96)</f>
        <v>#VALUE!</v>
      </c>
      <c r="N97" s="101"/>
      <c r="O97" s="101"/>
      <c r="P97" s="101"/>
      <c r="Q97" s="103"/>
      <c r="R97" s="1"/>
      <c r="S97" s="475"/>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row>
    <row r="98" spans="2:41" ht="13.2" thickBot="1" x14ac:dyDescent="0.3">
      <c r="D98" s="35"/>
      <c r="H98" s="101"/>
      <c r="M98" s="101"/>
      <c r="N98" s="101"/>
      <c r="O98" s="101"/>
      <c r="P98" s="101"/>
      <c r="Q98" s="103"/>
      <c r="R98" s="103"/>
      <c r="S98" s="632"/>
      <c r="T98" s="508"/>
      <c r="U98" s="508"/>
      <c r="V98" s="508"/>
      <c r="W98" s="508"/>
      <c r="X98" s="101"/>
      <c r="Y98" s="101"/>
      <c r="Z98" s="101"/>
      <c r="AA98" s="101"/>
      <c r="AB98" s="101"/>
      <c r="AC98" s="101"/>
      <c r="AD98" s="101"/>
      <c r="AE98" s="101"/>
      <c r="AF98" s="101"/>
      <c r="AG98" s="101"/>
      <c r="AH98" s="101"/>
      <c r="AI98" s="101"/>
      <c r="AJ98" s="101"/>
      <c r="AK98" s="101"/>
      <c r="AL98" s="101"/>
      <c r="AM98" s="101"/>
      <c r="AN98" s="101"/>
      <c r="AO98" s="101"/>
    </row>
    <row r="99" spans="2:41" ht="12.6" thickTop="1" x14ac:dyDescent="0.2">
      <c r="B99" s="17"/>
      <c r="C99" s="333" t="s">
        <v>702</v>
      </c>
      <c r="D99" s="320"/>
      <c r="E99" s="321"/>
      <c r="F99" s="321"/>
      <c r="G99" s="321"/>
      <c r="H99" s="321"/>
      <c r="I99" s="321"/>
      <c r="J99" s="322"/>
      <c r="K99" s="321"/>
      <c r="L99" s="323"/>
      <c r="M99" s="321"/>
      <c r="N99" s="324"/>
      <c r="O99" s="324"/>
      <c r="P99" s="324"/>
      <c r="Q99" s="324"/>
      <c r="R99" s="324"/>
      <c r="S99" s="324"/>
      <c r="T99" s="324"/>
      <c r="U99" s="324"/>
      <c r="V99" s="324"/>
      <c r="W99" s="324"/>
      <c r="X99" s="324"/>
      <c r="Y99" s="324"/>
      <c r="Z99" s="324"/>
      <c r="AA99" s="324"/>
      <c r="AB99" s="324"/>
      <c r="AC99" s="324"/>
      <c r="AD99" s="324"/>
      <c r="AE99" s="21"/>
      <c r="AF99" s="21"/>
      <c r="AG99" s="21"/>
      <c r="AH99" s="21"/>
      <c r="AI99" s="21"/>
      <c r="AJ99" s="21"/>
      <c r="AK99" s="21"/>
      <c r="AL99" s="21"/>
      <c r="AM99" s="21"/>
      <c r="AN99" s="21"/>
      <c r="AO99" s="21"/>
    </row>
    <row r="100" spans="2:41" ht="12.6" x14ac:dyDescent="0.25">
      <c r="D100" s="35"/>
      <c r="H100" s="101"/>
      <c r="M100" s="101"/>
      <c r="N100" s="101"/>
      <c r="O100" s="101"/>
      <c r="P100" s="101"/>
      <c r="Q100" s="103"/>
      <c r="R100" s="103"/>
      <c r="S100" s="475"/>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row>
    <row r="101" spans="2:41" ht="13.2" x14ac:dyDescent="0.25">
      <c r="D101" s="1" t="s">
        <v>700</v>
      </c>
      <c r="H101" s="101"/>
      <c r="J101" s="2" t="s">
        <v>1205</v>
      </c>
      <c r="M101" s="103"/>
      <c r="N101" s="103"/>
      <c r="O101" s="103"/>
      <c r="P101" s="103"/>
      <c r="Q101" s="476"/>
      <c r="R101" s="101">
        <v>88691.085000000006</v>
      </c>
      <c r="S101" s="478" t="s">
        <v>714</v>
      </c>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row>
    <row r="102" spans="2:41" ht="13.2" x14ac:dyDescent="0.25">
      <c r="D102" s="1" t="s">
        <v>675</v>
      </c>
      <c r="H102" s="101"/>
      <c r="J102" s="2" t="s">
        <v>1205</v>
      </c>
      <c r="M102" s="103"/>
      <c r="N102" s="103"/>
      <c r="O102" s="103"/>
      <c r="P102" s="103"/>
      <c r="Q102" s="103"/>
      <c r="R102" s="101">
        <v>58709.917999999998</v>
      </c>
      <c r="S102" s="478" t="s">
        <v>714</v>
      </c>
      <c r="T102" s="103"/>
      <c r="U102" s="103"/>
      <c r="V102" s="101"/>
      <c r="W102" s="101"/>
      <c r="X102" s="101"/>
      <c r="Y102" s="101"/>
      <c r="Z102" s="101"/>
      <c r="AA102" s="101"/>
      <c r="AB102" s="101"/>
      <c r="AC102" s="101"/>
      <c r="AD102" s="101"/>
      <c r="AE102" s="101"/>
      <c r="AF102" s="101"/>
      <c r="AG102" s="101"/>
      <c r="AH102" s="101"/>
      <c r="AI102" s="101"/>
      <c r="AJ102" s="101"/>
      <c r="AK102" s="101"/>
      <c r="AL102" s="101"/>
      <c r="AM102" s="101"/>
      <c r="AN102" s="101"/>
      <c r="AO102" s="101"/>
    </row>
    <row r="103" spans="2:41" ht="13.2" x14ac:dyDescent="0.25">
      <c r="D103" s="1" t="s">
        <v>711</v>
      </c>
      <c r="H103" s="101"/>
      <c r="J103" s="2" t="s">
        <v>1205</v>
      </c>
      <c r="M103" s="103"/>
      <c r="N103" s="103"/>
      <c r="O103" s="103"/>
      <c r="P103" s="103"/>
      <c r="Q103" s="476"/>
      <c r="R103" s="101">
        <v>104998.80421445044</v>
      </c>
      <c r="S103" s="478" t="s">
        <v>713</v>
      </c>
      <c r="T103" s="103"/>
      <c r="U103" s="103"/>
      <c r="V103" s="101"/>
      <c r="W103" s="101"/>
      <c r="X103" s="101"/>
      <c r="Y103" s="101"/>
      <c r="Z103" s="101"/>
      <c r="AA103" s="101"/>
      <c r="AB103" s="101"/>
      <c r="AC103" s="101"/>
      <c r="AD103" s="101"/>
      <c r="AE103" s="101"/>
      <c r="AF103" s="101"/>
      <c r="AG103" s="101"/>
      <c r="AH103" s="101"/>
      <c r="AI103" s="101"/>
      <c r="AJ103" s="101"/>
      <c r="AK103" s="101"/>
      <c r="AL103" s="101"/>
      <c r="AM103" s="101"/>
      <c r="AN103" s="101"/>
      <c r="AO103" s="101"/>
    </row>
    <row r="104" spans="2:41" ht="13.2" x14ac:dyDescent="0.25">
      <c r="D104" s="1" t="s">
        <v>701</v>
      </c>
      <c r="H104" s="101"/>
      <c r="J104" s="2" t="s">
        <v>1205</v>
      </c>
      <c r="M104" s="103"/>
      <c r="N104" s="103"/>
      <c r="O104" s="103"/>
      <c r="P104" s="103"/>
      <c r="Q104" s="476"/>
      <c r="R104" s="101">
        <v>123198.841</v>
      </c>
      <c r="S104" s="478" t="s">
        <v>714</v>
      </c>
      <c r="T104" s="103"/>
      <c r="U104" s="103"/>
      <c r="V104" s="101"/>
      <c r="W104" s="101"/>
      <c r="X104" s="101"/>
      <c r="Y104" s="101"/>
      <c r="Z104" s="101"/>
      <c r="AA104" s="101"/>
      <c r="AB104" s="101"/>
      <c r="AC104" s="101"/>
      <c r="AD104" s="101"/>
      <c r="AE104" s="101"/>
      <c r="AF104" s="101"/>
      <c r="AG104" s="101"/>
      <c r="AH104" s="101"/>
      <c r="AI104" s="101"/>
      <c r="AJ104" s="101"/>
      <c r="AK104" s="101"/>
      <c r="AL104" s="101"/>
      <c r="AM104" s="101"/>
      <c r="AN104" s="101"/>
      <c r="AO104" s="101"/>
    </row>
    <row r="105" spans="2:41" ht="13.2" x14ac:dyDescent="0.25">
      <c r="D105" s="1" t="s">
        <v>676</v>
      </c>
      <c r="H105" s="101"/>
      <c r="J105" s="2" t="s">
        <v>1205</v>
      </c>
      <c r="M105" s="103"/>
      <c r="N105" s="103"/>
      <c r="O105" s="103"/>
      <c r="P105" s="103"/>
      <c r="Q105" s="476"/>
      <c r="R105" s="101">
        <v>79254.402000000002</v>
      </c>
      <c r="S105" s="478" t="s">
        <v>714</v>
      </c>
      <c r="T105" s="103"/>
      <c r="U105" s="103"/>
      <c r="V105" s="101"/>
      <c r="W105" s="101"/>
      <c r="X105" s="101"/>
      <c r="Y105" s="101"/>
      <c r="Z105" s="101"/>
      <c r="AA105" s="101"/>
      <c r="AB105" s="101"/>
      <c r="AC105" s="101"/>
      <c r="AD105" s="101"/>
      <c r="AE105" s="101"/>
      <c r="AF105" s="101"/>
      <c r="AG105" s="101"/>
      <c r="AH105" s="101"/>
      <c r="AI105" s="101"/>
      <c r="AJ105" s="101"/>
      <c r="AK105" s="101"/>
      <c r="AL105" s="101"/>
      <c r="AM105" s="101"/>
      <c r="AN105" s="101"/>
      <c r="AO105" s="101"/>
    </row>
    <row r="106" spans="2:41" ht="13.2" x14ac:dyDescent="0.25">
      <c r="D106" s="1" t="s">
        <v>712</v>
      </c>
      <c r="H106" s="101"/>
      <c r="J106" s="2" t="s">
        <v>1205</v>
      </c>
      <c r="M106" s="103"/>
      <c r="N106" s="103"/>
      <c r="O106" s="103"/>
      <c r="P106" s="103"/>
      <c r="Q106" s="476"/>
      <c r="R106" s="101">
        <v>185785.43377629382</v>
      </c>
      <c r="S106" s="478" t="s">
        <v>713</v>
      </c>
      <c r="T106" s="103"/>
      <c r="U106" s="103"/>
      <c r="V106" s="101"/>
      <c r="W106" s="101"/>
      <c r="X106" s="101"/>
      <c r="Y106" s="101"/>
      <c r="Z106" s="101"/>
      <c r="AA106" s="101"/>
      <c r="AB106" s="101"/>
      <c r="AC106" s="101"/>
      <c r="AD106" s="101"/>
      <c r="AE106" s="101"/>
      <c r="AF106" s="101"/>
      <c r="AG106" s="101"/>
      <c r="AH106" s="101"/>
      <c r="AI106" s="101"/>
      <c r="AJ106" s="101"/>
      <c r="AK106" s="101"/>
      <c r="AL106" s="101"/>
      <c r="AM106" s="101"/>
      <c r="AN106" s="101"/>
      <c r="AO106" s="101"/>
    </row>
    <row r="107" spans="2:41" ht="11.25" customHeight="1" x14ac:dyDescent="0.25">
      <c r="H107" s="101"/>
      <c r="M107" s="103"/>
      <c r="N107" s="103"/>
      <c r="O107" s="103"/>
      <c r="P107" s="103"/>
      <c r="Q107" s="476"/>
      <c r="R107" s="476"/>
      <c r="S107" s="476"/>
      <c r="T107" s="103"/>
      <c r="U107" s="103"/>
      <c r="V107" s="101"/>
      <c r="W107" s="101"/>
      <c r="X107" s="101"/>
      <c r="Y107" s="101"/>
      <c r="Z107" s="101"/>
      <c r="AA107" s="101"/>
      <c r="AB107" s="101"/>
      <c r="AC107" s="101"/>
      <c r="AD107" s="101"/>
      <c r="AE107" s="101"/>
      <c r="AF107" s="101"/>
      <c r="AG107" s="101"/>
      <c r="AH107" s="101"/>
      <c r="AI107" s="101"/>
      <c r="AJ107" s="101"/>
      <c r="AK107" s="101"/>
      <c r="AL107" s="101"/>
      <c r="AM107" s="101"/>
      <c r="AN107" s="101"/>
      <c r="AO107" s="101"/>
    </row>
    <row r="108" spans="2:41" ht="13.8" x14ac:dyDescent="0.35">
      <c r="H108" s="101"/>
      <c r="M108" s="103"/>
      <c r="N108" s="103"/>
      <c r="O108" s="103"/>
      <c r="P108" s="103"/>
      <c r="Q108" s="476"/>
      <c r="R108" s="477" t="s">
        <v>699</v>
      </c>
      <c r="S108" s="476"/>
      <c r="T108" s="103"/>
      <c r="U108" s="103"/>
      <c r="V108" s="101"/>
      <c r="W108" s="101"/>
      <c r="X108" s="101"/>
      <c r="Y108" s="101"/>
      <c r="Z108" s="101"/>
      <c r="AA108" s="101"/>
      <c r="AB108" s="101"/>
      <c r="AC108" s="101"/>
      <c r="AD108" s="101"/>
      <c r="AE108" s="101"/>
      <c r="AF108" s="101"/>
      <c r="AG108" s="101"/>
      <c r="AH108" s="101"/>
      <c r="AI108" s="101"/>
      <c r="AJ108" s="101"/>
      <c r="AK108" s="101"/>
      <c r="AL108" s="101"/>
      <c r="AM108" s="101"/>
      <c r="AN108" s="101"/>
      <c r="AO108" s="101"/>
    </row>
    <row r="109" spans="2:41" ht="12.6" x14ac:dyDescent="0.25">
      <c r="D109" s="1" t="s">
        <v>703</v>
      </c>
      <c r="H109" s="101"/>
      <c r="J109" s="2" t="s">
        <v>1205</v>
      </c>
      <c r="M109" s="103"/>
      <c r="N109" s="103"/>
      <c r="O109" s="103"/>
      <c r="P109" s="103"/>
      <c r="Q109" s="476"/>
      <c r="R109" s="101" t="e">
        <f>(Output!#REF!*'Val - Income Approach'!R105)+$R$84+$R$86</f>
        <v>#REF!</v>
      </c>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row>
    <row r="110" spans="2:41" ht="11.25" customHeight="1" x14ac:dyDescent="0.25">
      <c r="D110" s="1" t="s">
        <v>709</v>
      </c>
      <c r="H110" s="101"/>
      <c r="J110" s="2" t="s">
        <v>1205</v>
      </c>
      <c r="M110" s="103"/>
      <c r="N110" s="103"/>
      <c r="O110" s="103"/>
      <c r="P110" s="103"/>
      <c r="Q110" s="476"/>
      <c r="R110" s="101" t="e">
        <f>(Output!#REF!*'Val - Income Approach'!R106)+$R$84+$R$86</f>
        <v>#REF!</v>
      </c>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row>
    <row r="111" spans="2:41" ht="12" customHeight="1" x14ac:dyDescent="0.25">
      <c r="D111" s="1" t="s">
        <v>704</v>
      </c>
      <c r="H111" s="101"/>
      <c r="J111" s="2" t="s">
        <v>1205</v>
      </c>
      <c r="M111" s="103"/>
      <c r="N111" s="103"/>
      <c r="O111" s="103"/>
      <c r="P111" s="103"/>
      <c r="Q111" s="476"/>
      <c r="R111" s="101">
        <f>(Output!G36*'Val - Income Approach'!R105)+$R$84+$R$86</f>
        <v>2241331.544954286</v>
      </c>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row>
    <row r="112" spans="2:41" ht="12" customHeight="1" x14ac:dyDescent="0.25">
      <c r="D112" s="1" t="s">
        <v>710</v>
      </c>
      <c r="H112" s="101"/>
      <c r="J112" s="2" t="s">
        <v>1205</v>
      </c>
      <c r="M112" s="103"/>
      <c r="N112" s="103"/>
      <c r="O112" s="103"/>
      <c r="P112" s="103"/>
      <c r="Q112" s="476"/>
      <c r="R112" s="101">
        <f>(Output!H36*'Val - Income Approach'!R106)+$R$84+$R$86</f>
        <v>4679295.1069662767</v>
      </c>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row>
    <row r="113" spans="2:41" ht="12" customHeight="1" x14ac:dyDescent="0.25">
      <c r="D113" s="1" t="s">
        <v>705</v>
      </c>
      <c r="H113" s="101"/>
      <c r="J113" s="2" t="s">
        <v>1205</v>
      </c>
      <c r="M113" s="103"/>
      <c r="N113" s="103"/>
      <c r="O113" s="103"/>
      <c r="P113" s="103"/>
      <c r="Q113" s="476"/>
      <c r="R113" s="101" t="e">
        <f>Output!#REF!*'Val - Income Approach'!R102</f>
        <v>#REF!</v>
      </c>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row>
    <row r="114" spans="2:41" ht="12" customHeight="1" x14ac:dyDescent="0.25">
      <c r="D114" s="1" t="s">
        <v>706</v>
      </c>
      <c r="H114" s="101"/>
      <c r="J114" s="2" t="s">
        <v>1205</v>
      </c>
      <c r="M114" s="103"/>
      <c r="N114" s="103"/>
      <c r="O114" s="103"/>
      <c r="P114" s="103"/>
      <c r="Q114" s="476"/>
      <c r="R114" s="101" t="e">
        <f>Output!#REF!*'Val - Income Approach'!R103</f>
        <v>#REF!</v>
      </c>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row>
    <row r="115" spans="2:41" ht="12" customHeight="1" x14ac:dyDescent="0.25">
      <c r="D115" s="1" t="s">
        <v>707</v>
      </c>
      <c r="H115" s="101"/>
      <c r="J115" s="2" t="s">
        <v>1205</v>
      </c>
      <c r="M115" s="103"/>
      <c r="N115" s="103"/>
      <c r="O115" s="103"/>
      <c r="P115" s="103"/>
      <c r="Q115" s="476"/>
      <c r="R115" s="101">
        <f>R102*Output!J36</f>
        <v>2684270.8236127272</v>
      </c>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row>
    <row r="116" spans="2:41" ht="12" customHeight="1" x14ac:dyDescent="0.25">
      <c r="D116" s="1" t="s">
        <v>708</v>
      </c>
      <c r="H116" s="101"/>
      <c r="J116" s="2" t="s">
        <v>1205</v>
      </c>
      <c r="M116" s="103"/>
      <c r="N116" s="103"/>
      <c r="O116" s="103"/>
      <c r="P116" s="103"/>
      <c r="Q116" s="476"/>
      <c r="R116" s="101">
        <f>R103*Output!K36</f>
        <v>3973954.7423640578</v>
      </c>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row>
    <row r="117" spans="2:41" ht="12" customHeight="1" x14ac:dyDescent="0.25">
      <c r="D117" s="1" t="s">
        <v>715</v>
      </c>
      <c r="H117" s="101"/>
      <c r="J117" s="2" t="s">
        <v>1205</v>
      </c>
      <c r="M117" s="103"/>
      <c r="N117" s="103"/>
      <c r="O117" s="103"/>
      <c r="P117" s="103"/>
      <c r="Q117" s="476"/>
      <c r="R117" s="101">
        <f>32.8*R102</f>
        <v>1925685.3103999998</v>
      </c>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row>
    <row r="118" spans="2:41" ht="12" customHeight="1" x14ac:dyDescent="0.25">
      <c r="H118" s="101"/>
      <c r="M118" s="103"/>
      <c r="N118" s="103"/>
      <c r="O118" s="103"/>
      <c r="P118" s="103"/>
      <c r="Q118" s="476"/>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row>
    <row r="119" spans="2:41" ht="12.6" thickBot="1" x14ac:dyDescent="0.25">
      <c r="H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row>
    <row r="120" spans="2:41" ht="13.2" thickTop="1" x14ac:dyDescent="0.25">
      <c r="B120" s="39" t="s">
        <v>15</v>
      </c>
      <c r="C120" s="63"/>
      <c r="D120" s="63"/>
      <c r="E120" s="63"/>
      <c r="F120" s="41"/>
      <c r="G120" s="63"/>
      <c r="H120" s="63"/>
      <c r="I120" s="64"/>
      <c r="J120" s="64"/>
      <c r="K120" s="63"/>
      <c r="L120" s="65"/>
      <c r="M120" s="63"/>
      <c r="N120" s="64"/>
      <c r="O120" s="64"/>
      <c r="P120" s="64"/>
      <c r="Q120" s="64"/>
      <c r="R120" s="64"/>
      <c r="S120" s="64"/>
      <c r="T120" s="64"/>
      <c r="U120" s="64"/>
      <c r="V120" s="64"/>
      <c r="W120" s="64"/>
      <c r="X120" s="64"/>
      <c r="Y120" s="64"/>
      <c r="Z120" s="64"/>
      <c r="AA120" s="64"/>
      <c r="AB120" s="64"/>
      <c r="AC120" s="64"/>
      <c r="AD120" s="64"/>
      <c r="AE120" s="21"/>
      <c r="AF120" s="21"/>
      <c r="AG120" s="21"/>
      <c r="AH120" s="21"/>
      <c r="AI120" s="21"/>
      <c r="AJ120" s="21"/>
      <c r="AK120" s="21"/>
      <c r="AL120" s="21"/>
      <c r="AM120" s="21"/>
      <c r="AN120" s="21"/>
      <c r="AO120" s="21"/>
    </row>
    <row r="121" spans="2:41" ht="12.6" x14ac:dyDescent="0.25">
      <c r="D121" s="35"/>
      <c r="H121" s="101"/>
      <c r="M121" s="101"/>
      <c r="N121" s="101"/>
      <c r="O121" s="101"/>
      <c r="P121" s="101"/>
      <c r="Q121" s="103"/>
      <c r="R121" s="103"/>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row>
    <row r="122" spans="2:41" ht="12.6" x14ac:dyDescent="0.25">
      <c r="D122" s="35"/>
      <c r="H122" s="101"/>
      <c r="M122" s="101"/>
      <c r="N122" s="101"/>
      <c r="O122" s="101"/>
      <c r="P122" s="101"/>
      <c r="Q122" s="103"/>
      <c r="R122" s="103"/>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row>
    <row r="123" spans="2:41" ht="12.6" x14ac:dyDescent="0.25">
      <c r="D123" s="35"/>
      <c r="H123" s="101"/>
      <c r="M123" s="101"/>
      <c r="N123" s="101"/>
      <c r="O123" s="101"/>
      <c r="P123" s="101"/>
      <c r="Q123" s="103"/>
      <c r="R123" s="103"/>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row>
    <row r="124" spans="2:41" ht="12.6" x14ac:dyDescent="0.25">
      <c r="D124" s="35"/>
      <c r="H124" s="101"/>
      <c r="M124" s="101"/>
      <c r="N124" s="101"/>
      <c r="O124" s="101"/>
      <c r="P124" s="101"/>
      <c r="Q124" s="103"/>
      <c r="R124" s="103"/>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row>
    <row r="125" spans="2:41" ht="12.6" x14ac:dyDescent="0.25">
      <c r="D125" s="35"/>
      <c r="H125" s="101"/>
      <c r="M125" s="101"/>
      <c r="N125" s="101"/>
      <c r="O125" s="101"/>
      <c r="P125" s="101"/>
      <c r="Q125" s="103"/>
      <c r="R125" s="103"/>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row>
    <row r="126" spans="2:41" ht="12.6" x14ac:dyDescent="0.25">
      <c r="D126" s="35"/>
      <c r="H126" s="101"/>
      <c r="M126" s="101"/>
      <c r="N126" s="101"/>
      <c r="O126" s="101"/>
      <c r="P126" s="101"/>
      <c r="Q126" s="103"/>
      <c r="R126" s="103"/>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row>
    <row r="127" spans="2:41" ht="12.6" x14ac:dyDescent="0.25">
      <c r="D127" s="35"/>
      <c r="H127" s="101"/>
      <c r="M127" s="101"/>
      <c r="N127" s="101"/>
      <c r="O127" s="101"/>
      <c r="P127" s="101"/>
      <c r="Q127" s="103"/>
      <c r="R127" s="103"/>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row>
    <row r="128" spans="2:41" ht="12.6" x14ac:dyDescent="0.25">
      <c r="D128" s="35"/>
      <c r="H128" s="101"/>
      <c r="M128" s="101"/>
      <c r="N128" s="101"/>
      <c r="O128" s="101"/>
      <c r="P128" s="101"/>
      <c r="Q128" s="103"/>
      <c r="R128" s="103"/>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row>
    <row r="129" spans="4:41" ht="12.6" x14ac:dyDescent="0.25">
      <c r="D129" s="35"/>
      <c r="H129" s="101"/>
      <c r="M129" s="101"/>
      <c r="N129" s="101"/>
      <c r="O129" s="101"/>
      <c r="P129" s="101"/>
      <c r="Q129" s="103"/>
      <c r="R129" s="103"/>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row>
    <row r="130" spans="4:41" ht="12.6" x14ac:dyDescent="0.25">
      <c r="D130" s="35"/>
      <c r="H130" s="101"/>
      <c r="M130" s="101"/>
      <c r="N130" s="101"/>
      <c r="O130" s="101"/>
      <c r="P130" s="101"/>
      <c r="Q130" s="103"/>
      <c r="R130" s="103"/>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row>
    <row r="131" spans="4:41" ht="12.6" x14ac:dyDescent="0.25">
      <c r="D131" s="35"/>
      <c r="H131" s="101"/>
      <c r="M131" s="101"/>
      <c r="N131" s="101"/>
      <c r="O131" s="101"/>
      <c r="P131" s="101"/>
      <c r="Q131" s="103"/>
      <c r="R131" s="103"/>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row>
    <row r="132" spans="4:41" ht="12.6" x14ac:dyDescent="0.25">
      <c r="D132" s="35"/>
      <c r="H132" s="101"/>
      <c r="M132" s="101"/>
      <c r="N132" s="101"/>
      <c r="O132" s="101"/>
      <c r="P132" s="101"/>
      <c r="Q132" s="103"/>
      <c r="R132" s="103"/>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row>
    <row r="133" spans="4:41" ht="12.6" x14ac:dyDescent="0.25">
      <c r="D133" s="35"/>
      <c r="H133" s="101"/>
      <c r="M133" s="101"/>
      <c r="N133" s="101"/>
      <c r="O133" s="101"/>
      <c r="P133" s="101"/>
      <c r="Q133" s="103"/>
      <c r="R133" s="103"/>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row>
    <row r="134" spans="4:41" ht="12.6" x14ac:dyDescent="0.25">
      <c r="D134" s="35"/>
      <c r="H134" s="101"/>
      <c r="M134" s="101"/>
      <c r="N134" s="101"/>
      <c r="O134" s="101"/>
      <c r="P134" s="101"/>
      <c r="Q134" s="103"/>
      <c r="R134" s="103"/>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row>
    <row r="135" spans="4:41" ht="12.6" x14ac:dyDescent="0.25">
      <c r="D135" s="35"/>
      <c r="H135" s="101"/>
      <c r="M135" s="101"/>
      <c r="N135" s="101"/>
      <c r="O135" s="101"/>
      <c r="P135" s="101"/>
      <c r="Q135" s="103"/>
      <c r="R135" s="103"/>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row>
    <row r="136" spans="4:41" ht="12.6" x14ac:dyDescent="0.25">
      <c r="D136" s="35"/>
      <c r="H136" s="101"/>
      <c r="M136" s="101"/>
      <c r="N136" s="101"/>
      <c r="O136" s="101"/>
      <c r="P136" s="101"/>
      <c r="Q136" s="103"/>
      <c r="R136" s="103"/>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row>
    <row r="137" spans="4:41" ht="12.6" x14ac:dyDescent="0.25">
      <c r="D137" s="35"/>
      <c r="H137" s="101"/>
      <c r="M137" s="101"/>
      <c r="N137" s="101"/>
      <c r="O137" s="101"/>
      <c r="P137" s="101"/>
      <c r="Q137" s="103"/>
      <c r="R137" s="103"/>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row>
    <row r="138" spans="4:41" ht="12.6" x14ac:dyDescent="0.25">
      <c r="D138" s="35"/>
      <c r="H138" s="101"/>
      <c r="M138" s="101"/>
      <c r="N138" s="101"/>
      <c r="O138" s="101"/>
      <c r="P138" s="101"/>
      <c r="Q138" s="103"/>
      <c r="R138" s="103"/>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row>
    <row r="139" spans="4:41" ht="12.6" x14ac:dyDescent="0.25">
      <c r="D139" s="35"/>
      <c r="H139" s="101"/>
      <c r="M139" s="101"/>
      <c r="N139" s="101"/>
      <c r="O139" s="101"/>
      <c r="P139" s="101"/>
      <c r="Q139" s="103"/>
      <c r="R139" s="103"/>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row>
    <row r="140" spans="4:41" ht="12.6" x14ac:dyDescent="0.25">
      <c r="D140" s="35"/>
      <c r="H140" s="101"/>
      <c r="M140" s="101"/>
      <c r="N140" s="101"/>
      <c r="O140" s="101"/>
      <c r="P140" s="101"/>
      <c r="Q140" s="103"/>
      <c r="R140" s="103"/>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row>
    <row r="141" spans="4:41" ht="12.6" x14ac:dyDescent="0.25">
      <c r="D141" s="35"/>
      <c r="H141" s="101"/>
      <c r="M141" s="101"/>
      <c r="N141" s="101"/>
      <c r="O141" s="101"/>
      <c r="P141" s="101"/>
      <c r="Q141" s="103"/>
      <c r="R141" s="103"/>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row>
    <row r="142" spans="4:41" ht="12.6" x14ac:dyDescent="0.25">
      <c r="D142" s="35"/>
      <c r="H142" s="101"/>
      <c r="M142" s="101"/>
      <c r="N142" s="101"/>
      <c r="O142" s="101"/>
      <c r="P142" s="101"/>
      <c r="Q142" s="103"/>
      <c r="R142" s="103"/>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row>
    <row r="143" spans="4:41" ht="12.6" x14ac:dyDescent="0.25">
      <c r="D143" s="35"/>
      <c r="H143" s="101"/>
      <c r="M143" s="101"/>
      <c r="N143" s="101"/>
      <c r="O143" s="101"/>
      <c r="P143" s="101"/>
      <c r="Q143" s="103"/>
      <c r="R143" s="103"/>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row>
    <row r="144" spans="4:41" ht="12.6" x14ac:dyDescent="0.25">
      <c r="D144" s="35"/>
      <c r="H144" s="101"/>
      <c r="M144" s="101"/>
      <c r="N144" s="101"/>
      <c r="O144" s="101"/>
      <c r="P144" s="101"/>
      <c r="Q144" s="103"/>
      <c r="R144" s="103"/>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row>
    <row r="147" spans="1:46" x14ac:dyDescent="0.2">
      <c r="N147" s="18"/>
    </row>
    <row r="148" spans="1:46" s="18" customFormat="1" x14ac:dyDescent="0.2">
      <c r="A148" s="1"/>
      <c r="B148" s="1"/>
      <c r="C148" s="1"/>
      <c r="D148" s="1"/>
      <c r="E148" s="1"/>
      <c r="F148" s="1"/>
      <c r="G148" s="1"/>
      <c r="H148" s="1"/>
      <c r="I148" s="1"/>
      <c r="J148" s="2"/>
      <c r="K148" s="1"/>
      <c r="L148" s="3"/>
      <c r="M148" s="1"/>
      <c r="AP148" s="1"/>
      <c r="AQ148" s="1"/>
      <c r="AR148" s="1"/>
      <c r="AS148" s="1"/>
      <c r="AT148" s="1"/>
    </row>
    <row r="149" spans="1:46" s="18" customFormat="1" x14ac:dyDescent="0.2">
      <c r="A149" s="1"/>
      <c r="B149" s="1"/>
      <c r="C149" s="1"/>
      <c r="D149" s="1"/>
      <c r="E149" s="1"/>
      <c r="F149" s="1"/>
      <c r="G149" s="1"/>
      <c r="H149" s="1"/>
      <c r="I149" s="1"/>
      <c r="J149" s="2"/>
      <c r="K149" s="1"/>
      <c r="L149" s="3"/>
      <c r="M149" s="1"/>
      <c r="AP149" s="1"/>
      <c r="AQ149" s="1"/>
      <c r="AR149" s="1"/>
      <c r="AS149" s="1"/>
      <c r="AT149" s="1"/>
    </row>
    <row r="150" spans="1:46" s="18" customFormat="1" x14ac:dyDescent="0.2">
      <c r="A150" s="1"/>
      <c r="B150" s="1"/>
      <c r="C150" s="1"/>
      <c r="D150" s="1"/>
      <c r="E150" s="1"/>
      <c r="F150" s="1"/>
      <c r="G150" s="1"/>
      <c r="H150" s="1"/>
      <c r="I150" s="1"/>
      <c r="J150" s="2"/>
      <c r="K150" s="1"/>
      <c r="L150" s="3"/>
      <c r="M150" s="1"/>
      <c r="AP150" s="1"/>
      <c r="AQ150" s="1"/>
      <c r="AR150" s="1"/>
      <c r="AS150" s="1"/>
      <c r="AT150" s="1"/>
    </row>
    <row r="151" spans="1:46" s="18" customFormat="1" x14ac:dyDescent="0.2">
      <c r="A151" s="1"/>
      <c r="B151" s="1"/>
      <c r="C151" s="1"/>
      <c r="D151" s="1"/>
      <c r="E151" s="1"/>
      <c r="F151" s="1"/>
      <c r="G151" s="1"/>
      <c r="H151" s="1"/>
      <c r="I151" s="1"/>
      <c r="J151" s="2"/>
      <c r="K151" s="1"/>
      <c r="L151" s="3"/>
      <c r="M151" s="1"/>
      <c r="AP151" s="1"/>
      <c r="AQ151" s="1"/>
      <c r="AR151" s="1"/>
      <c r="AS151" s="1"/>
      <c r="AT151" s="1"/>
    </row>
    <row r="152" spans="1:46" s="18" customFormat="1" x14ac:dyDescent="0.2">
      <c r="A152" s="1"/>
      <c r="B152" s="1"/>
      <c r="C152" s="1"/>
      <c r="D152" s="1"/>
      <c r="E152" s="1"/>
      <c r="F152" s="1"/>
      <c r="G152" s="1"/>
      <c r="H152" s="1"/>
      <c r="I152" s="1"/>
      <c r="J152" s="2"/>
      <c r="K152" s="1"/>
      <c r="L152" s="3"/>
      <c r="M152" s="1"/>
      <c r="AP152" s="1"/>
      <c r="AQ152" s="1"/>
      <c r="AR152" s="1"/>
      <c r="AS152" s="1"/>
      <c r="AT152" s="1"/>
    </row>
    <row r="153" spans="1:46" s="18" customFormat="1" x14ac:dyDescent="0.2">
      <c r="A153" s="1"/>
      <c r="B153" s="1"/>
      <c r="C153" s="1"/>
      <c r="D153" s="1"/>
      <c r="E153" s="1"/>
      <c r="F153" s="1"/>
      <c r="G153" s="1"/>
      <c r="H153" s="1"/>
      <c r="I153" s="1"/>
      <c r="J153" s="2"/>
      <c r="K153" s="1"/>
      <c r="L153" s="3"/>
      <c r="M153" s="1"/>
      <c r="AP153" s="1"/>
      <c r="AQ153" s="1"/>
      <c r="AR153" s="1"/>
      <c r="AS153" s="1"/>
      <c r="AT153" s="1"/>
    </row>
    <row r="154" spans="1:46" s="18" customFormat="1" x14ac:dyDescent="0.2">
      <c r="A154" s="1"/>
      <c r="B154" s="1"/>
      <c r="C154" s="1"/>
      <c r="D154" s="1"/>
      <c r="E154" s="1"/>
      <c r="F154" s="1"/>
      <c r="G154" s="1"/>
      <c r="H154" s="1"/>
      <c r="I154" s="1"/>
      <c r="J154" s="2"/>
      <c r="K154" s="1"/>
      <c r="L154" s="3"/>
      <c r="M154" s="1"/>
      <c r="AP154" s="1"/>
      <c r="AQ154" s="1"/>
      <c r="AR154" s="1"/>
      <c r="AS154" s="1"/>
      <c r="AT154" s="1"/>
    </row>
    <row r="155" spans="1:46" s="18" customFormat="1" x14ac:dyDescent="0.2">
      <c r="A155" s="1"/>
      <c r="B155" s="1"/>
      <c r="C155" s="1"/>
      <c r="D155" s="1"/>
      <c r="E155" s="1"/>
      <c r="F155" s="1"/>
      <c r="G155" s="1"/>
      <c r="H155" s="1"/>
      <c r="I155" s="1"/>
      <c r="J155" s="2"/>
      <c r="K155" s="1"/>
      <c r="L155" s="3"/>
      <c r="M155" s="1"/>
      <c r="AP155" s="1"/>
      <c r="AQ155" s="1"/>
      <c r="AR155" s="1"/>
      <c r="AS155" s="1"/>
      <c r="AT155" s="1"/>
    </row>
    <row r="156" spans="1:46" s="18" customFormat="1" x14ac:dyDescent="0.2">
      <c r="A156" s="1"/>
      <c r="B156" s="1"/>
      <c r="C156" s="1"/>
      <c r="D156" s="1"/>
      <c r="E156" s="1"/>
      <c r="F156" s="1"/>
      <c r="G156" s="1"/>
      <c r="H156" s="1"/>
      <c r="I156" s="1"/>
      <c r="J156" s="2"/>
      <c r="K156" s="1"/>
      <c r="L156" s="3"/>
      <c r="M156" s="1"/>
      <c r="AP156" s="1"/>
      <c r="AQ156" s="1"/>
      <c r="AR156" s="1"/>
      <c r="AS156" s="1"/>
      <c r="AT156" s="1"/>
    </row>
    <row r="157" spans="1:46" s="18" customFormat="1" x14ac:dyDescent="0.2">
      <c r="A157" s="1"/>
      <c r="B157" s="1"/>
      <c r="C157" s="1"/>
      <c r="D157" s="1"/>
      <c r="E157" s="1"/>
      <c r="F157" s="1"/>
      <c r="G157" s="1"/>
      <c r="H157" s="1"/>
      <c r="I157" s="1"/>
      <c r="J157" s="2"/>
      <c r="K157" s="1"/>
      <c r="L157" s="3"/>
      <c r="M157" s="1"/>
      <c r="AP157" s="1"/>
      <c r="AQ157" s="1"/>
      <c r="AR157" s="1"/>
      <c r="AS157" s="1"/>
      <c r="AT157" s="1"/>
    </row>
    <row r="158" spans="1:46" s="18" customFormat="1" x14ac:dyDescent="0.2">
      <c r="A158" s="1"/>
      <c r="B158" s="1"/>
      <c r="C158" s="1"/>
      <c r="D158" s="1"/>
      <c r="E158" s="1"/>
      <c r="F158" s="1"/>
      <c r="G158" s="1"/>
      <c r="H158" s="1"/>
      <c r="I158" s="1"/>
      <c r="J158" s="2"/>
      <c r="K158" s="1"/>
      <c r="L158" s="3"/>
      <c r="M158" s="1"/>
      <c r="AP158" s="1"/>
      <c r="AQ158" s="1"/>
      <c r="AR158" s="1"/>
      <c r="AS158" s="1"/>
      <c r="AT158" s="1"/>
    </row>
    <row r="159" spans="1:46" s="18" customFormat="1" x14ac:dyDescent="0.2">
      <c r="A159" s="1"/>
      <c r="B159" s="1"/>
      <c r="C159" s="1"/>
      <c r="D159" s="1"/>
      <c r="E159" s="1"/>
      <c r="F159" s="1"/>
      <c r="G159" s="1"/>
      <c r="H159" s="1"/>
      <c r="I159" s="1"/>
      <c r="J159" s="2"/>
      <c r="K159" s="1"/>
      <c r="L159" s="3"/>
      <c r="M159" s="1"/>
      <c r="AP159" s="1"/>
      <c r="AQ159" s="1"/>
      <c r="AR159" s="1"/>
      <c r="AS159" s="1"/>
      <c r="AT159" s="1"/>
    </row>
    <row r="160" spans="1:46" s="18" customFormat="1" x14ac:dyDescent="0.2">
      <c r="A160" s="1"/>
      <c r="B160" s="1"/>
      <c r="C160" s="1"/>
      <c r="D160" s="1"/>
      <c r="E160" s="1"/>
      <c r="F160" s="1"/>
      <c r="G160" s="1"/>
      <c r="H160" s="1"/>
      <c r="I160" s="1"/>
      <c r="J160" s="2"/>
      <c r="K160" s="1"/>
      <c r="L160" s="3"/>
      <c r="M160" s="1"/>
      <c r="AP160" s="1"/>
      <c r="AQ160" s="1"/>
      <c r="AR160" s="1"/>
      <c r="AS160" s="1"/>
      <c r="AT160" s="1"/>
    </row>
    <row r="161" spans="1:46" s="18" customFormat="1" x14ac:dyDescent="0.2">
      <c r="A161" s="1"/>
      <c r="B161" s="1"/>
      <c r="C161" s="1"/>
      <c r="D161" s="1"/>
      <c r="E161" s="1"/>
      <c r="F161" s="1"/>
      <c r="G161" s="1"/>
      <c r="H161" s="1"/>
      <c r="I161" s="1"/>
      <c r="J161" s="2"/>
      <c r="K161" s="1"/>
      <c r="L161" s="3"/>
      <c r="M161" s="1"/>
      <c r="AP161" s="1"/>
      <c r="AQ161" s="1"/>
      <c r="AR161" s="1"/>
      <c r="AS161" s="1"/>
      <c r="AT161" s="1"/>
    </row>
    <row r="162" spans="1:46" s="18" customFormat="1" x14ac:dyDescent="0.2">
      <c r="A162" s="1"/>
      <c r="B162" s="1"/>
      <c r="C162" s="1"/>
      <c r="D162" s="1"/>
      <c r="E162" s="1"/>
      <c r="F162" s="1"/>
      <c r="G162" s="1"/>
      <c r="H162" s="1"/>
      <c r="I162" s="1"/>
      <c r="J162" s="2"/>
      <c r="K162" s="1"/>
      <c r="L162" s="3"/>
      <c r="M162" s="1"/>
      <c r="AP162" s="1"/>
      <c r="AQ162" s="1"/>
      <c r="AR162" s="1"/>
      <c r="AS162" s="1"/>
      <c r="AT162" s="1"/>
    </row>
    <row r="163" spans="1:46" s="18" customFormat="1" x14ac:dyDescent="0.2">
      <c r="A163" s="1"/>
      <c r="B163" s="1"/>
      <c r="C163" s="1"/>
      <c r="D163" s="1"/>
      <c r="E163" s="1"/>
      <c r="F163" s="1"/>
      <c r="G163" s="1"/>
      <c r="H163" s="1"/>
      <c r="I163" s="1"/>
      <c r="J163" s="2"/>
      <c r="K163" s="1"/>
      <c r="L163" s="3"/>
      <c r="M163" s="1"/>
      <c r="AP163" s="1"/>
      <c r="AQ163" s="1"/>
      <c r="AR163" s="1"/>
      <c r="AS163" s="1"/>
      <c r="AT163" s="1"/>
    </row>
    <row r="164" spans="1:46" s="18" customFormat="1" x14ac:dyDescent="0.2">
      <c r="A164" s="1"/>
      <c r="B164" s="1"/>
      <c r="C164" s="1"/>
      <c r="D164" s="1"/>
      <c r="E164" s="1"/>
      <c r="F164" s="1"/>
      <c r="G164" s="1"/>
      <c r="H164" s="1"/>
      <c r="I164" s="1"/>
      <c r="J164" s="2"/>
      <c r="K164" s="1"/>
      <c r="L164" s="3"/>
      <c r="M164" s="1"/>
      <c r="AP164" s="1"/>
      <c r="AQ164" s="1"/>
      <c r="AR164" s="1"/>
      <c r="AS164" s="1"/>
      <c r="AT164" s="1"/>
    </row>
    <row r="165" spans="1:46" s="18" customFormat="1" x14ac:dyDescent="0.2">
      <c r="A165" s="1"/>
      <c r="B165" s="1"/>
      <c r="C165" s="1"/>
      <c r="D165" s="1"/>
      <c r="E165" s="1"/>
      <c r="F165" s="1"/>
      <c r="G165" s="1"/>
      <c r="H165" s="1"/>
      <c r="I165" s="1"/>
      <c r="J165" s="2"/>
      <c r="K165" s="1"/>
      <c r="L165" s="3"/>
      <c r="M165" s="1"/>
      <c r="AP165" s="1"/>
      <c r="AQ165" s="1"/>
      <c r="AR165" s="1"/>
      <c r="AS165" s="1"/>
      <c r="AT165" s="1"/>
    </row>
    <row r="166" spans="1:46" s="18" customFormat="1" x14ac:dyDescent="0.2">
      <c r="A166" s="1"/>
      <c r="B166" s="1"/>
      <c r="C166" s="1"/>
      <c r="D166" s="1"/>
      <c r="E166" s="1"/>
      <c r="F166" s="1"/>
      <c r="G166" s="1"/>
      <c r="H166" s="1"/>
      <c r="I166" s="1"/>
      <c r="J166" s="2"/>
      <c r="K166" s="1"/>
      <c r="L166" s="3"/>
      <c r="M166" s="1"/>
      <c r="AP166" s="1"/>
      <c r="AQ166" s="1"/>
      <c r="AR166" s="1"/>
      <c r="AS166" s="1"/>
      <c r="AT166" s="1"/>
    </row>
    <row r="167" spans="1:46" s="18" customFormat="1" x14ac:dyDescent="0.2">
      <c r="A167" s="1"/>
      <c r="B167" s="1"/>
      <c r="C167" s="1"/>
      <c r="D167" s="1"/>
      <c r="E167" s="1"/>
      <c r="F167" s="1"/>
      <c r="G167" s="1"/>
      <c r="H167" s="1"/>
      <c r="I167" s="1"/>
      <c r="J167" s="2"/>
      <c r="K167" s="1"/>
      <c r="L167" s="3"/>
      <c r="M167" s="1"/>
      <c r="AP167" s="1"/>
      <c r="AQ167" s="1"/>
      <c r="AR167" s="1"/>
      <c r="AS167" s="1"/>
      <c r="AT167" s="1"/>
    </row>
    <row r="168" spans="1:46" s="18" customFormat="1" x14ac:dyDescent="0.2">
      <c r="A168" s="1"/>
      <c r="B168" s="1"/>
      <c r="C168" s="1"/>
      <c r="D168" s="1"/>
      <c r="E168" s="1"/>
      <c r="F168" s="1"/>
      <c r="G168" s="1"/>
      <c r="H168" s="1"/>
      <c r="I168" s="1"/>
      <c r="J168" s="2"/>
      <c r="K168" s="1"/>
      <c r="L168" s="3"/>
      <c r="M168" s="1"/>
      <c r="AP168" s="1"/>
      <c r="AQ168" s="1"/>
      <c r="AR168" s="1"/>
      <c r="AS168" s="1"/>
      <c r="AT168" s="1"/>
    </row>
    <row r="169" spans="1:46" s="18" customFormat="1" x14ac:dyDescent="0.2">
      <c r="A169" s="1"/>
      <c r="B169" s="1"/>
      <c r="C169" s="1"/>
      <c r="D169" s="1"/>
      <c r="E169" s="1"/>
      <c r="F169" s="1"/>
      <c r="G169" s="1"/>
      <c r="H169" s="1"/>
      <c r="I169" s="1"/>
      <c r="J169" s="2"/>
      <c r="K169" s="1"/>
      <c r="L169" s="3"/>
      <c r="M169" s="1"/>
      <c r="AP169" s="1"/>
      <c r="AQ169" s="1"/>
      <c r="AR169" s="1"/>
      <c r="AS169" s="1"/>
      <c r="AT169" s="1"/>
    </row>
    <row r="170" spans="1:46" s="18" customFormat="1" x14ac:dyDescent="0.2">
      <c r="A170" s="1"/>
      <c r="B170" s="1"/>
      <c r="C170" s="1"/>
      <c r="D170" s="1"/>
      <c r="E170" s="1"/>
      <c r="F170" s="1"/>
      <c r="G170" s="1"/>
      <c r="H170" s="1"/>
      <c r="I170" s="1"/>
      <c r="J170" s="2"/>
      <c r="K170" s="1"/>
      <c r="L170" s="3"/>
      <c r="M170" s="1"/>
      <c r="AP170" s="1"/>
      <c r="AQ170" s="1"/>
      <c r="AR170" s="1"/>
      <c r="AS170" s="1"/>
      <c r="AT170" s="1"/>
    </row>
    <row r="171" spans="1:46" s="18" customFormat="1" x14ac:dyDescent="0.2">
      <c r="A171" s="1"/>
      <c r="B171" s="1"/>
      <c r="C171" s="1"/>
      <c r="D171" s="1"/>
      <c r="E171" s="1"/>
      <c r="F171" s="1"/>
      <c r="G171" s="1"/>
      <c r="H171" s="1"/>
      <c r="I171" s="1"/>
      <c r="J171" s="2"/>
      <c r="K171" s="1"/>
      <c r="L171" s="3"/>
      <c r="M171" s="1"/>
      <c r="AP171" s="1"/>
      <c r="AQ171" s="1"/>
      <c r="AR171" s="1"/>
      <c r="AS171" s="1"/>
      <c r="AT171" s="1"/>
    </row>
    <row r="172" spans="1:46" s="18" customFormat="1" x14ac:dyDescent="0.2">
      <c r="A172" s="1"/>
      <c r="B172" s="1"/>
      <c r="C172" s="1"/>
      <c r="D172" s="1"/>
      <c r="E172" s="1"/>
      <c r="F172" s="1"/>
      <c r="G172" s="1"/>
      <c r="H172" s="1"/>
      <c r="I172" s="1"/>
      <c r="J172" s="2"/>
      <c r="K172" s="1"/>
      <c r="L172" s="3"/>
      <c r="M172" s="1"/>
      <c r="AP172" s="1"/>
      <c r="AQ172" s="1"/>
      <c r="AR172" s="1"/>
      <c r="AS172" s="1"/>
      <c r="AT172" s="1"/>
    </row>
    <row r="173" spans="1:46" s="18" customFormat="1" x14ac:dyDescent="0.2">
      <c r="A173" s="1"/>
      <c r="B173" s="1"/>
      <c r="C173" s="1"/>
      <c r="D173" s="1"/>
      <c r="E173" s="1"/>
      <c r="F173" s="1"/>
      <c r="G173" s="1"/>
      <c r="H173" s="1"/>
      <c r="I173" s="1"/>
      <c r="J173" s="2"/>
      <c r="K173" s="1"/>
      <c r="L173" s="3"/>
      <c r="M173" s="1"/>
      <c r="AP173" s="1"/>
      <c r="AQ173" s="1"/>
      <c r="AR173" s="1"/>
      <c r="AS173" s="1"/>
      <c r="AT173" s="1"/>
    </row>
    <row r="174" spans="1:46" s="18" customFormat="1" x14ac:dyDescent="0.2">
      <c r="A174" s="1"/>
      <c r="B174" s="1"/>
      <c r="C174" s="1"/>
      <c r="D174" s="1"/>
      <c r="E174" s="1"/>
      <c r="F174" s="1"/>
      <c r="G174" s="1"/>
      <c r="H174" s="1"/>
      <c r="I174" s="1"/>
      <c r="J174" s="2"/>
      <c r="K174" s="1"/>
      <c r="L174" s="3"/>
      <c r="M174" s="1"/>
      <c r="AP174" s="1"/>
      <c r="AQ174" s="1"/>
      <c r="AR174" s="1"/>
      <c r="AS174" s="1"/>
      <c r="AT174" s="1"/>
    </row>
    <row r="175" spans="1:46" s="18" customFormat="1" x14ac:dyDescent="0.2">
      <c r="A175" s="1"/>
      <c r="B175" s="1"/>
      <c r="C175" s="1"/>
      <c r="D175" s="1"/>
      <c r="E175" s="1"/>
      <c r="F175" s="1"/>
      <c r="G175" s="1"/>
      <c r="H175" s="1"/>
      <c r="I175" s="1"/>
      <c r="J175" s="2"/>
      <c r="K175" s="1"/>
      <c r="L175" s="3"/>
      <c r="M175" s="1"/>
      <c r="AP175" s="1"/>
      <c r="AQ175" s="1"/>
      <c r="AR175" s="1"/>
      <c r="AS175" s="1"/>
      <c r="AT175" s="1"/>
    </row>
    <row r="176" spans="1:46" s="18" customFormat="1" x14ac:dyDescent="0.2">
      <c r="A176" s="1"/>
      <c r="B176" s="1"/>
      <c r="C176" s="1"/>
      <c r="D176" s="1"/>
      <c r="E176" s="1"/>
      <c r="F176" s="1"/>
      <c r="G176" s="1"/>
      <c r="H176" s="1"/>
      <c r="I176" s="1"/>
      <c r="J176" s="2"/>
      <c r="K176" s="1"/>
      <c r="L176" s="3"/>
      <c r="M176" s="1"/>
      <c r="AP176" s="1"/>
      <c r="AQ176" s="1"/>
      <c r="AR176" s="1"/>
      <c r="AS176" s="1"/>
      <c r="AT176" s="1"/>
    </row>
    <row r="177" spans="1:46" s="18" customFormat="1" x14ac:dyDescent="0.2">
      <c r="A177" s="1"/>
      <c r="B177" s="1"/>
      <c r="C177" s="1"/>
      <c r="D177" s="1"/>
      <c r="E177" s="1"/>
      <c r="F177" s="1"/>
      <c r="G177" s="1"/>
      <c r="H177" s="1"/>
      <c r="I177" s="1"/>
      <c r="J177" s="2"/>
      <c r="K177" s="1"/>
      <c r="L177" s="3"/>
      <c r="M177" s="1"/>
      <c r="AP177" s="1"/>
      <c r="AQ177" s="1"/>
      <c r="AR177" s="1"/>
      <c r="AS177" s="1"/>
      <c r="AT177" s="1"/>
    </row>
    <row r="178" spans="1:46" s="18" customFormat="1" x14ac:dyDescent="0.2">
      <c r="A178" s="1"/>
      <c r="B178" s="1"/>
      <c r="C178" s="1"/>
      <c r="D178" s="1"/>
      <c r="E178" s="1"/>
      <c r="F178" s="1"/>
      <c r="G178" s="1"/>
      <c r="H178" s="1"/>
      <c r="I178" s="1"/>
      <c r="J178" s="2"/>
      <c r="K178" s="1"/>
      <c r="L178" s="3"/>
      <c r="M178" s="1"/>
      <c r="AP178" s="1"/>
      <c r="AQ178" s="1"/>
      <c r="AR178" s="1"/>
      <c r="AS178" s="1"/>
      <c r="AT178" s="1"/>
    </row>
    <row r="179" spans="1:46" s="18" customFormat="1" x14ac:dyDescent="0.2">
      <c r="A179" s="1"/>
      <c r="B179" s="1"/>
      <c r="C179" s="1"/>
      <c r="D179" s="1"/>
      <c r="E179" s="1"/>
      <c r="F179" s="1"/>
      <c r="G179" s="1"/>
      <c r="H179" s="1"/>
      <c r="I179" s="1"/>
      <c r="J179" s="2"/>
      <c r="K179" s="1"/>
      <c r="L179" s="3"/>
      <c r="M179" s="1"/>
      <c r="AP179" s="1"/>
      <c r="AQ179" s="1"/>
      <c r="AR179" s="1"/>
      <c r="AS179" s="1"/>
      <c r="AT179" s="1"/>
    </row>
    <row r="180" spans="1:46" s="18" customFormat="1" x14ac:dyDescent="0.2">
      <c r="A180" s="1"/>
      <c r="B180" s="1"/>
      <c r="C180" s="1"/>
      <c r="D180" s="1"/>
      <c r="E180" s="1"/>
      <c r="F180" s="1"/>
      <c r="G180" s="1"/>
      <c r="H180" s="1"/>
      <c r="I180" s="1"/>
      <c r="J180" s="2"/>
      <c r="K180" s="1"/>
      <c r="L180" s="3"/>
      <c r="M180" s="1"/>
      <c r="AP180" s="1"/>
      <c r="AQ180" s="1"/>
      <c r="AR180" s="1"/>
      <c r="AS180" s="1"/>
      <c r="AT180" s="1"/>
    </row>
    <row r="181" spans="1:46" s="18" customFormat="1" x14ac:dyDescent="0.2">
      <c r="A181" s="1"/>
      <c r="B181" s="1"/>
      <c r="C181" s="1"/>
      <c r="D181" s="1"/>
      <c r="E181" s="1"/>
      <c r="F181" s="1"/>
      <c r="G181" s="1"/>
      <c r="H181" s="1"/>
      <c r="I181" s="1"/>
      <c r="J181" s="2"/>
      <c r="K181" s="1"/>
      <c r="L181" s="3"/>
      <c r="M181" s="1"/>
      <c r="AP181" s="1"/>
      <c r="AQ181" s="1"/>
      <c r="AR181" s="1"/>
      <c r="AS181" s="1"/>
      <c r="AT181" s="1"/>
    </row>
    <row r="182" spans="1:46" s="18" customFormat="1" x14ac:dyDescent="0.2">
      <c r="A182" s="1"/>
      <c r="B182" s="1"/>
      <c r="C182" s="1"/>
      <c r="D182" s="1"/>
      <c r="E182" s="1"/>
      <c r="F182" s="1"/>
      <c r="G182" s="1"/>
      <c r="H182" s="1"/>
      <c r="I182" s="1"/>
      <c r="J182" s="2"/>
      <c r="K182" s="1"/>
      <c r="L182" s="3"/>
      <c r="M182" s="1"/>
      <c r="AP182" s="1"/>
      <c r="AQ182" s="1"/>
      <c r="AR182" s="1"/>
      <c r="AS182" s="1"/>
      <c r="AT182" s="1"/>
    </row>
    <row r="183" spans="1:46" s="18" customFormat="1" x14ac:dyDescent="0.2">
      <c r="A183" s="1"/>
      <c r="B183" s="1"/>
      <c r="C183" s="1"/>
      <c r="D183" s="1"/>
      <c r="E183" s="1"/>
      <c r="F183" s="1"/>
      <c r="G183" s="1"/>
      <c r="H183" s="1"/>
      <c r="I183" s="1"/>
      <c r="J183" s="2"/>
      <c r="K183" s="1"/>
      <c r="L183" s="3"/>
      <c r="M183" s="1"/>
      <c r="AP183" s="1"/>
      <c r="AQ183" s="1"/>
      <c r="AR183" s="1"/>
      <c r="AS183" s="1"/>
      <c r="AT183" s="1"/>
    </row>
    <row r="184" spans="1:46" s="18" customFormat="1" x14ac:dyDescent="0.2">
      <c r="A184" s="1"/>
      <c r="B184" s="1"/>
      <c r="C184" s="1"/>
      <c r="D184" s="1"/>
      <c r="E184" s="1"/>
      <c r="F184" s="1"/>
      <c r="G184" s="1"/>
      <c r="H184" s="1"/>
      <c r="I184" s="1"/>
      <c r="J184" s="2"/>
      <c r="K184" s="1"/>
      <c r="L184" s="3"/>
      <c r="M184" s="1"/>
      <c r="AP184" s="1"/>
      <c r="AQ184" s="1"/>
      <c r="AR184" s="1"/>
      <c r="AS184" s="1"/>
      <c r="AT184" s="1"/>
    </row>
    <row r="185" spans="1:46" s="18" customFormat="1" x14ac:dyDescent="0.2">
      <c r="A185" s="1"/>
      <c r="B185" s="1"/>
      <c r="C185" s="1"/>
      <c r="D185" s="1"/>
      <c r="E185" s="1"/>
      <c r="F185" s="1"/>
      <c r="G185" s="1"/>
      <c r="H185" s="1"/>
      <c r="I185" s="1"/>
      <c r="J185" s="2"/>
      <c r="K185" s="1"/>
      <c r="L185" s="3"/>
      <c r="M185" s="1"/>
      <c r="AP185" s="1"/>
      <c r="AQ185" s="1"/>
      <c r="AR185" s="1"/>
      <c r="AS185" s="1"/>
      <c r="AT185" s="1"/>
    </row>
    <row r="186" spans="1:46" s="18" customFormat="1" x14ac:dyDescent="0.2">
      <c r="A186" s="1"/>
      <c r="B186" s="1"/>
      <c r="C186" s="1"/>
      <c r="D186" s="1"/>
      <c r="E186" s="1"/>
      <c r="F186" s="1"/>
      <c r="G186" s="1"/>
      <c r="H186" s="1"/>
      <c r="I186" s="1"/>
      <c r="J186" s="2"/>
      <c r="K186" s="1"/>
      <c r="L186" s="3"/>
      <c r="M186" s="1"/>
      <c r="AP186" s="1"/>
      <c r="AQ186" s="1"/>
      <c r="AR186" s="1"/>
      <c r="AS186" s="1"/>
      <c r="AT186" s="1"/>
    </row>
    <row r="187" spans="1:46" s="18" customFormat="1" x14ac:dyDescent="0.2">
      <c r="A187" s="1"/>
      <c r="B187" s="1"/>
      <c r="C187" s="1"/>
      <c r="D187" s="1"/>
      <c r="E187" s="1"/>
      <c r="F187" s="1"/>
      <c r="G187" s="1"/>
      <c r="H187" s="1"/>
      <c r="I187" s="1"/>
      <c r="J187" s="2"/>
      <c r="K187" s="1"/>
      <c r="L187" s="3"/>
      <c r="M187" s="1"/>
      <c r="AP187" s="1"/>
      <c r="AQ187" s="1"/>
      <c r="AR187" s="1"/>
      <c r="AS187" s="1"/>
      <c r="AT187" s="1"/>
    </row>
    <row r="188" spans="1:46" s="18" customFormat="1" x14ac:dyDescent="0.2">
      <c r="A188" s="1"/>
      <c r="B188" s="1"/>
      <c r="C188" s="1"/>
      <c r="D188" s="1"/>
      <c r="E188" s="1"/>
      <c r="F188" s="1"/>
      <c r="G188" s="1"/>
      <c r="H188" s="1"/>
      <c r="I188" s="1"/>
      <c r="J188" s="2"/>
      <c r="K188" s="1"/>
      <c r="L188" s="3"/>
      <c r="M188" s="1"/>
      <c r="AP188" s="1"/>
      <c r="AQ188" s="1"/>
      <c r="AR188" s="1"/>
      <c r="AS188" s="1"/>
      <c r="AT188" s="1"/>
    </row>
    <row r="189" spans="1:46" s="18" customFormat="1" x14ac:dyDescent="0.2">
      <c r="A189" s="1"/>
      <c r="B189" s="1"/>
      <c r="C189" s="1"/>
      <c r="D189" s="1"/>
      <c r="E189" s="1"/>
      <c r="F189" s="1"/>
      <c r="G189" s="1"/>
      <c r="H189" s="1"/>
      <c r="I189" s="1"/>
      <c r="J189" s="2"/>
      <c r="K189" s="1"/>
      <c r="L189" s="3"/>
      <c r="M189" s="1"/>
      <c r="AP189" s="1"/>
      <c r="AQ189" s="1"/>
      <c r="AR189" s="1"/>
      <c r="AS189" s="1"/>
      <c r="AT189" s="1"/>
    </row>
    <row r="190" spans="1:46" s="18" customFormat="1" x14ac:dyDescent="0.2">
      <c r="A190" s="1"/>
      <c r="B190" s="1"/>
      <c r="C190" s="1"/>
      <c r="D190" s="1"/>
      <c r="E190" s="1"/>
      <c r="F190" s="1"/>
      <c r="G190" s="1"/>
      <c r="H190" s="1"/>
      <c r="I190" s="1"/>
      <c r="J190" s="2"/>
      <c r="K190" s="1"/>
      <c r="L190" s="3"/>
      <c r="M190" s="1"/>
      <c r="AP190" s="1"/>
      <c r="AQ190" s="1"/>
      <c r="AR190" s="1"/>
      <c r="AS190" s="1"/>
      <c r="AT190" s="1"/>
    </row>
    <row r="191" spans="1:46" s="18" customFormat="1" x14ac:dyDescent="0.2">
      <c r="A191" s="1"/>
      <c r="B191" s="1"/>
      <c r="C191" s="1"/>
      <c r="D191" s="1"/>
      <c r="E191" s="1"/>
      <c r="F191" s="1"/>
      <c r="G191" s="1"/>
      <c r="H191" s="1"/>
      <c r="I191" s="1"/>
      <c r="J191" s="2"/>
      <c r="K191" s="1"/>
      <c r="L191" s="3"/>
      <c r="M191" s="1"/>
      <c r="AP191" s="1"/>
      <c r="AQ191" s="1"/>
      <c r="AR191" s="1"/>
      <c r="AS191" s="1"/>
      <c r="AT191" s="1"/>
    </row>
    <row r="192" spans="1:46" s="18" customFormat="1" x14ac:dyDescent="0.2">
      <c r="A192" s="1"/>
      <c r="B192" s="1"/>
      <c r="C192" s="1"/>
      <c r="D192" s="1"/>
      <c r="E192" s="1"/>
      <c r="F192" s="1"/>
      <c r="G192" s="1"/>
      <c r="H192" s="1"/>
      <c r="I192" s="1"/>
      <c r="J192" s="2"/>
      <c r="K192" s="1"/>
      <c r="L192" s="3"/>
      <c r="M192" s="1"/>
      <c r="AP192" s="1"/>
      <c r="AQ192" s="1"/>
      <c r="AR192" s="1"/>
      <c r="AS192" s="1"/>
      <c r="AT192" s="1"/>
    </row>
    <row r="193" spans="1:46" s="18" customFormat="1" x14ac:dyDescent="0.2">
      <c r="A193" s="1"/>
      <c r="B193" s="1"/>
      <c r="C193" s="1"/>
      <c r="D193" s="1"/>
      <c r="E193" s="1"/>
      <c r="F193" s="1"/>
      <c r="G193" s="1"/>
      <c r="H193" s="1"/>
      <c r="I193" s="1"/>
      <c r="J193" s="2"/>
      <c r="K193" s="1"/>
      <c r="L193" s="3"/>
      <c r="M193" s="1"/>
      <c r="AP193" s="1"/>
      <c r="AQ193" s="1"/>
      <c r="AR193" s="1"/>
      <c r="AS193" s="1"/>
      <c r="AT193" s="1"/>
    </row>
    <row r="194" spans="1:46" s="18" customFormat="1" x14ac:dyDescent="0.2">
      <c r="A194" s="1"/>
      <c r="B194" s="1"/>
      <c r="C194" s="1"/>
      <c r="D194" s="1"/>
      <c r="E194" s="1"/>
      <c r="F194" s="1"/>
      <c r="G194" s="1"/>
      <c r="H194" s="1"/>
      <c r="I194" s="1"/>
      <c r="J194" s="2"/>
      <c r="K194" s="1"/>
      <c r="L194" s="3"/>
      <c r="M194" s="1"/>
      <c r="AP194" s="1"/>
      <c r="AQ194" s="1"/>
      <c r="AR194" s="1"/>
      <c r="AS194" s="1"/>
      <c r="AT194" s="1"/>
    </row>
    <row r="195" spans="1:46" s="18" customFormat="1" x14ac:dyDescent="0.2">
      <c r="A195" s="1"/>
      <c r="B195" s="1"/>
      <c r="C195" s="1"/>
      <c r="D195" s="1"/>
      <c r="E195" s="1"/>
      <c r="F195" s="1"/>
      <c r="G195" s="1"/>
      <c r="H195" s="1"/>
      <c r="I195" s="1"/>
      <c r="J195" s="2"/>
      <c r="K195" s="1"/>
      <c r="L195" s="3"/>
      <c r="M195" s="1"/>
      <c r="AP195" s="1"/>
      <c r="AQ195" s="1"/>
      <c r="AR195" s="1"/>
      <c r="AS195" s="1"/>
      <c r="AT195" s="1"/>
    </row>
    <row r="196" spans="1:46" s="18" customFormat="1" x14ac:dyDescent="0.2">
      <c r="A196" s="1"/>
      <c r="B196" s="1"/>
      <c r="C196" s="1"/>
      <c r="D196" s="1"/>
      <c r="E196" s="1"/>
      <c r="F196" s="1"/>
      <c r="G196" s="1"/>
      <c r="H196" s="1"/>
      <c r="I196" s="1"/>
      <c r="J196" s="2"/>
      <c r="K196" s="1"/>
      <c r="L196" s="3"/>
      <c r="M196" s="1"/>
      <c r="AP196" s="1"/>
      <c r="AQ196" s="1"/>
      <c r="AR196" s="1"/>
      <c r="AS196" s="1"/>
      <c r="AT196" s="1"/>
    </row>
    <row r="197" spans="1:46" s="18" customFormat="1" x14ac:dyDescent="0.2">
      <c r="A197" s="1"/>
      <c r="B197" s="1"/>
      <c r="C197" s="1"/>
      <c r="D197" s="1"/>
      <c r="E197" s="1"/>
      <c r="F197" s="1"/>
      <c r="G197" s="1"/>
      <c r="H197" s="1"/>
      <c r="I197" s="1"/>
      <c r="J197" s="2"/>
      <c r="K197" s="1"/>
      <c r="L197" s="3"/>
      <c r="M197" s="1"/>
      <c r="AP197" s="1"/>
      <c r="AQ197" s="1"/>
      <c r="AR197" s="1"/>
      <c r="AS197" s="1"/>
      <c r="AT197" s="1"/>
    </row>
    <row r="198" spans="1:46" s="18" customFormat="1" x14ac:dyDescent="0.2">
      <c r="A198" s="1"/>
      <c r="B198" s="1"/>
      <c r="C198" s="1"/>
      <c r="D198" s="1"/>
      <c r="E198" s="1"/>
      <c r="F198" s="1"/>
      <c r="G198" s="1"/>
      <c r="H198" s="1"/>
      <c r="I198" s="1"/>
      <c r="J198" s="2"/>
      <c r="K198" s="1"/>
      <c r="L198" s="3"/>
      <c r="M198" s="1"/>
      <c r="AP198" s="1"/>
      <c r="AQ198" s="1"/>
      <c r="AR198" s="1"/>
      <c r="AS198" s="1"/>
      <c r="AT198" s="1"/>
    </row>
    <row r="199" spans="1:46" s="18" customFormat="1" x14ac:dyDescent="0.2">
      <c r="A199" s="1"/>
      <c r="B199" s="1"/>
      <c r="C199" s="1"/>
      <c r="D199" s="1"/>
      <c r="E199" s="1"/>
      <c r="F199" s="1"/>
      <c r="G199" s="1"/>
      <c r="H199" s="1"/>
      <c r="I199" s="1"/>
      <c r="J199" s="2"/>
      <c r="K199" s="1"/>
      <c r="L199" s="3"/>
      <c r="M199" s="1"/>
      <c r="AP199" s="1"/>
      <c r="AQ199" s="1"/>
      <c r="AR199" s="1"/>
      <c r="AS199" s="1"/>
      <c r="AT199" s="1"/>
    </row>
    <row r="200" spans="1:46" s="18" customFormat="1" x14ac:dyDescent="0.2">
      <c r="A200" s="1"/>
      <c r="B200" s="1"/>
      <c r="C200" s="1"/>
      <c r="D200" s="1"/>
      <c r="E200" s="1"/>
      <c r="F200" s="1"/>
      <c r="G200" s="1"/>
      <c r="H200" s="1"/>
      <c r="I200" s="1"/>
      <c r="J200" s="2"/>
      <c r="K200" s="1"/>
      <c r="L200" s="3"/>
      <c r="M200" s="1"/>
      <c r="AP200" s="1"/>
      <c r="AQ200" s="1"/>
      <c r="AR200" s="1"/>
      <c r="AS200" s="1"/>
      <c r="AT200" s="1"/>
    </row>
    <row r="201" spans="1:46" s="18" customFormat="1" x14ac:dyDescent="0.2">
      <c r="A201" s="1"/>
      <c r="B201" s="1"/>
      <c r="C201" s="1"/>
      <c r="D201" s="1"/>
      <c r="E201" s="1"/>
      <c r="F201" s="1"/>
      <c r="G201" s="1"/>
      <c r="H201" s="1"/>
      <c r="I201" s="1"/>
      <c r="J201" s="2"/>
      <c r="K201" s="1"/>
      <c r="L201" s="3"/>
      <c r="M201" s="1"/>
      <c r="AP201" s="1"/>
      <c r="AQ201" s="1"/>
      <c r="AR201" s="1"/>
      <c r="AS201" s="1"/>
      <c r="AT201" s="1"/>
    </row>
    <row r="202" spans="1:46" s="18" customFormat="1" x14ac:dyDescent="0.2">
      <c r="A202" s="1"/>
      <c r="B202" s="1"/>
      <c r="C202" s="1"/>
      <c r="D202" s="1"/>
      <c r="E202" s="1"/>
      <c r="F202" s="1"/>
      <c r="G202" s="1"/>
      <c r="H202" s="1"/>
      <c r="I202" s="1"/>
      <c r="J202" s="2"/>
      <c r="K202" s="1"/>
      <c r="L202" s="3"/>
      <c r="M202" s="1"/>
      <c r="AP202" s="1"/>
      <c r="AQ202" s="1"/>
      <c r="AR202" s="1"/>
      <c r="AS202" s="1"/>
      <c r="AT202" s="1"/>
    </row>
    <row r="203" spans="1:46" s="18" customFormat="1" x14ac:dyDescent="0.2">
      <c r="A203" s="1"/>
      <c r="B203" s="1"/>
      <c r="C203" s="1"/>
      <c r="D203" s="1"/>
      <c r="E203" s="1"/>
      <c r="F203" s="1"/>
      <c r="G203" s="1"/>
      <c r="H203" s="1"/>
      <c r="I203" s="1"/>
      <c r="J203" s="2"/>
      <c r="K203" s="1"/>
      <c r="L203" s="3"/>
      <c r="M203" s="1"/>
      <c r="AP203" s="1"/>
      <c r="AQ203" s="1"/>
      <c r="AR203" s="1"/>
      <c r="AS203" s="1"/>
      <c r="AT203" s="1"/>
    </row>
    <row r="204" spans="1:46" s="18" customFormat="1" x14ac:dyDescent="0.2">
      <c r="A204" s="1"/>
      <c r="B204" s="1"/>
      <c r="C204" s="1"/>
      <c r="D204" s="1"/>
      <c r="E204" s="1"/>
      <c r="F204" s="1"/>
      <c r="G204" s="1"/>
      <c r="H204" s="1"/>
      <c r="I204" s="1"/>
      <c r="J204" s="2"/>
      <c r="K204" s="1"/>
      <c r="L204" s="3"/>
      <c r="M204" s="1"/>
      <c r="AP204" s="1"/>
      <c r="AQ204" s="1"/>
      <c r="AR204" s="1"/>
      <c r="AS204" s="1"/>
      <c r="AT204" s="1"/>
    </row>
    <row r="205" spans="1:46" s="18" customFormat="1" x14ac:dyDescent="0.2">
      <c r="A205" s="1"/>
      <c r="B205" s="1"/>
      <c r="C205" s="1"/>
      <c r="D205" s="1"/>
      <c r="E205" s="1"/>
      <c r="F205" s="1"/>
      <c r="G205" s="1"/>
      <c r="H205" s="1"/>
      <c r="I205" s="1"/>
      <c r="J205" s="2"/>
      <c r="K205" s="1"/>
      <c r="L205" s="3"/>
      <c r="M205" s="1"/>
      <c r="AP205" s="1"/>
      <c r="AQ205" s="1"/>
      <c r="AR205" s="1"/>
      <c r="AS205" s="1"/>
      <c r="AT205" s="1"/>
    </row>
    <row r="206" spans="1:46" s="18" customFormat="1" x14ac:dyDescent="0.2">
      <c r="A206" s="1"/>
      <c r="B206" s="1"/>
      <c r="C206" s="1"/>
      <c r="D206" s="1"/>
      <c r="E206" s="1"/>
      <c r="F206" s="1"/>
      <c r="G206" s="1"/>
      <c r="H206" s="1"/>
      <c r="I206" s="1"/>
      <c r="J206" s="2"/>
      <c r="K206" s="1"/>
      <c r="L206" s="3"/>
      <c r="M206" s="1"/>
      <c r="AP206" s="1"/>
      <c r="AQ206" s="1"/>
      <c r="AR206" s="1"/>
      <c r="AS206" s="1"/>
      <c r="AT206" s="1"/>
    </row>
    <row r="207" spans="1:46" s="18" customFormat="1" x14ac:dyDescent="0.2">
      <c r="A207" s="1"/>
      <c r="B207" s="1"/>
      <c r="C207" s="1"/>
      <c r="D207" s="1"/>
      <c r="E207" s="1"/>
      <c r="F207" s="1"/>
      <c r="G207" s="1"/>
      <c r="H207" s="1"/>
      <c r="I207" s="1"/>
      <c r="J207" s="2"/>
      <c r="K207" s="1"/>
      <c r="L207" s="3"/>
      <c r="M207" s="1"/>
      <c r="AP207" s="1"/>
      <c r="AQ207" s="1"/>
      <c r="AR207" s="1"/>
      <c r="AS207" s="1"/>
      <c r="AT207" s="1"/>
    </row>
    <row r="208" spans="1:46" s="18" customFormat="1" x14ac:dyDescent="0.2">
      <c r="A208" s="1"/>
      <c r="B208" s="1"/>
      <c r="C208" s="1"/>
      <c r="D208" s="1"/>
      <c r="E208" s="1"/>
      <c r="F208" s="1"/>
      <c r="G208" s="1"/>
      <c r="H208" s="1"/>
      <c r="I208" s="1"/>
      <c r="J208" s="2"/>
      <c r="K208" s="1"/>
      <c r="L208" s="3"/>
      <c r="M208" s="1"/>
      <c r="AP208" s="1"/>
      <c r="AQ208" s="1"/>
      <c r="AR208" s="1"/>
      <c r="AS208" s="1"/>
      <c r="AT208" s="1"/>
    </row>
    <row r="209" spans="1:46" s="18" customFormat="1" x14ac:dyDescent="0.2">
      <c r="A209" s="1"/>
      <c r="B209" s="1"/>
      <c r="C209" s="1"/>
      <c r="D209" s="1"/>
      <c r="E209" s="1"/>
      <c r="F209" s="1"/>
      <c r="G209" s="1"/>
      <c r="H209" s="1"/>
      <c r="I209" s="1"/>
      <c r="J209" s="2"/>
      <c r="K209" s="1"/>
      <c r="L209" s="3"/>
      <c r="M209" s="1"/>
      <c r="AP209" s="1"/>
      <c r="AQ209" s="1"/>
      <c r="AR209" s="1"/>
      <c r="AS209" s="1"/>
      <c r="AT209" s="1"/>
    </row>
    <row r="210" spans="1:46" s="18" customFormat="1" x14ac:dyDescent="0.2">
      <c r="A210" s="1"/>
      <c r="B210" s="1"/>
      <c r="C210" s="1"/>
      <c r="D210" s="1"/>
      <c r="E210" s="1"/>
      <c r="F210" s="1"/>
      <c r="G210" s="1"/>
      <c r="H210" s="1"/>
      <c r="I210" s="1"/>
      <c r="J210" s="2"/>
      <c r="K210" s="1"/>
      <c r="L210" s="3"/>
      <c r="M210" s="1"/>
      <c r="AP210" s="1"/>
      <c r="AQ210" s="1"/>
      <c r="AR210" s="1"/>
      <c r="AS210" s="1"/>
      <c r="AT210" s="1"/>
    </row>
    <row r="211" spans="1:46" s="18" customFormat="1" x14ac:dyDescent="0.2">
      <c r="A211" s="1"/>
      <c r="B211" s="1"/>
      <c r="C211" s="1"/>
      <c r="D211" s="1"/>
      <c r="E211" s="1"/>
      <c r="F211" s="1"/>
      <c r="G211" s="1"/>
      <c r="H211" s="1"/>
      <c r="I211" s="1"/>
      <c r="J211" s="2"/>
      <c r="K211" s="1"/>
      <c r="L211" s="3"/>
      <c r="M211" s="1"/>
      <c r="AP211" s="1"/>
      <c r="AQ211" s="1"/>
      <c r="AR211" s="1"/>
      <c r="AS211" s="1"/>
      <c r="AT211" s="1"/>
    </row>
    <row r="212" spans="1:46" s="18" customFormat="1" x14ac:dyDescent="0.2">
      <c r="A212" s="1"/>
      <c r="B212" s="1"/>
      <c r="C212" s="1"/>
      <c r="D212" s="1"/>
      <c r="E212" s="1"/>
      <c r="F212" s="1"/>
      <c r="G212" s="1"/>
      <c r="H212" s="1"/>
      <c r="I212" s="1"/>
      <c r="J212" s="2"/>
      <c r="K212" s="1"/>
      <c r="L212" s="3"/>
      <c r="M212" s="1"/>
      <c r="AP212" s="1"/>
      <c r="AQ212" s="1"/>
      <c r="AR212" s="1"/>
      <c r="AS212" s="1"/>
      <c r="AT212" s="1"/>
    </row>
    <row r="213" spans="1:46" s="18" customFormat="1" x14ac:dyDescent="0.2">
      <c r="A213" s="1"/>
      <c r="B213" s="1"/>
      <c r="C213" s="1"/>
      <c r="D213" s="1"/>
      <c r="E213" s="1"/>
      <c r="F213" s="1"/>
      <c r="G213" s="1"/>
      <c r="H213" s="1"/>
      <c r="I213" s="1"/>
      <c r="J213" s="2"/>
      <c r="K213" s="1"/>
      <c r="L213" s="3"/>
      <c r="M213" s="1"/>
      <c r="AP213" s="1"/>
      <c r="AQ213" s="1"/>
      <c r="AR213" s="1"/>
      <c r="AS213" s="1"/>
      <c r="AT213" s="1"/>
    </row>
    <row r="214" spans="1:46" s="18" customFormat="1" x14ac:dyDescent="0.2">
      <c r="A214" s="1"/>
      <c r="B214" s="1"/>
      <c r="C214" s="1"/>
      <c r="D214" s="1"/>
      <c r="E214" s="1"/>
      <c r="F214" s="1"/>
      <c r="G214" s="1"/>
      <c r="H214" s="1"/>
      <c r="I214" s="1"/>
      <c r="J214" s="2"/>
      <c r="K214" s="1"/>
      <c r="L214" s="3"/>
      <c r="M214" s="1"/>
      <c r="AP214" s="1"/>
      <c r="AQ214" s="1"/>
      <c r="AR214" s="1"/>
      <c r="AS214" s="1"/>
      <c r="AT214" s="1"/>
    </row>
    <row r="215" spans="1:46" s="18" customFormat="1" x14ac:dyDescent="0.2">
      <c r="A215" s="1"/>
      <c r="B215" s="1"/>
      <c r="C215" s="1"/>
      <c r="D215" s="1"/>
      <c r="E215" s="1"/>
      <c r="F215" s="1"/>
      <c r="G215" s="1"/>
      <c r="H215" s="1"/>
      <c r="I215" s="1"/>
      <c r="J215" s="2"/>
      <c r="K215" s="1"/>
      <c r="L215" s="3"/>
      <c r="M215" s="1"/>
      <c r="AP215" s="1"/>
      <c r="AQ215" s="1"/>
      <c r="AR215" s="1"/>
      <c r="AS215" s="1"/>
      <c r="AT215" s="1"/>
    </row>
    <row r="216" spans="1:46" s="18" customFormat="1" x14ac:dyDescent="0.2">
      <c r="A216" s="1"/>
      <c r="B216" s="1"/>
      <c r="C216" s="1"/>
      <c r="D216" s="1"/>
      <c r="E216" s="1"/>
      <c r="F216" s="1"/>
      <c r="G216" s="1"/>
      <c r="H216" s="1"/>
      <c r="I216" s="1"/>
      <c r="J216" s="2"/>
      <c r="K216" s="1"/>
      <c r="L216" s="3"/>
      <c r="M216" s="1"/>
      <c r="AP216" s="1"/>
      <c r="AQ216" s="1"/>
      <c r="AR216" s="1"/>
      <c r="AS216" s="1"/>
      <c r="AT216" s="1"/>
    </row>
    <row r="217" spans="1:46" s="18" customFormat="1" x14ac:dyDescent="0.2">
      <c r="A217" s="1"/>
      <c r="B217" s="1"/>
      <c r="C217" s="1"/>
      <c r="D217" s="1"/>
      <c r="E217" s="1"/>
      <c r="F217" s="1"/>
      <c r="G217" s="1"/>
      <c r="H217" s="1"/>
      <c r="I217" s="1"/>
      <c r="J217" s="2"/>
      <c r="K217" s="1"/>
      <c r="L217" s="3"/>
      <c r="M217" s="1"/>
      <c r="AP217" s="1"/>
      <c r="AQ217" s="1"/>
      <c r="AR217" s="1"/>
      <c r="AS217" s="1"/>
      <c r="AT217" s="1"/>
    </row>
    <row r="218" spans="1:46" s="18" customFormat="1" x14ac:dyDescent="0.2">
      <c r="A218" s="1"/>
      <c r="B218" s="1"/>
      <c r="C218" s="1"/>
      <c r="D218" s="1"/>
      <c r="E218" s="1"/>
      <c r="F218" s="1"/>
      <c r="G218" s="1"/>
      <c r="H218" s="1"/>
      <c r="I218" s="1"/>
      <c r="J218" s="2"/>
      <c r="K218" s="1"/>
      <c r="L218" s="3"/>
      <c r="M218" s="1"/>
      <c r="AP218" s="1"/>
      <c r="AQ218" s="1"/>
      <c r="AR218" s="1"/>
      <c r="AS218" s="1"/>
      <c r="AT218" s="1"/>
    </row>
    <row r="219" spans="1:46" s="18" customFormat="1" x14ac:dyDescent="0.2">
      <c r="A219" s="1"/>
      <c r="B219" s="1"/>
      <c r="C219" s="1"/>
      <c r="D219" s="1"/>
      <c r="E219" s="1"/>
      <c r="F219" s="1"/>
      <c r="G219" s="1"/>
      <c r="H219" s="1"/>
      <c r="I219" s="1"/>
      <c r="J219" s="2"/>
      <c r="K219" s="1"/>
      <c r="L219" s="3"/>
      <c r="M219" s="1"/>
      <c r="AP219" s="1"/>
      <c r="AQ219" s="1"/>
      <c r="AR219" s="1"/>
      <c r="AS219" s="1"/>
      <c r="AT219" s="1"/>
    </row>
    <row r="220" spans="1:46" s="18" customFormat="1" x14ac:dyDescent="0.2">
      <c r="A220" s="1"/>
      <c r="B220" s="1"/>
      <c r="C220" s="1"/>
      <c r="D220" s="1"/>
      <c r="E220" s="1"/>
      <c r="F220" s="1"/>
      <c r="G220" s="1"/>
      <c r="H220" s="1"/>
      <c r="I220" s="1"/>
      <c r="J220" s="2"/>
      <c r="K220" s="1"/>
      <c r="L220" s="3"/>
      <c r="M220" s="1"/>
      <c r="AP220" s="1"/>
      <c r="AQ220" s="1"/>
      <c r="AR220" s="1"/>
      <c r="AS220" s="1"/>
      <c r="AT220" s="1"/>
    </row>
    <row r="221" spans="1:46" s="18" customFormat="1" x14ac:dyDescent="0.2">
      <c r="A221" s="1"/>
      <c r="B221" s="1"/>
      <c r="C221" s="1"/>
      <c r="D221" s="1"/>
      <c r="E221" s="1"/>
      <c r="F221" s="1"/>
      <c r="G221" s="1"/>
      <c r="H221" s="1"/>
      <c r="I221" s="1"/>
      <c r="J221" s="2"/>
      <c r="K221" s="1"/>
      <c r="L221" s="3"/>
      <c r="M221" s="1"/>
      <c r="AP221" s="1"/>
      <c r="AQ221" s="1"/>
      <c r="AR221" s="1"/>
      <c r="AS221" s="1"/>
      <c r="AT221" s="1"/>
    </row>
    <row r="222" spans="1:46" s="18" customFormat="1" x14ac:dyDescent="0.2">
      <c r="A222" s="1"/>
      <c r="B222" s="1"/>
      <c r="C222" s="1"/>
      <c r="D222" s="1"/>
      <c r="E222" s="1"/>
      <c r="F222" s="1"/>
      <c r="G222" s="1"/>
      <c r="H222" s="1"/>
      <c r="I222" s="1"/>
      <c r="J222" s="2"/>
      <c r="K222" s="1"/>
      <c r="L222" s="3"/>
      <c r="M222" s="1"/>
      <c r="AP222" s="1"/>
      <c r="AQ222" s="1"/>
      <c r="AR222" s="1"/>
      <c r="AS222" s="1"/>
      <c r="AT222" s="1"/>
    </row>
    <row r="223" spans="1:46" s="18" customFormat="1" x14ac:dyDescent="0.2">
      <c r="A223" s="1"/>
      <c r="B223" s="1"/>
      <c r="C223" s="1"/>
      <c r="D223" s="1"/>
      <c r="E223" s="1"/>
      <c r="F223" s="1"/>
      <c r="G223" s="1"/>
      <c r="H223" s="1"/>
      <c r="I223" s="1"/>
      <c r="J223" s="2"/>
      <c r="K223" s="1"/>
      <c r="L223" s="3"/>
      <c r="M223" s="1"/>
      <c r="AP223" s="1"/>
      <c r="AQ223" s="1"/>
      <c r="AR223" s="1"/>
      <c r="AS223" s="1"/>
      <c r="AT223" s="1"/>
    </row>
    <row r="224" spans="1:46" s="18" customFormat="1" x14ac:dyDescent="0.2">
      <c r="A224" s="1"/>
      <c r="B224" s="1"/>
      <c r="C224" s="1"/>
      <c r="D224" s="1"/>
      <c r="E224" s="1"/>
      <c r="F224" s="1"/>
      <c r="G224" s="1"/>
      <c r="H224" s="1"/>
      <c r="I224" s="1"/>
      <c r="J224" s="2"/>
      <c r="K224" s="1"/>
      <c r="L224" s="3"/>
      <c r="M224" s="1"/>
      <c r="AP224" s="1"/>
      <c r="AQ224" s="1"/>
      <c r="AR224" s="1"/>
      <c r="AS224" s="1"/>
      <c r="AT224" s="1"/>
    </row>
    <row r="225" spans="1:46" s="18" customFormat="1" x14ac:dyDescent="0.2">
      <c r="A225" s="1"/>
      <c r="B225" s="1"/>
      <c r="C225" s="1"/>
      <c r="D225" s="1"/>
      <c r="E225" s="1"/>
      <c r="F225" s="1"/>
      <c r="G225" s="1"/>
      <c r="H225" s="1"/>
      <c r="I225" s="1"/>
      <c r="J225" s="2"/>
      <c r="K225" s="1"/>
      <c r="L225" s="3"/>
      <c r="M225" s="1"/>
      <c r="AP225" s="1"/>
      <c r="AQ225" s="1"/>
      <c r="AR225" s="1"/>
      <c r="AS225" s="1"/>
      <c r="AT225" s="1"/>
    </row>
    <row r="226" spans="1:46" s="18" customFormat="1" x14ac:dyDescent="0.2">
      <c r="A226" s="1"/>
      <c r="B226" s="1"/>
      <c r="C226" s="1"/>
      <c r="D226" s="1"/>
      <c r="E226" s="1"/>
      <c r="F226" s="1"/>
      <c r="G226" s="1"/>
      <c r="H226" s="1"/>
      <c r="I226" s="1"/>
      <c r="J226" s="2"/>
      <c r="K226" s="1"/>
      <c r="L226" s="3"/>
      <c r="M226" s="1"/>
      <c r="AP226" s="1"/>
      <c r="AQ226" s="1"/>
      <c r="AR226" s="1"/>
      <c r="AS226" s="1"/>
      <c r="AT226" s="1"/>
    </row>
    <row r="227" spans="1:46" s="18" customFormat="1" x14ac:dyDescent="0.2">
      <c r="A227" s="1"/>
      <c r="B227" s="1"/>
      <c r="C227" s="1"/>
      <c r="D227" s="1"/>
      <c r="E227" s="1"/>
      <c r="F227" s="1"/>
      <c r="G227" s="1"/>
      <c r="H227" s="1"/>
      <c r="I227" s="1"/>
      <c r="J227" s="2"/>
      <c r="K227" s="1"/>
      <c r="L227" s="3"/>
      <c r="M227" s="1"/>
      <c r="AP227" s="1"/>
      <c r="AQ227" s="1"/>
      <c r="AR227" s="1"/>
      <c r="AS227" s="1"/>
      <c r="AT227" s="1"/>
    </row>
    <row r="228" spans="1:46" s="18" customFormat="1" x14ac:dyDescent="0.2">
      <c r="A228" s="1"/>
      <c r="B228" s="1"/>
      <c r="C228" s="1"/>
      <c r="D228" s="1"/>
      <c r="E228" s="1"/>
      <c r="F228" s="1"/>
      <c r="G228" s="1"/>
      <c r="H228" s="1"/>
      <c r="I228" s="1"/>
      <c r="J228" s="2"/>
      <c r="K228" s="1"/>
      <c r="L228" s="3"/>
      <c r="M228" s="1"/>
      <c r="AP228" s="1"/>
      <c r="AQ228" s="1"/>
      <c r="AR228" s="1"/>
      <c r="AS228" s="1"/>
      <c r="AT228" s="1"/>
    </row>
    <row r="229" spans="1:46" s="18" customFormat="1" x14ac:dyDescent="0.2">
      <c r="A229" s="1"/>
      <c r="B229" s="1"/>
      <c r="C229" s="1"/>
      <c r="D229" s="1"/>
      <c r="E229" s="1"/>
      <c r="F229" s="1"/>
      <c r="G229" s="1"/>
      <c r="H229" s="1"/>
      <c r="I229" s="1"/>
      <c r="J229" s="2"/>
      <c r="K229" s="1"/>
      <c r="L229" s="3"/>
      <c r="M229" s="1"/>
      <c r="AP229" s="1"/>
      <c r="AQ229" s="1"/>
      <c r="AR229" s="1"/>
      <c r="AS229" s="1"/>
      <c r="AT229" s="1"/>
    </row>
    <row r="230" spans="1:46" s="18" customFormat="1" x14ac:dyDescent="0.2">
      <c r="A230" s="1"/>
      <c r="B230" s="1"/>
      <c r="C230" s="1"/>
      <c r="D230" s="1"/>
      <c r="E230" s="1"/>
      <c r="F230" s="1"/>
      <c r="G230" s="1"/>
      <c r="H230" s="1"/>
      <c r="I230" s="1"/>
      <c r="J230" s="2"/>
      <c r="K230" s="1"/>
      <c r="L230" s="3"/>
      <c r="M230" s="1"/>
      <c r="AP230" s="1"/>
      <c r="AQ230" s="1"/>
      <c r="AR230" s="1"/>
      <c r="AS230" s="1"/>
      <c r="AT230" s="1"/>
    </row>
    <row r="231" spans="1:46" s="18" customFormat="1" x14ac:dyDescent="0.2">
      <c r="A231" s="1"/>
      <c r="B231" s="1"/>
      <c r="C231" s="1"/>
      <c r="D231" s="1"/>
      <c r="E231" s="1"/>
      <c r="F231" s="1"/>
      <c r="G231" s="1"/>
      <c r="H231" s="1"/>
      <c r="I231" s="1"/>
      <c r="J231" s="2"/>
      <c r="K231" s="1"/>
      <c r="L231" s="3"/>
      <c r="M231" s="1"/>
      <c r="AP231" s="1"/>
      <c r="AQ231" s="1"/>
      <c r="AR231" s="1"/>
      <c r="AS231" s="1"/>
      <c r="AT231" s="1"/>
    </row>
    <row r="232" spans="1:46" s="18" customFormat="1" x14ac:dyDescent="0.2">
      <c r="A232" s="1"/>
      <c r="B232" s="1"/>
      <c r="C232" s="1"/>
      <c r="D232" s="1"/>
      <c r="E232" s="1"/>
      <c r="F232" s="1"/>
      <c r="G232" s="1"/>
      <c r="H232" s="1"/>
      <c r="I232" s="1"/>
      <c r="J232" s="2"/>
      <c r="K232" s="1"/>
      <c r="L232" s="3"/>
      <c r="M232" s="1"/>
      <c r="AP232" s="1"/>
      <c r="AQ232" s="1"/>
      <c r="AR232" s="1"/>
      <c r="AS232" s="1"/>
      <c r="AT232" s="1"/>
    </row>
    <row r="233" spans="1:46" s="18" customFormat="1" x14ac:dyDescent="0.2">
      <c r="A233" s="1"/>
      <c r="B233" s="1"/>
      <c r="C233" s="1"/>
      <c r="D233" s="1"/>
      <c r="E233" s="1"/>
      <c r="F233" s="1"/>
      <c r="G233" s="1"/>
      <c r="H233" s="1"/>
      <c r="I233" s="1"/>
      <c r="J233" s="2"/>
      <c r="K233" s="1"/>
      <c r="L233" s="3"/>
      <c r="M233" s="1"/>
      <c r="AP233" s="1"/>
      <c r="AQ233" s="1"/>
      <c r="AR233" s="1"/>
      <c r="AS233" s="1"/>
      <c r="AT233" s="1"/>
    </row>
    <row r="234" spans="1:46" s="18" customFormat="1" x14ac:dyDescent="0.2">
      <c r="A234" s="1"/>
      <c r="B234" s="1"/>
      <c r="C234" s="1"/>
      <c r="D234" s="1"/>
      <c r="E234" s="1"/>
      <c r="F234" s="1"/>
      <c r="G234" s="1"/>
      <c r="H234" s="1"/>
      <c r="I234" s="1"/>
      <c r="J234" s="2"/>
      <c r="K234" s="1"/>
      <c r="L234" s="3"/>
      <c r="M234" s="1"/>
      <c r="AP234" s="1"/>
      <c r="AQ234" s="1"/>
      <c r="AR234" s="1"/>
      <c r="AS234" s="1"/>
      <c r="AT234" s="1"/>
    </row>
    <row r="235" spans="1:46" s="18" customFormat="1" x14ac:dyDescent="0.2">
      <c r="A235" s="1"/>
      <c r="B235" s="1"/>
      <c r="C235" s="1"/>
      <c r="D235" s="1"/>
      <c r="E235" s="1"/>
      <c r="F235" s="1"/>
      <c r="G235" s="1"/>
      <c r="H235" s="1"/>
      <c r="I235" s="1"/>
      <c r="J235" s="2"/>
      <c r="K235" s="1"/>
      <c r="L235" s="3"/>
      <c r="M235" s="1"/>
      <c r="AP235" s="1"/>
      <c r="AQ235" s="1"/>
      <c r="AR235" s="1"/>
      <c r="AS235" s="1"/>
      <c r="AT235" s="1"/>
    </row>
    <row r="236" spans="1:46" s="18" customFormat="1" x14ac:dyDescent="0.2">
      <c r="A236" s="1"/>
      <c r="B236" s="1"/>
      <c r="C236" s="1"/>
      <c r="D236" s="1"/>
      <c r="E236" s="1"/>
      <c r="F236" s="1"/>
      <c r="G236" s="1"/>
      <c r="H236" s="1"/>
      <c r="I236" s="1"/>
      <c r="J236" s="2"/>
      <c r="K236" s="1"/>
      <c r="L236" s="3"/>
      <c r="M236" s="1"/>
      <c r="AP236" s="1"/>
      <c r="AQ236" s="1"/>
      <c r="AR236" s="1"/>
      <c r="AS236" s="1"/>
      <c r="AT236" s="1"/>
    </row>
    <row r="237" spans="1:46" s="18" customFormat="1" x14ac:dyDescent="0.2">
      <c r="A237" s="1"/>
      <c r="B237" s="1"/>
      <c r="C237" s="1"/>
      <c r="D237" s="1"/>
      <c r="E237" s="1"/>
      <c r="F237" s="1"/>
      <c r="G237" s="1"/>
      <c r="H237" s="1"/>
      <c r="I237" s="1"/>
      <c r="J237" s="2"/>
      <c r="K237" s="1"/>
      <c r="L237" s="3"/>
      <c r="M237" s="1"/>
      <c r="AP237" s="1"/>
      <c r="AQ237" s="1"/>
      <c r="AR237" s="1"/>
      <c r="AS237" s="1"/>
      <c r="AT237" s="1"/>
    </row>
    <row r="238" spans="1:46" s="18" customFormat="1" x14ac:dyDescent="0.2">
      <c r="A238" s="1"/>
      <c r="B238" s="1"/>
      <c r="C238" s="1"/>
      <c r="D238" s="1"/>
      <c r="E238" s="1"/>
      <c r="F238" s="1"/>
      <c r="G238" s="1"/>
      <c r="H238" s="1"/>
      <c r="I238" s="1"/>
      <c r="J238" s="2"/>
      <c r="K238" s="1"/>
      <c r="L238" s="3"/>
      <c r="M238" s="1"/>
      <c r="AP238" s="1"/>
      <c r="AQ238" s="1"/>
      <c r="AR238" s="1"/>
      <c r="AS238" s="1"/>
      <c r="AT238" s="1"/>
    </row>
    <row r="239" spans="1:46" s="18" customFormat="1" x14ac:dyDescent="0.2">
      <c r="A239" s="1"/>
      <c r="B239" s="1"/>
      <c r="C239" s="1"/>
      <c r="D239" s="1"/>
      <c r="E239" s="1"/>
      <c r="F239" s="1"/>
      <c r="G239" s="1"/>
      <c r="H239" s="1"/>
      <c r="I239" s="1"/>
      <c r="J239" s="2"/>
      <c r="K239" s="1"/>
      <c r="L239" s="3"/>
      <c r="M239" s="1"/>
      <c r="AP239" s="1"/>
      <c r="AQ239" s="1"/>
      <c r="AR239" s="1"/>
      <c r="AS239" s="1"/>
      <c r="AT239" s="1"/>
    </row>
    <row r="240" spans="1:46" s="18" customFormat="1" x14ac:dyDescent="0.2">
      <c r="A240" s="1"/>
      <c r="B240" s="1"/>
      <c r="C240" s="1"/>
      <c r="D240" s="1"/>
      <c r="E240" s="1"/>
      <c r="F240" s="1"/>
      <c r="G240" s="1"/>
      <c r="H240" s="1"/>
      <c r="I240" s="1"/>
      <c r="J240" s="2"/>
      <c r="K240" s="1"/>
      <c r="L240" s="3"/>
      <c r="M240" s="1"/>
      <c r="AP240" s="1"/>
      <c r="AQ240" s="1"/>
      <c r="AR240" s="1"/>
      <c r="AS240" s="1"/>
      <c r="AT240" s="1"/>
    </row>
    <row r="241" spans="1:46" s="18" customFormat="1" x14ac:dyDescent="0.2">
      <c r="A241" s="1"/>
      <c r="B241" s="1"/>
      <c r="C241" s="1"/>
      <c r="D241" s="1"/>
      <c r="E241" s="1"/>
      <c r="F241" s="1"/>
      <c r="G241" s="1"/>
      <c r="H241" s="1"/>
      <c r="I241" s="1"/>
      <c r="J241" s="2"/>
      <c r="K241" s="1"/>
      <c r="L241" s="3"/>
      <c r="M241" s="1"/>
      <c r="AP241" s="1"/>
      <c r="AQ241" s="1"/>
      <c r="AR241" s="1"/>
      <c r="AS241" s="1"/>
      <c r="AT241" s="1"/>
    </row>
    <row r="242" spans="1:46" s="18" customFormat="1" x14ac:dyDescent="0.2">
      <c r="A242" s="1"/>
      <c r="B242" s="1"/>
      <c r="C242" s="1"/>
      <c r="D242" s="1"/>
      <c r="E242" s="1"/>
      <c r="F242" s="1"/>
      <c r="G242" s="1"/>
      <c r="H242" s="1"/>
      <c r="I242" s="1"/>
      <c r="J242" s="2"/>
      <c r="K242" s="1"/>
      <c r="L242" s="3"/>
      <c r="M242" s="1"/>
      <c r="AP242" s="1"/>
      <c r="AQ242" s="1"/>
      <c r="AR242" s="1"/>
      <c r="AS242" s="1"/>
      <c r="AT242" s="1"/>
    </row>
    <row r="243" spans="1:46" s="18" customFormat="1" x14ac:dyDescent="0.2">
      <c r="A243" s="1"/>
      <c r="B243" s="1"/>
      <c r="C243" s="1"/>
      <c r="D243" s="1"/>
      <c r="E243" s="1"/>
      <c r="F243" s="1"/>
      <c r="G243" s="1"/>
      <c r="H243" s="1"/>
      <c r="I243" s="1"/>
      <c r="J243" s="2"/>
      <c r="K243" s="1"/>
      <c r="L243" s="3"/>
      <c r="M243" s="1"/>
      <c r="AP243" s="1"/>
      <c r="AQ243" s="1"/>
      <c r="AR243" s="1"/>
      <c r="AS243" s="1"/>
      <c r="AT243" s="1"/>
    </row>
    <row r="244" spans="1:46" s="18" customFormat="1" x14ac:dyDescent="0.2">
      <c r="A244" s="1"/>
      <c r="B244" s="1"/>
      <c r="C244" s="1"/>
      <c r="D244" s="1"/>
      <c r="E244" s="1"/>
      <c r="F244" s="1"/>
      <c r="G244" s="1"/>
      <c r="H244" s="1"/>
      <c r="I244" s="1"/>
      <c r="J244" s="2"/>
      <c r="K244" s="1"/>
      <c r="L244" s="3"/>
      <c r="M244" s="1"/>
      <c r="AP244" s="1"/>
      <c r="AQ244" s="1"/>
      <c r="AR244" s="1"/>
      <c r="AS244" s="1"/>
      <c r="AT244" s="1"/>
    </row>
    <row r="245" spans="1:46" s="18" customFormat="1" x14ac:dyDescent="0.2">
      <c r="A245" s="1"/>
      <c r="B245" s="1"/>
      <c r="C245" s="1"/>
      <c r="D245" s="1"/>
      <c r="E245" s="1"/>
      <c r="F245" s="1"/>
      <c r="G245" s="1"/>
      <c r="H245" s="1"/>
      <c r="I245" s="1"/>
      <c r="J245" s="2"/>
      <c r="K245" s="1"/>
      <c r="L245" s="3"/>
      <c r="M245" s="1"/>
      <c r="AP245" s="1"/>
      <c r="AQ245" s="1"/>
      <c r="AR245" s="1"/>
      <c r="AS245" s="1"/>
      <c r="AT245" s="1"/>
    </row>
    <row r="246" spans="1:46" s="18" customFormat="1" x14ac:dyDescent="0.2">
      <c r="A246" s="1"/>
      <c r="B246" s="1"/>
      <c r="C246" s="1"/>
      <c r="D246" s="1"/>
      <c r="E246" s="1"/>
      <c r="F246" s="1"/>
      <c r="G246" s="1"/>
      <c r="H246" s="1"/>
      <c r="I246" s="1"/>
      <c r="J246" s="2"/>
      <c r="K246" s="1"/>
      <c r="L246" s="3"/>
      <c r="M246" s="1"/>
      <c r="AP246" s="1"/>
      <c r="AQ246" s="1"/>
      <c r="AR246" s="1"/>
      <c r="AS246" s="1"/>
      <c r="AT246" s="1"/>
    </row>
    <row r="247" spans="1:46" s="18" customFormat="1" x14ac:dyDescent="0.2">
      <c r="A247" s="1"/>
      <c r="B247" s="1"/>
      <c r="C247" s="1"/>
      <c r="D247" s="1"/>
      <c r="E247" s="1"/>
      <c r="F247" s="1"/>
      <c r="G247" s="1"/>
      <c r="H247" s="1"/>
      <c r="I247" s="1"/>
      <c r="J247" s="2"/>
      <c r="K247" s="1"/>
      <c r="L247" s="3"/>
      <c r="M247" s="1"/>
      <c r="AP247" s="1"/>
      <c r="AQ247" s="1"/>
      <c r="AR247" s="1"/>
      <c r="AS247" s="1"/>
      <c r="AT247" s="1"/>
    </row>
    <row r="248" spans="1:46" s="18" customFormat="1" x14ac:dyDescent="0.2">
      <c r="A248" s="1"/>
      <c r="B248" s="1"/>
      <c r="C248" s="1"/>
      <c r="D248" s="1"/>
      <c r="E248" s="1"/>
      <c r="F248" s="1"/>
      <c r="G248" s="1"/>
      <c r="H248" s="1"/>
      <c r="I248" s="1"/>
      <c r="J248" s="2"/>
      <c r="K248" s="1"/>
      <c r="L248" s="3"/>
      <c r="M248" s="1"/>
      <c r="AP248" s="1"/>
      <c r="AQ248" s="1"/>
      <c r="AR248" s="1"/>
      <c r="AS248" s="1"/>
      <c r="AT248" s="1"/>
    </row>
    <row r="249" spans="1:46" s="18" customFormat="1" x14ac:dyDescent="0.2">
      <c r="A249" s="1"/>
      <c r="B249" s="1"/>
      <c r="C249" s="1"/>
      <c r="D249" s="1"/>
      <c r="E249" s="1"/>
      <c r="F249" s="1"/>
      <c r="G249" s="1"/>
      <c r="H249" s="1"/>
      <c r="I249" s="1"/>
      <c r="J249" s="2"/>
      <c r="K249" s="1"/>
      <c r="L249" s="3"/>
      <c r="M249" s="1"/>
      <c r="AP249" s="1"/>
      <c r="AQ249" s="1"/>
      <c r="AR249" s="1"/>
      <c r="AS249" s="1"/>
      <c r="AT249" s="1"/>
    </row>
    <row r="250" spans="1:46" s="18" customFormat="1" x14ac:dyDescent="0.2">
      <c r="A250" s="1"/>
      <c r="B250" s="1"/>
      <c r="C250" s="1"/>
      <c r="D250" s="1"/>
      <c r="E250" s="1"/>
      <c r="F250" s="1"/>
      <c r="G250" s="1"/>
      <c r="H250" s="1"/>
      <c r="I250" s="1"/>
      <c r="J250" s="2"/>
      <c r="K250" s="1"/>
      <c r="L250" s="3"/>
      <c r="M250" s="1"/>
      <c r="AP250" s="1"/>
      <c r="AQ250" s="1"/>
      <c r="AR250" s="1"/>
      <c r="AS250" s="1"/>
      <c r="AT250" s="1"/>
    </row>
    <row r="251" spans="1:46" s="18" customFormat="1" x14ac:dyDescent="0.2">
      <c r="A251" s="1"/>
      <c r="B251" s="1"/>
      <c r="C251" s="1"/>
      <c r="D251" s="1"/>
      <c r="E251" s="1"/>
      <c r="F251" s="1"/>
      <c r="G251" s="1"/>
      <c r="H251" s="1"/>
      <c r="I251" s="1"/>
      <c r="J251" s="2"/>
      <c r="K251" s="1"/>
      <c r="L251" s="3"/>
      <c r="M251" s="1"/>
      <c r="AP251" s="1"/>
      <c r="AQ251" s="1"/>
      <c r="AR251" s="1"/>
      <c r="AS251" s="1"/>
      <c r="AT251" s="1"/>
    </row>
    <row r="252" spans="1:46" s="18" customFormat="1" x14ac:dyDescent="0.2">
      <c r="A252" s="1"/>
      <c r="B252" s="1"/>
      <c r="C252" s="1"/>
      <c r="D252" s="1"/>
      <c r="E252" s="1"/>
      <c r="F252" s="1"/>
      <c r="G252" s="1"/>
      <c r="H252" s="1"/>
      <c r="I252" s="1"/>
      <c r="J252" s="2"/>
      <c r="K252" s="1"/>
      <c r="L252" s="3"/>
      <c r="M252" s="1"/>
      <c r="AP252" s="1"/>
      <c r="AQ252" s="1"/>
      <c r="AR252" s="1"/>
      <c r="AS252" s="1"/>
      <c r="AT252" s="1"/>
    </row>
    <row r="253" spans="1:46" s="18" customFormat="1" x14ac:dyDescent="0.2">
      <c r="A253" s="1"/>
      <c r="B253" s="1"/>
      <c r="C253" s="1"/>
      <c r="D253" s="1"/>
      <c r="E253" s="1"/>
      <c r="F253" s="1"/>
      <c r="G253" s="1"/>
      <c r="H253" s="1"/>
      <c r="I253" s="1"/>
      <c r="J253" s="2"/>
      <c r="K253" s="1"/>
      <c r="L253" s="3"/>
      <c r="M253" s="1"/>
      <c r="AP253" s="1"/>
      <c r="AQ253" s="1"/>
      <c r="AR253" s="1"/>
      <c r="AS253" s="1"/>
      <c r="AT253" s="1"/>
    </row>
    <row r="254" spans="1:46" s="18" customFormat="1" x14ac:dyDescent="0.2">
      <c r="A254" s="1"/>
      <c r="B254" s="1"/>
      <c r="C254" s="1"/>
      <c r="D254" s="1"/>
      <c r="E254" s="1"/>
      <c r="F254" s="1"/>
      <c r="G254" s="1"/>
      <c r="H254" s="1"/>
      <c r="I254" s="1"/>
      <c r="J254" s="2"/>
      <c r="K254" s="1"/>
      <c r="L254" s="3"/>
      <c r="M254" s="1"/>
      <c r="AP254" s="1"/>
      <c r="AQ254" s="1"/>
      <c r="AR254" s="1"/>
      <c r="AS254" s="1"/>
      <c r="AT254" s="1"/>
    </row>
    <row r="255" spans="1:46" s="18" customFormat="1" x14ac:dyDescent="0.2">
      <c r="A255" s="1"/>
      <c r="B255" s="1"/>
      <c r="C255" s="1"/>
      <c r="D255" s="1"/>
      <c r="E255" s="1"/>
      <c r="F255" s="1"/>
      <c r="G255" s="1"/>
      <c r="H255" s="1"/>
      <c r="I255" s="1"/>
      <c r="J255" s="2"/>
      <c r="K255" s="1"/>
      <c r="L255" s="3"/>
      <c r="M255" s="1"/>
      <c r="AP255" s="1"/>
      <c r="AQ255" s="1"/>
      <c r="AR255" s="1"/>
      <c r="AS255" s="1"/>
      <c r="AT255" s="1"/>
    </row>
    <row r="256" spans="1:46" s="18" customFormat="1" x14ac:dyDescent="0.2">
      <c r="A256" s="1"/>
      <c r="B256" s="1"/>
      <c r="C256" s="1"/>
      <c r="D256" s="1"/>
      <c r="E256" s="1"/>
      <c r="F256" s="1"/>
      <c r="G256" s="1"/>
      <c r="H256" s="1"/>
      <c r="I256" s="1"/>
      <c r="J256" s="2"/>
      <c r="K256" s="1"/>
      <c r="L256" s="3"/>
      <c r="M256" s="1"/>
      <c r="AP256" s="1"/>
      <c r="AQ256" s="1"/>
      <c r="AR256" s="1"/>
      <c r="AS256" s="1"/>
      <c r="AT256" s="1"/>
    </row>
    <row r="257" spans="1:46" s="18" customFormat="1" x14ac:dyDescent="0.2">
      <c r="A257" s="1"/>
      <c r="B257" s="1"/>
      <c r="C257" s="1"/>
      <c r="D257" s="1"/>
      <c r="E257" s="1"/>
      <c r="F257" s="1"/>
      <c r="G257" s="1"/>
      <c r="H257" s="1"/>
      <c r="I257" s="1"/>
      <c r="J257" s="2"/>
      <c r="K257" s="1"/>
      <c r="L257" s="3"/>
      <c r="M257" s="1"/>
      <c r="AP257" s="1"/>
      <c r="AQ257" s="1"/>
      <c r="AR257" s="1"/>
      <c r="AS257" s="1"/>
      <c r="AT257" s="1"/>
    </row>
    <row r="258" spans="1:46" s="18" customFormat="1" x14ac:dyDescent="0.2">
      <c r="A258" s="1"/>
      <c r="B258" s="1"/>
      <c r="C258" s="1"/>
      <c r="D258" s="1"/>
      <c r="E258" s="1"/>
      <c r="F258" s="1"/>
      <c r="G258" s="1"/>
      <c r="H258" s="1"/>
      <c r="I258" s="1"/>
      <c r="J258" s="2"/>
      <c r="K258" s="1"/>
      <c r="L258" s="3"/>
      <c r="M258" s="1"/>
      <c r="AP258" s="1"/>
      <c r="AQ258" s="1"/>
      <c r="AR258" s="1"/>
      <c r="AS258" s="1"/>
      <c r="AT258" s="1"/>
    </row>
    <row r="259" spans="1:46" s="18" customFormat="1" x14ac:dyDescent="0.2">
      <c r="A259" s="1"/>
      <c r="B259" s="1"/>
      <c r="C259" s="1"/>
      <c r="D259" s="1"/>
      <c r="E259" s="1"/>
      <c r="F259" s="1"/>
      <c r="G259" s="1"/>
      <c r="H259" s="1"/>
      <c r="I259" s="1"/>
      <c r="J259" s="2"/>
      <c r="K259" s="1"/>
      <c r="L259" s="3"/>
      <c r="M259" s="1"/>
      <c r="AP259" s="1"/>
      <c r="AQ259" s="1"/>
      <c r="AR259" s="1"/>
      <c r="AS259" s="1"/>
      <c r="AT259" s="1"/>
    </row>
    <row r="260" spans="1:46" s="18" customFormat="1" x14ac:dyDescent="0.2">
      <c r="A260" s="1"/>
      <c r="B260" s="1"/>
      <c r="C260" s="1"/>
      <c r="D260" s="1"/>
      <c r="E260" s="1"/>
      <c r="F260" s="1"/>
      <c r="G260" s="1"/>
      <c r="H260" s="1"/>
      <c r="I260" s="1"/>
      <c r="J260" s="2"/>
      <c r="K260" s="1"/>
      <c r="L260" s="3"/>
      <c r="M260" s="1"/>
      <c r="AP260" s="1"/>
      <c r="AQ260" s="1"/>
      <c r="AR260" s="1"/>
      <c r="AS260" s="1"/>
      <c r="AT260" s="1"/>
    </row>
    <row r="261" spans="1:46" s="18" customFormat="1" x14ac:dyDescent="0.2">
      <c r="A261" s="1"/>
      <c r="B261" s="1"/>
      <c r="C261" s="1"/>
      <c r="D261" s="1"/>
      <c r="E261" s="1"/>
      <c r="F261" s="1"/>
      <c r="G261" s="1"/>
      <c r="H261" s="1"/>
      <c r="I261" s="1"/>
      <c r="J261" s="2"/>
      <c r="K261" s="1"/>
      <c r="L261" s="3"/>
      <c r="M261" s="1"/>
      <c r="AP261" s="1"/>
      <c r="AQ261" s="1"/>
      <c r="AR261" s="1"/>
      <c r="AS261" s="1"/>
      <c r="AT261" s="1"/>
    </row>
    <row r="262" spans="1:46" s="18" customFormat="1" x14ac:dyDescent="0.2">
      <c r="A262" s="1"/>
      <c r="B262" s="1"/>
      <c r="C262" s="1"/>
      <c r="D262" s="1"/>
      <c r="E262" s="1"/>
      <c r="F262" s="1"/>
      <c r="G262" s="1"/>
      <c r="H262" s="1"/>
      <c r="I262" s="1"/>
      <c r="J262" s="2"/>
      <c r="K262" s="1"/>
      <c r="L262" s="3"/>
      <c r="M262" s="1"/>
      <c r="AP262" s="1"/>
      <c r="AQ262" s="1"/>
      <c r="AR262" s="1"/>
      <c r="AS262" s="1"/>
      <c r="AT262" s="1"/>
    </row>
    <row r="263" spans="1:46" s="18" customFormat="1" x14ac:dyDescent="0.2">
      <c r="A263" s="1"/>
      <c r="B263" s="1"/>
      <c r="C263" s="1"/>
      <c r="D263" s="1"/>
      <c r="E263" s="1"/>
      <c r="F263" s="1"/>
      <c r="G263" s="1"/>
      <c r="H263" s="1"/>
      <c r="I263" s="1"/>
      <c r="J263" s="2"/>
      <c r="K263" s="1"/>
      <c r="L263" s="3"/>
      <c r="M263" s="1"/>
      <c r="AP263" s="1"/>
      <c r="AQ263" s="1"/>
      <c r="AR263" s="1"/>
      <c r="AS263" s="1"/>
      <c r="AT263" s="1"/>
    </row>
    <row r="264" spans="1:46" s="18" customFormat="1" x14ac:dyDescent="0.2">
      <c r="A264" s="1"/>
      <c r="B264" s="1"/>
      <c r="C264" s="1"/>
      <c r="D264" s="1"/>
      <c r="E264" s="1"/>
      <c r="F264" s="1"/>
      <c r="G264" s="1"/>
      <c r="H264" s="1"/>
      <c r="I264" s="1"/>
      <c r="J264" s="2"/>
      <c r="K264" s="1"/>
      <c r="L264" s="3"/>
      <c r="M264" s="1"/>
      <c r="AP264" s="1"/>
      <c r="AQ264" s="1"/>
      <c r="AR264" s="1"/>
      <c r="AS264" s="1"/>
      <c r="AT264" s="1"/>
    </row>
    <row r="265" spans="1:46" s="18" customFormat="1" x14ac:dyDescent="0.2">
      <c r="A265" s="1"/>
      <c r="B265" s="1"/>
      <c r="C265" s="1"/>
      <c r="D265" s="1"/>
      <c r="E265" s="1"/>
      <c r="F265" s="1"/>
      <c r="G265" s="1"/>
      <c r="H265" s="1"/>
      <c r="I265" s="1"/>
      <c r="J265" s="2"/>
      <c r="K265" s="1"/>
      <c r="L265" s="3"/>
      <c r="M265" s="1"/>
      <c r="AP265" s="1"/>
      <c r="AQ265" s="1"/>
      <c r="AR265" s="1"/>
      <c r="AS265" s="1"/>
      <c r="AT265" s="1"/>
    </row>
    <row r="266" spans="1:46" s="18" customFormat="1" x14ac:dyDescent="0.2">
      <c r="A266" s="1"/>
      <c r="B266" s="1"/>
      <c r="C266" s="1"/>
      <c r="D266" s="1"/>
      <c r="E266" s="1"/>
      <c r="F266" s="1"/>
      <c r="G266" s="1"/>
      <c r="H266" s="1"/>
      <c r="I266" s="1"/>
      <c r="J266" s="2"/>
      <c r="K266" s="1"/>
      <c r="L266" s="3"/>
      <c r="M266" s="1"/>
      <c r="AP266" s="1"/>
      <c r="AQ266" s="1"/>
      <c r="AR266" s="1"/>
      <c r="AS266" s="1"/>
      <c r="AT266" s="1"/>
    </row>
    <row r="267" spans="1:46" s="18" customFormat="1" x14ac:dyDescent="0.2">
      <c r="A267" s="1"/>
      <c r="B267" s="1"/>
      <c r="C267" s="1"/>
      <c r="D267" s="1"/>
      <c r="E267" s="1"/>
      <c r="F267" s="1"/>
      <c r="G267" s="1"/>
      <c r="H267" s="1"/>
      <c r="I267" s="1"/>
      <c r="J267" s="2"/>
      <c r="K267" s="1"/>
      <c r="L267" s="3"/>
      <c r="M267" s="1"/>
      <c r="AP267" s="1"/>
      <c r="AQ267" s="1"/>
      <c r="AR267" s="1"/>
      <c r="AS267" s="1"/>
      <c r="AT267" s="1"/>
    </row>
    <row r="268" spans="1:46" s="18" customFormat="1" x14ac:dyDescent="0.2">
      <c r="A268" s="1"/>
      <c r="B268" s="1"/>
      <c r="C268" s="1"/>
      <c r="D268" s="1"/>
      <c r="E268" s="1"/>
      <c r="F268" s="1"/>
      <c r="G268" s="1"/>
      <c r="H268" s="1"/>
      <c r="I268" s="1"/>
      <c r="J268" s="2"/>
      <c r="K268" s="1"/>
      <c r="L268" s="3"/>
      <c r="M268" s="1"/>
      <c r="AP268" s="1"/>
      <c r="AQ268" s="1"/>
      <c r="AR268" s="1"/>
      <c r="AS268" s="1"/>
      <c r="AT268" s="1"/>
    </row>
    <row r="269" spans="1:46" s="18" customFormat="1" x14ac:dyDescent="0.2">
      <c r="A269" s="1"/>
      <c r="B269" s="1"/>
      <c r="C269" s="1"/>
      <c r="D269" s="1"/>
      <c r="E269" s="1"/>
      <c r="F269" s="1"/>
      <c r="G269" s="1"/>
      <c r="H269" s="1"/>
      <c r="I269" s="1"/>
      <c r="J269" s="2"/>
      <c r="K269" s="1"/>
      <c r="L269" s="3"/>
      <c r="M269" s="1"/>
      <c r="AP269" s="1"/>
      <c r="AQ269" s="1"/>
      <c r="AR269" s="1"/>
      <c r="AS269" s="1"/>
      <c r="AT269" s="1"/>
    </row>
    <row r="270" spans="1:46" s="18" customFormat="1" x14ac:dyDescent="0.2">
      <c r="A270" s="1"/>
      <c r="B270" s="1"/>
      <c r="C270" s="1"/>
      <c r="D270" s="1"/>
      <c r="E270" s="1"/>
      <c r="F270" s="1"/>
      <c r="G270" s="1"/>
      <c r="H270" s="1"/>
      <c r="I270" s="1"/>
      <c r="J270" s="2"/>
      <c r="K270" s="1"/>
      <c r="L270" s="3"/>
      <c r="M270" s="1"/>
      <c r="AP270" s="1"/>
      <c r="AQ270" s="1"/>
      <c r="AR270" s="1"/>
      <c r="AS270" s="1"/>
      <c r="AT270" s="1"/>
    </row>
    <row r="271" spans="1:46" s="18" customFormat="1" x14ac:dyDescent="0.2">
      <c r="A271" s="1"/>
      <c r="B271" s="1"/>
      <c r="C271" s="1"/>
      <c r="D271" s="1"/>
      <c r="E271" s="1"/>
      <c r="F271" s="1"/>
      <c r="G271" s="1"/>
      <c r="H271" s="1"/>
      <c r="I271" s="1"/>
      <c r="J271" s="2"/>
      <c r="K271" s="1"/>
      <c r="L271" s="3"/>
      <c r="M271" s="1"/>
      <c r="AP271" s="1"/>
      <c r="AQ271" s="1"/>
      <c r="AR271" s="1"/>
      <c r="AS271" s="1"/>
      <c r="AT271" s="1"/>
    </row>
    <row r="272" spans="1:46" s="18" customFormat="1" x14ac:dyDescent="0.2">
      <c r="A272" s="1"/>
      <c r="B272" s="1"/>
      <c r="C272" s="1"/>
      <c r="D272" s="1"/>
      <c r="E272" s="1"/>
      <c r="F272" s="1"/>
      <c r="G272" s="1"/>
      <c r="H272" s="1"/>
      <c r="I272" s="1"/>
      <c r="J272" s="2"/>
      <c r="K272" s="1"/>
      <c r="L272" s="3"/>
      <c r="M272" s="1"/>
      <c r="AP272" s="1"/>
      <c r="AQ272" s="1"/>
      <c r="AR272" s="1"/>
      <c r="AS272" s="1"/>
      <c r="AT272" s="1"/>
    </row>
    <row r="273" spans="1:46" s="18" customFormat="1" x14ac:dyDescent="0.2">
      <c r="A273" s="1"/>
      <c r="B273" s="1"/>
      <c r="C273" s="1"/>
      <c r="D273" s="1"/>
      <c r="E273" s="1"/>
      <c r="F273" s="1"/>
      <c r="G273" s="1"/>
      <c r="H273" s="1"/>
      <c r="I273" s="1"/>
      <c r="J273" s="2"/>
      <c r="K273" s="1"/>
      <c r="L273" s="3"/>
      <c r="M273" s="1"/>
      <c r="AP273" s="1"/>
      <c r="AQ273" s="1"/>
      <c r="AR273" s="1"/>
      <c r="AS273" s="1"/>
      <c r="AT273" s="1"/>
    </row>
    <row r="274" spans="1:46" s="18" customFormat="1" x14ac:dyDescent="0.2">
      <c r="A274" s="1"/>
      <c r="B274" s="1"/>
      <c r="C274" s="1"/>
      <c r="D274" s="1"/>
      <c r="E274" s="1"/>
      <c r="F274" s="1"/>
      <c r="G274" s="1"/>
      <c r="H274" s="1"/>
      <c r="I274" s="1"/>
      <c r="J274" s="2"/>
      <c r="K274" s="1"/>
      <c r="L274" s="3"/>
      <c r="M274" s="1"/>
      <c r="AP274" s="1"/>
      <c r="AQ274" s="1"/>
      <c r="AR274" s="1"/>
      <c r="AS274" s="1"/>
      <c r="AT274" s="1"/>
    </row>
    <row r="275" spans="1:46" s="18" customFormat="1" x14ac:dyDescent="0.2">
      <c r="A275" s="1"/>
      <c r="B275" s="1"/>
      <c r="C275" s="1"/>
      <c r="D275" s="1"/>
      <c r="E275" s="1"/>
      <c r="F275" s="1"/>
      <c r="G275" s="1"/>
      <c r="H275" s="1"/>
      <c r="I275" s="1"/>
      <c r="J275" s="2"/>
      <c r="K275" s="1"/>
      <c r="L275" s="3"/>
      <c r="M275" s="1"/>
      <c r="AP275" s="1"/>
      <c r="AQ275" s="1"/>
      <c r="AR275" s="1"/>
      <c r="AS275" s="1"/>
      <c r="AT275" s="1"/>
    </row>
    <row r="276" spans="1:46" s="18" customFormat="1" x14ac:dyDescent="0.2">
      <c r="A276" s="1"/>
      <c r="B276" s="1"/>
      <c r="C276" s="1"/>
      <c r="D276" s="1"/>
      <c r="E276" s="1"/>
      <c r="F276" s="1"/>
      <c r="G276" s="1"/>
      <c r="H276" s="1"/>
      <c r="I276" s="1"/>
      <c r="J276" s="2"/>
      <c r="K276" s="1"/>
      <c r="L276" s="3"/>
      <c r="M276" s="1"/>
      <c r="AP276" s="1"/>
      <c r="AQ276" s="1"/>
      <c r="AR276" s="1"/>
      <c r="AS276" s="1"/>
      <c r="AT276" s="1"/>
    </row>
    <row r="277" spans="1:46" s="18" customFormat="1" x14ac:dyDescent="0.2">
      <c r="A277" s="1"/>
      <c r="B277" s="1"/>
      <c r="C277" s="1"/>
      <c r="D277" s="1"/>
      <c r="E277" s="1"/>
      <c r="F277" s="1"/>
      <c r="G277" s="1"/>
      <c r="H277" s="1"/>
      <c r="I277" s="1"/>
      <c r="J277" s="2"/>
      <c r="K277" s="1"/>
      <c r="L277" s="3"/>
      <c r="M277" s="1"/>
      <c r="AP277" s="1"/>
      <c r="AQ277" s="1"/>
      <c r="AR277" s="1"/>
      <c r="AS277" s="1"/>
      <c r="AT277" s="1"/>
    </row>
    <row r="278" spans="1:46" s="18" customFormat="1" x14ac:dyDescent="0.2">
      <c r="A278" s="1"/>
      <c r="B278" s="1"/>
      <c r="C278" s="1"/>
      <c r="D278" s="1"/>
      <c r="E278" s="1"/>
      <c r="F278" s="1"/>
      <c r="G278" s="1"/>
      <c r="H278" s="1"/>
      <c r="I278" s="1"/>
      <c r="J278" s="2"/>
      <c r="K278" s="1"/>
      <c r="L278" s="3"/>
      <c r="M278" s="1"/>
      <c r="AP278" s="1"/>
      <c r="AQ278" s="1"/>
      <c r="AR278" s="1"/>
      <c r="AS278" s="1"/>
      <c r="AT278" s="1"/>
    </row>
    <row r="279" spans="1:46" s="18" customFormat="1" x14ac:dyDescent="0.2">
      <c r="A279" s="1"/>
      <c r="B279" s="1"/>
      <c r="C279" s="1"/>
      <c r="D279" s="1"/>
      <c r="E279" s="1"/>
      <c r="F279" s="1"/>
      <c r="G279" s="1"/>
      <c r="H279" s="1"/>
      <c r="I279" s="1"/>
      <c r="J279" s="2"/>
      <c r="K279" s="1"/>
      <c r="L279" s="3"/>
      <c r="M279" s="1"/>
      <c r="AP279" s="1"/>
      <c r="AQ279" s="1"/>
      <c r="AR279" s="1"/>
      <c r="AS279" s="1"/>
      <c r="AT279" s="1"/>
    </row>
    <row r="280" spans="1:46" s="18" customFormat="1" x14ac:dyDescent="0.2">
      <c r="A280" s="1"/>
      <c r="B280" s="1"/>
      <c r="C280" s="1"/>
      <c r="D280" s="1"/>
      <c r="E280" s="1"/>
      <c r="F280" s="1"/>
      <c r="G280" s="1"/>
      <c r="H280" s="1"/>
      <c r="I280" s="1"/>
      <c r="J280" s="2"/>
      <c r="K280" s="1"/>
      <c r="L280" s="3"/>
      <c r="M280" s="1"/>
      <c r="AP280" s="1"/>
      <c r="AQ280" s="1"/>
      <c r="AR280" s="1"/>
      <c r="AS280" s="1"/>
      <c r="AT280" s="1"/>
    </row>
    <row r="281" spans="1:46" s="18" customFormat="1" x14ac:dyDescent="0.2">
      <c r="A281" s="1"/>
      <c r="B281" s="1"/>
      <c r="C281" s="1"/>
      <c r="D281" s="1"/>
      <c r="E281" s="1"/>
      <c r="F281" s="1"/>
      <c r="G281" s="1"/>
      <c r="H281" s="1"/>
      <c r="I281" s="1"/>
      <c r="J281" s="2"/>
      <c r="K281" s="1"/>
      <c r="L281" s="3"/>
      <c r="M281" s="1"/>
      <c r="AP281" s="1"/>
      <c r="AQ281" s="1"/>
      <c r="AR281" s="1"/>
      <c r="AS281" s="1"/>
      <c r="AT281" s="1"/>
    </row>
    <row r="282" spans="1:46" s="18" customFormat="1" x14ac:dyDescent="0.2">
      <c r="A282" s="1"/>
      <c r="B282" s="1"/>
      <c r="C282" s="1"/>
      <c r="D282" s="1"/>
      <c r="E282" s="1"/>
      <c r="F282" s="1"/>
      <c r="G282" s="1"/>
      <c r="H282" s="1"/>
      <c r="I282" s="1"/>
      <c r="J282" s="2"/>
      <c r="K282" s="1"/>
      <c r="L282" s="3"/>
      <c r="M282" s="1"/>
      <c r="AP282" s="1"/>
      <c r="AQ282" s="1"/>
      <c r="AR282" s="1"/>
      <c r="AS282" s="1"/>
      <c r="AT282" s="1"/>
    </row>
    <row r="283" spans="1:46" s="18" customFormat="1" x14ac:dyDescent="0.2">
      <c r="A283" s="1"/>
      <c r="B283" s="1"/>
      <c r="C283" s="1"/>
      <c r="D283" s="1"/>
      <c r="E283" s="1"/>
      <c r="F283" s="1"/>
      <c r="G283" s="1"/>
      <c r="H283" s="1"/>
      <c r="I283" s="1"/>
      <c r="J283" s="2"/>
      <c r="K283" s="1"/>
      <c r="L283" s="3"/>
      <c r="M283" s="1"/>
      <c r="AP283" s="1"/>
      <c r="AQ283" s="1"/>
      <c r="AR283" s="1"/>
      <c r="AS283" s="1"/>
      <c r="AT283" s="1"/>
    </row>
    <row r="284" spans="1:46" s="18" customFormat="1" x14ac:dyDescent="0.2">
      <c r="A284" s="1"/>
      <c r="B284" s="1"/>
      <c r="C284" s="1"/>
      <c r="D284" s="1"/>
      <c r="E284" s="1"/>
      <c r="F284" s="1"/>
      <c r="G284" s="1"/>
      <c r="H284" s="1"/>
      <c r="I284" s="1"/>
      <c r="J284" s="2"/>
      <c r="K284" s="1"/>
      <c r="L284" s="3"/>
      <c r="M284" s="1"/>
      <c r="AP284" s="1"/>
      <c r="AQ284" s="1"/>
      <c r="AR284" s="1"/>
      <c r="AS284" s="1"/>
      <c r="AT284" s="1"/>
    </row>
    <row r="285" spans="1:46" s="18" customFormat="1" x14ac:dyDescent="0.2">
      <c r="A285" s="1"/>
      <c r="B285" s="1"/>
      <c r="C285" s="1"/>
      <c r="D285" s="1"/>
      <c r="E285" s="1"/>
      <c r="F285" s="1"/>
      <c r="G285" s="1"/>
      <c r="H285" s="1"/>
      <c r="I285" s="1"/>
      <c r="J285" s="2"/>
      <c r="K285" s="1"/>
      <c r="L285" s="3"/>
      <c r="M285" s="1"/>
      <c r="AP285" s="1"/>
      <c r="AQ285" s="1"/>
      <c r="AR285" s="1"/>
      <c r="AS285" s="1"/>
      <c r="AT285" s="1"/>
    </row>
    <row r="286" spans="1:46" s="18" customFormat="1" x14ac:dyDescent="0.2">
      <c r="A286" s="1"/>
      <c r="B286" s="1"/>
      <c r="C286" s="1"/>
      <c r="D286" s="1"/>
      <c r="E286" s="1"/>
      <c r="F286" s="1"/>
      <c r="G286" s="1"/>
      <c r="H286" s="1"/>
      <c r="I286" s="1"/>
      <c r="J286" s="2"/>
      <c r="K286" s="1"/>
      <c r="L286" s="3"/>
      <c r="M286" s="1"/>
      <c r="AP286" s="1"/>
      <c r="AQ286" s="1"/>
      <c r="AR286" s="1"/>
      <c r="AS286" s="1"/>
      <c r="AT286" s="1"/>
    </row>
    <row r="287" spans="1:46" s="18" customFormat="1" x14ac:dyDescent="0.2">
      <c r="A287" s="1"/>
      <c r="B287" s="1"/>
      <c r="C287" s="1"/>
      <c r="D287" s="1"/>
      <c r="E287" s="1"/>
      <c r="F287" s="1"/>
      <c r="G287" s="1"/>
      <c r="H287" s="1"/>
      <c r="I287" s="1"/>
      <c r="J287" s="2"/>
      <c r="K287" s="1"/>
      <c r="L287" s="3"/>
      <c r="M287" s="1"/>
      <c r="AP287" s="1"/>
      <c r="AQ287" s="1"/>
      <c r="AR287" s="1"/>
      <c r="AS287" s="1"/>
      <c r="AT287" s="1"/>
    </row>
    <row r="288" spans="1:46" s="18" customFormat="1" x14ac:dyDescent="0.2">
      <c r="A288" s="1"/>
      <c r="B288" s="1"/>
      <c r="C288" s="1"/>
      <c r="D288" s="1"/>
      <c r="E288" s="1"/>
      <c r="F288" s="1"/>
      <c r="G288" s="1"/>
      <c r="H288" s="1"/>
      <c r="I288" s="1"/>
      <c r="J288" s="2"/>
      <c r="K288" s="1"/>
      <c r="L288" s="3"/>
      <c r="M288" s="1"/>
      <c r="AP288" s="1"/>
      <c r="AQ288" s="1"/>
      <c r="AR288" s="1"/>
      <c r="AS288" s="1"/>
      <c r="AT288" s="1"/>
    </row>
    <row r="289" spans="1:46" s="18" customFormat="1" x14ac:dyDescent="0.2">
      <c r="A289" s="1"/>
      <c r="B289" s="1"/>
      <c r="C289" s="1"/>
      <c r="D289" s="1"/>
      <c r="E289" s="1"/>
      <c r="F289" s="1"/>
      <c r="G289" s="1"/>
      <c r="H289" s="1"/>
      <c r="I289" s="1"/>
      <c r="J289" s="2"/>
      <c r="K289" s="1"/>
      <c r="L289" s="3"/>
      <c r="M289" s="1"/>
      <c r="AP289" s="1"/>
      <c r="AQ289" s="1"/>
      <c r="AR289" s="1"/>
      <c r="AS289" s="1"/>
      <c r="AT289" s="1"/>
    </row>
    <row r="290" spans="1:46" s="18" customFormat="1" x14ac:dyDescent="0.2">
      <c r="A290" s="1"/>
      <c r="B290" s="1"/>
      <c r="C290" s="1"/>
      <c r="D290" s="1"/>
      <c r="E290" s="1"/>
      <c r="F290" s="1"/>
      <c r="G290" s="1"/>
      <c r="H290" s="1"/>
      <c r="I290" s="1"/>
      <c r="J290" s="2"/>
      <c r="K290" s="1"/>
      <c r="L290" s="3"/>
      <c r="M290" s="1"/>
      <c r="AP290" s="1"/>
      <c r="AQ290" s="1"/>
      <c r="AR290" s="1"/>
      <c r="AS290" s="1"/>
      <c r="AT290" s="1"/>
    </row>
    <row r="291" spans="1:46" s="18" customFormat="1" x14ac:dyDescent="0.2">
      <c r="A291" s="1"/>
      <c r="B291" s="1"/>
      <c r="C291" s="1"/>
      <c r="D291" s="1"/>
      <c r="E291" s="1"/>
      <c r="F291" s="1"/>
      <c r="G291" s="1"/>
      <c r="H291" s="1"/>
      <c r="I291" s="1"/>
      <c r="J291" s="2"/>
      <c r="K291" s="1"/>
      <c r="L291" s="3"/>
      <c r="M291" s="1"/>
      <c r="AP291" s="1"/>
      <c r="AQ291" s="1"/>
      <c r="AR291" s="1"/>
      <c r="AS291" s="1"/>
      <c r="AT291" s="1"/>
    </row>
    <row r="292" spans="1:46" s="18" customFormat="1" x14ac:dyDescent="0.2">
      <c r="A292" s="1"/>
      <c r="B292" s="1"/>
      <c r="C292" s="1"/>
      <c r="D292" s="1"/>
      <c r="E292" s="1"/>
      <c r="F292" s="1"/>
      <c r="G292" s="1"/>
      <c r="H292" s="1"/>
      <c r="I292" s="1"/>
      <c r="J292" s="2"/>
      <c r="K292" s="1"/>
      <c r="L292" s="3"/>
      <c r="M292" s="1"/>
      <c r="AP292" s="1"/>
      <c r="AQ292" s="1"/>
      <c r="AR292" s="1"/>
      <c r="AS292" s="1"/>
      <c r="AT292" s="1"/>
    </row>
    <row r="293" spans="1:46" s="18" customFormat="1" x14ac:dyDescent="0.2">
      <c r="A293" s="1"/>
      <c r="B293" s="1"/>
      <c r="C293" s="1"/>
      <c r="D293" s="1"/>
      <c r="E293" s="1"/>
      <c r="F293" s="1"/>
      <c r="G293" s="1"/>
      <c r="H293" s="1"/>
      <c r="I293" s="1"/>
      <c r="J293" s="2"/>
      <c r="K293" s="1"/>
      <c r="L293" s="3"/>
      <c r="M293" s="1"/>
      <c r="AP293" s="1"/>
      <c r="AQ293" s="1"/>
      <c r="AR293" s="1"/>
      <c r="AS293" s="1"/>
      <c r="AT293" s="1"/>
    </row>
    <row r="294" spans="1:46" s="18" customFormat="1" x14ac:dyDescent="0.2">
      <c r="A294" s="1"/>
      <c r="B294" s="1"/>
      <c r="C294" s="1"/>
      <c r="D294" s="1"/>
      <c r="E294" s="1"/>
      <c r="F294" s="1"/>
      <c r="G294" s="1"/>
      <c r="H294" s="1"/>
      <c r="I294" s="1"/>
      <c r="J294" s="2"/>
      <c r="K294" s="1"/>
      <c r="L294" s="3"/>
      <c r="M294" s="1"/>
      <c r="AP294" s="1"/>
      <c r="AQ294" s="1"/>
      <c r="AR294" s="1"/>
      <c r="AS294" s="1"/>
      <c r="AT294" s="1"/>
    </row>
    <row r="295" spans="1:46" s="18" customFormat="1" x14ac:dyDescent="0.2">
      <c r="A295" s="1"/>
      <c r="B295" s="1"/>
      <c r="C295" s="1"/>
      <c r="D295" s="1"/>
      <c r="E295" s="1"/>
      <c r="F295" s="1"/>
      <c r="G295" s="1"/>
      <c r="H295" s="1"/>
      <c r="I295" s="1"/>
      <c r="J295" s="2"/>
      <c r="K295" s="1"/>
      <c r="L295" s="3"/>
      <c r="M295" s="1"/>
      <c r="AP295" s="1"/>
      <c r="AQ295" s="1"/>
      <c r="AR295" s="1"/>
      <c r="AS295" s="1"/>
      <c r="AT295" s="1"/>
    </row>
    <row r="296" spans="1:46" s="18" customFormat="1" x14ac:dyDescent="0.2">
      <c r="A296" s="1"/>
      <c r="B296" s="1"/>
      <c r="C296" s="1"/>
      <c r="D296" s="1"/>
      <c r="E296" s="1"/>
      <c r="F296" s="1"/>
      <c r="G296" s="1"/>
      <c r="H296" s="1"/>
      <c r="I296" s="1"/>
      <c r="J296" s="2"/>
      <c r="K296" s="1"/>
      <c r="L296" s="3"/>
      <c r="M296" s="1"/>
      <c r="AP296" s="1"/>
      <c r="AQ296" s="1"/>
      <c r="AR296" s="1"/>
      <c r="AS296" s="1"/>
      <c r="AT296" s="1"/>
    </row>
    <row r="297" spans="1:46" s="18" customFormat="1" x14ac:dyDescent="0.2">
      <c r="A297" s="1"/>
      <c r="B297" s="1"/>
      <c r="C297" s="1"/>
      <c r="D297" s="1"/>
      <c r="E297" s="1"/>
      <c r="F297" s="1"/>
      <c r="G297" s="1"/>
      <c r="H297" s="1"/>
      <c r="I297" s="1"/>
      <c r="J297" s="2"/>
      <c r="K297" s="1"/>
      <c r="L297" s="3"/>
      <c r="M297" s="1"/>
      <c r="AP297" s="1"/>
      <c r="AQ297" s="1"/>
      <c r="AR297" s="1"/>
      <c r="AS297" s="1"/>
      <c r="AT297" s="1"/>
    </row>
    <row r="298" spans="1:46" s="18" customFormat="1" x14ac:dyDescent="0.2">
      <c r="A298" s="1"/>
      <c r="B298" s="1"/>
      <c r="C298" s="1"/>
      <c r="D298" s="1"/>
      <c r="E298" s="1"/>
      <c r="F298" s="1"/>
      <c r="G298" s="1"/>
      <c r="H298" s="1"/>
      <c r="I298" s="1"/>
      <c r="J298" s="2"/>
      <c r="K298" s="1"/>
      <c r="L298" s="3"/>
      <c r="M298" s="1"/>
      <c r="AP298" s="1"/>
      <c r="AQ298" s="1"/>
      <c r="AR298" s="1"/>
      <c r="AS298" s="1"/>
      <c r="AT298" s="1"/>
    </row>
    <row r="299" spans="1:46" s="18" customFormat="1" x14ac:dyDescent="0.2">
      <c r="A299" s="1"/>
      <c r="B299" s="1"/>
      <c r="C299" s="1"/>
      <c r="D299" s="1"/>
      <c r="E299" s="1"/>
      <c r="F299" s="1"/>
      <c r="G299" s="1"/>
      <c r="H299" s="1"/>
      <c r="I299" s="1"/>
      <c r="J299" s="2"/>
      <c r="K299" s="1"/>
      <c r="L299" s="3"/>
      <c r="M299" s="1"/>
      <c r="AP299" s="1"/>
      <c r="AQ299" s="1"/>
      <c r="AR299" s="1"/>
      <c r="AS299" s="1"/>
      <c r="AT299" s="1"/>
    </row>
    <row r="300" spans="1:46" s="18" customFormat="1" x14ac:dyDescent="0.2">
      <c r="A300" s="1"/>
      <c r="B300" s="1"/>
      <c r="C300" s="1"/>
      <c r="D300" s="1"/>
      <c r="E300" s="1"/>
      <c r="F300" s="1"/>
      <c r="G300" s="1"/>
      <c r="H300" s="1"/>
      <c r="I300" s="1"/>
      <c r="J300" s="2"/>
      <c r="K300" s="1"/>
      <c r="L300" s="3"/>
      <c r="M300" s="1"/>
      <c r="AP300" s="1"/>
      <c r="AQ300" s="1"/>
      <c r="AR300" s="1"/>
      <c r="AS300" s="1"/>
      <c r="AT300" s="1"/>
    </row>
    <row r="301" spans="1:46" s="18" customFormat="1" x14ac:dyDescent="0.2">
      <c r="A301" s="1"/>
      <c r="B301" s="1"/>
      <c r="C301" s="1"/>
      <c r="D301" s="1"/>
      <c r="E301" s="1"/>
      <c r="F301" s="1"/>
      <c r="G301" s="1"/>
      <c r="H301" s="1"/>
      <c r="I301" s="1"/>
      <c r="J301" s="2"/>
      <c r="K301" s="1"/>
      <c r="L301" s="3"/>
      <c r="M301" s="1"/>
      <c r="AP301" s="1"/>
      <c r="AQ301" s="1"/>
      <c r="AR301" s="1"/>
      <c r="AS301" s="1"/>
      <c r="AT301" s="1"/>
    </row>
    <row r="302" spans="1:46" s="18" customFormat="1" x14ac:dyDescent="0.2">
      <c r="A302" s="1"/>
      <c r="B302" s="1"/>
      <c r="C302" s="1"/>
      <c r="D302" s="1"/>
      <c r="E302" s="1"/>
      <c r="F302" s="1"/>
      <c r="G302" s="1"/>
      <c r="H302" s="1"/>
      <c r="I302" s="1"/>
      <c r="J302" s="2"/>
      <c r="K302" s="1"/>
      <c r="L302" s="3"/>
      <c r="M302" s="1"/>
      <c r="AP302" s="1"/>
      <c r="AQ302" s="1"/>
      <c r="AR302" s="1"/>
      <c r="AS302" s="1"/>
      <c r="AT302" s="1"/>
    </row>
    <row r="303" spans="1:46" s="18" customFormat="1" x14ac:dyDescent="0.2">
      <c r="A303" s="1"/>
      <c r="B303" s="1"/>
      <c r="C303" s="1"/>
      <c r="D303" s="1"/>
      <c r="E303" s="1"/>
      <c r="F303" s="1"/>
      <c r="G303" s="1"/>
      <c r="H303" s="1"/>
      <c r="I303" s="1"/>
      <c r="J303" s="2"/>
      <c r="K303" s="1"/>
      <c r="L303" s="3"/>
      <c r="M303" s="1"/>
      <c r="AP303" s="1"/>
      <c r="AQ303" s="1"/>
      <c r="AR303" s="1"/>
      <c r="AS303" s="1"/>
      <c r="AT303" s="1"/>
    </row>
    <row r="304" spans="1:46" s="18" customFormat="1" x14ac:dyDescent="0.2">
      <c r="A304" s="1"/>
      <c r="B304" s="1"/>
      <c r="C304" s="1"/>
      <c r="D304" s="1"/>
      <c r="E304" s="1"/>
      <c r="F304" s="1"/>
      <c r="G304" s="1"/>
      <c r="H304" s="1"/>
      <c r="I304" s="1"/>
      <c r="J304" s="2"/>
      <c r="K304" s="1"/>
      <c r="L304" s="3"/>
      <c r="M304" s="1"/>
      <c r="AP304" s="1"/>
      <c r="AQ304" s="1"/>
      <c r="AR304" s="1"/>
      <c r="AS304" s="1"/>
      <c r="AT304" s="1"/>
    </row>
    <row r="305" spans="1:46" s="18" customFormat="1" x14ac:dyDescent="0.2">
      <c r="A305" s="1"/>
      <c r="B305" s="1"/>
      <c r="C305" s="1"/>
      <c r="D305" s="1"/>
      <c r="E305" s="1"/>
      <c r="F305" s="1"/>
      <c r="G305" s="1"/>
      <c r="H305" s="1"/>
      <c r="I305" s="1"/>
      <c r="J305" s="2"/>
      <c r="K305" s="1"/>
      <c r="L305" s="3"/>
      <c r="M305" s="1"/>
      <c r="AP305" s="1"/>
      <c r="AQ305" s="1"/>
      <c r="AR305" s="1"/>
      <c r="AS305" s="1"/>
      <c r="AT305" s="1"/>
    </row>
    <row r="306" spans="1:46" s="18" customFormat="1" x14ac:dyDescent="0.2">
      <c r="A306" s="1"/>
      <c r="B306" s="1"/>
      <c r="C306" s="1"/>
      <c r="D306" s="1"/>
      <c r="E306" s="1"/>
      <c r="F306" s="1"/>
      <c r="G306" s="1"/>
      <c r="H306" s="1"/>
      <c r="I306" s="1"/>
      <c r="J306" s="2"/>
      <c r="K306" s="1"/>
      <c r="L306" s="3"/>
      <c r="M306" s="1"/>
      <c r="AP306" s="1"/>
      <c r="AQ306" s="1"/>
      <c r="AR306" s="1"/>
      <c r="AS306" s="1"/>
      <c r="AT306" s="1"/>
    </row>
    <row r="307" spans="1:46" s="18" customFormat="1" x14ac:dyDescent="0.2">
      <c r="A307" s="1"/>
      <c r="B307" s="1"/>
      <c r="C307" s="1"/>
      <c r="D307" s="1"/>
      <c r="E307" s="1"/>
      <c r="F307" s="1"/>
      <c r="G307" s="1"/>
      <c r="H307" s="1"/>
      <c r="I307" s="1"/>
      <c r="J307" s="2"/>
      <c r="K307" s="1"/>
      <c r="L307" s="3"/>
      <c r="M307" s="1"/>
      <c r="AP307" s="1"/>
      <c r="AQ307" s="1"/>
      <c r="AR307" s="1"/>
      <c r="AS307" s="1"/>
      <c r="AT307" s="1"/>
    </row>
    <row r="308" spans="1:46" s="18" customFormat="1" x14ac:dyDescent="0.2">
      <c r="A308" s="1"/>
      <c r="B308" s="1"/>
      <c r="C308" s="1"/>
      <c r="D308" s="1"/>
      <c r="E308" s="1"/>
      <c r="F308" s="1"/>
      <c r="G308" s="1"/>
      <c r="H308" s="1"/>
      <c r="I308" s="1"/>
      <c r="J308" s="2"/>
      <c r="K308" s="1"/>
      <c r="L308" s="3"/>
      <c r="M308" s="1"/>
      <c r="AP308" s="1"/>
      <c r="AQ308" s="1"/>
      <c r="AR308" s="1"/>
      <c r="AS308" s="1"/>
      <c r="AT308" s="1"/>
    </row>
    <row r="309" spans="1:46" s="18" customFormat="1" x14ac:dyDescent="0.2">
      <c r="A309" s="1"/>
      <c r="B309" s="1"/>
      <c r="C309" s="1"/>
      <c r="D309" s="1"/>
      <c r="E309" s="1"/>
      <c r="F309" s="1"/>
      <c r="G309" s="1"/>
      <c r="H309" s="1"/>
      <c r="I309" s="1"/>
      <c r="J309" s="2"/>
      <c r="K309" s="1"/>
      <c r="L309" s="3"/>
      <c r="M309" s="1"/>
      <c r="AP309" s="1"/>
      <c r="AQ309" s="1"/>
      <c r="AR309" s="1"/>
      <c r="AS309" s="1"/>
      <c r="AT309" s="1"/>
    </row>
    <row r="310" spans="1:46" s="18" customFormat="1" x14ac:dyDescent="0.2">
      <c r="A310" s="1"/>
      <c r="B310" s="1"/>
      <c r="C310" s="1"/>
      <c r="D310" s="1"/>
      <c r="E310" s="1"/>
      <c r="F310" s="1"/>
      <c r="G310" s="1"/>
      <c r="H310" s="1"/>
      <c r="I310" s="1"/>
      <c r="J310" s="2"/>
      <c r="K310" s="1"/>
      <c r="L310" s="3"/>
      <c r="M310" s="1"/>
      <c r="AP310" s="1"/>
      <c r="AQ310" s="1"/>
      <c r="AR310" s="1"/>
      <c r="AS310" s="1"/>
      <c r="AT310" s="1"/>
    </row>
    <row r="311" spans="1:46" s="18" customFormat="1" x14ac:dyDescent="0.2">
      <c r="A311" s="1"/>
      <c r="B311" s="1"/>
      <c r="C311" s="1"/>
      <c r="D311" s="1"/>
      <c r="E311" s="1"/>
      <c r="F311" s="1"/>
      <c r="G311" s="1"/>
      <c r="H311" s="1"/>
      <c r="I311" s="1"/>
      <c r="J311" s="2"/>
      <c r="K311" s="1"/>
      <c r="L311" s="3"/>
      <c r="M311" s="1"/>
      <c r="AP311" s="1"/>
      <c r="AQ311" s="1"/>
      <c r="AR311" s="1"/>
      <c r="AS311" s="1"/>
      <c r="AT311" s="1"/>
    </row>
    <row r="312" spans="1:46" s="18" customFormat="1" x14ac:dyDescent="0.2">
      <c r="A312" s="1"/>
      <c r="B312" s="1"/>
      <c r="C312" s="1"/>
      <c r="D312" s="1"/>
      <c r="E312" s="1"/>
      <c r="F312" s="1"/>
      <c r="G312" s="1"/>
      <c r="H312" s="1"/>
      <c r="I312" s="1"/>
      <c r="J312" s="2"/>
      <c r="K312" s="1"/>
      <c r="L312" s="3"/>
      <c r="M312" s="1"/>
      <c r="AP312" s="1"/>
      <c r="AQ312" s="1"/>
      <c r="AR312" s="1"/>
      <c r="AS312" s="1"/>
      <c r="AT312" s="1"/>
    </row>
    <row r="313" spans="1:46" s="18" customFormat="1" x14ac:dyDescent="0.2">
      <c r="A313" s="1"/>
      <c r="B313" s="1"/>
      <c r="C313" s="1"/>
      <c r="D313" s="1"/>
      <c r="E313" s="1"/>
      <c r="F313" s="1"/>
      <c r="G313" s="1"/>
      <c r="H313" s="1"/>
      <c r="I313" s="1"/>
      <c r="J313" s="2"/>
      <c r="K313" s="1"/>
      <c r="L313" s="3"/>
      <c r="M313" s="1"/>
      <c r="AP313" s="1"/>
      <c r="AQ313" s="1"/>
      <c r="AR313" s="1"/>
      <c r="AS313" s="1"/>
      <c r="AT313" s="1"/>
    </row>
    <row r="314" spans="1:46" s="18" customFormat="1" x14ac:dyDescent="0.2">
      <c r="A314" s="1"/>
      <c r="B314" s="1"/>
      <c r="C314" s="1"/>
      <c r="D314" s="1"/>
      <c r="E314" s="1"/>
      <c r="F314" s="1"/>
      <c r="G314" s="1"/>
      <c r="H314" s="1"/>
      <c r="I314" s="1"/>
      <c r="J314" s="2"/>
      <c r="K314" s="1"/>
      <c r="L314" s="3"/>
      <c r="M314" s="1"/>
      <c r="AP314" s="1"/>
      <c r="AQ314" s="1"/>
      <c r="AR314" s="1"/>
      <c r="AS314" s="1"/>
      <c r="AT314" s="1"/>
    </row>
    <row r="315" spans="1:46" s="18" customFormat="1" x14ac:dyDescent="0.2">
      <c r="A315" s="1"/>
      <c r="B315" s="1"/>
      <c r="C315" s="1"/>
      <c r="D315" s="1"/>
      <c r="E315" s="1"/>
      <c r="F315" s="1"/>
      <c r="G315" s="1"/>
      <c r="H315" s="1"/>
      <c r="I315" s="1"/>
      <c r="J315" s="2"/>
      <c r="K315" s="1"/>
      <c r="L315" s="3"/>
      <c r="M315" s="1"/>
      <c r="AP315" s="1"/>
      <c r="AQ315" s="1"/>
      <c r="AR315" s="1"/>
      <c r="AS315" s="1"/>
      <c r="AT315" s="1"/>
    </row>
    <row r="316" spans="1:46" s="18" customFormat="1" x14ac:dyDescent="0.2">
      <c r="A316" s="1"/>
      <c r="B316" s="1"/>
      <c r="C316" s="1"/>
      <c r="D316" s="1"/>
      <c r="E316" s="1"/>
      <c r="F316" s="1"/>
      <c r="G316" s="1"/>
      <c r="H316" s="1"/>
      <c r="I316" s="1"/>
      <c r="J316" s="2"/>
      <c r="K316" s="1"/>
      <c r="L316" s="3"/>
      <c r="M316" s="1"/>
      <c r="AP316" s="1"/>
      <c r="AQ316" s="1"/>
      <c r="AR316" s="1"/>
      <c r="AS316" s="1"/>
      <c r="AT316" s="1"/>
    </row>
    <row r="317" spans="1:46" s="18" customFormat="1" x14ac:dyDescent="0.2">
      <c r="A317" s="1"/>
      <c r="B317" s="1"/>
      <c r="C317" s="1"/>
      <c r="D317" s="1"/>
      <c r="E317" s="1"/>
      <c r="F317" s="1"/>
      <c r="G317" s="1"/>
      <c r="H317" s="1"/>
      <c r="I317" s="1"/>
      <c r="J317" s="2"/>
      <c r="K317" s="1"/>
      <c r="L317" s="3"/>
      <c r="M317" s="1"/>
      <c r="AP317" s="1"/>
      <c r="AQ317" s="1"/>
      <c r="AR317" s="1"/>
      <c r="AS317" s="1"/>
      <c r="AT317" s="1"/>
    </row>
    <row r="318" spans="1:46" s="18" customFormat="1" x14ac:dyDescent="0.2">
      <c r="A318" s="1"/>
      <c r="B318" s="1"/>
      <c r="C318" s="1"/>
      <c r="D318" s="1"/>
      <c r="E318" s="1"/>
      <c r="F318" s="1"/>
      <c r="G318" s="1"/>
      <c r="H318" s="1"/>
      <c r="I318" s="1"/>
      <c r="J318" s="2"/>
      <c r="K318" s="1"/>
      <c r="L318" s="3"/>
      <c r="M318" s="1"/>
      <c r="AP318" s="1"/>
      <c r="AQ318" s="1"/>
      <c r="AR318" s="1"/>
      <c r="AS318" s="1"/>
      <c r="AT318" s="1"/>
    </row>
    <row r="319" spans="1:46" s="18" customFormat="1" x14ac:dyDescent="0.2">
      <c r="A319" s="1"/>
      <c r="B319" s="1"/>
      <c r="C319" s="1"/>
      <c r="D319" s="1"/>
      <c r="E319" s="1"/>
      <c r="F319" s="1"/>
      <c r="G319" s="1"/>
      <c r="H319" s="1"/>
      <c r="I319" s="1"/>
      <c r="J319" s="2"/>
      <c r="K319" s="1"/>
      <c r="L319" s="3"/>
      <c r="M319" s="1"/>
      <c r="AP319" s="1"/>
      <c r="AQ319" s="1"/>
      <c r="AR319" s="1"/>
      <c r="AS319" s="1"/>
      <c r="AT319" s="1"/>
    </row>
    <row r="320" spans="1:46" s="18" customFormat="1" x14ac:dyDescent="0.2">
      <c r="A320" s="1"/>
      <c r="B320" s="1"/>
      <c r="C320" s="1"/>
      <c r="D320" s="1"/>
      <c r="E320" s="1"/>
      <c r="F320" s="1"/>
      <c r="G320" s="1"/>
      <c r="H320" s="1"/>
      <c r="I320" s="1"/>
      <c r="J320" s="2"/>
      <c r="K320" s="1"/>
      <c r="L320" s="3"/>
      <c r="M320" s="1"/>
      <c r="AP320" s="1"/>
      <c r="AQ320" s="1"/>
      <c r="AR320" s="1"/>
      <c r="AS320" s="1"/>
      <c r="AT320" s="1"/>
    </row>
    <row r="321" spans="1:46" s="18" customFormat="1" x14ac:dyDescent="0.2">
      <c r="A321" s="1"/>
      <c r="B321" s="1"/>
      <c r="C321" s="1"/>
      <c r="D321" s="1"/>
      <c r="E321" s="1"/>
      <c r="F321" s="1"/>
      <c r="G321" s="1"/>
      <c r="H321" s="1"/>
      <c r="I321" s="1"/>
      <c r="J321" s="2"/>
      <c r="K321" s="1"/>
      <c r="L321" s="3"/>
      <c r="M321" s="1"/>
      <c r="AP321" s="1"/>
      <c r="AQ321" s="1"/>
      <c r="AR321" s="1"/>
      <c r="AS321" s="1"/>
      <c r="AT321" s="1"/>
    </row>
    <row r="322" spans="1:46" s="18" customFormat="1" x14ac:dyDescent="0.2">
      <c r="A322" s="1"/>
      <c r="B322" s="1"/>
      <c r="C322" s="1"/>
      <c r="D322" s="1"/>
      <c r="E322" s="1"/>
      <c r="F322" s="1"/>
      <c r="G322" s="1"/>
      <c r="H322" s="1"/>
      <c r="I322" s="1"/>
      <c r="J322" s="2"/>
      <c r="K322" s="1"/>
      <c r="L322" s="3"/>
      <c r="M322" s="1"/>
      <c r="AP322" s="1"/>
      <c r="AQ322" s="1"/>
      <c r="AR322" s="1"/>
      <c r="AS322" s="1"/>
      <c r="AT322" s="1"/>
    </row>
    <row r="323" spans="1:46" s="18" customFormat="1" x14ac:dyDescent="0.2">
      <c r="A323" s="1"/>
      <c r="B323" s="1"/>
      <c r="C323" s="1"/>
      <c r="D323" s="1"/>
      <c r="E323" s="1"/>
      <c r="F323" s="1"/>
      <c r="G323" s="1"/>
      <c r="H323" s="1"/>
      <c r="I323" s="1"/>
      <c r="J323" s="2"/>
      <c r="K323" s="1"/>
      <c r="L323" s="3"/>
      <c r="M323" s="1"/>
      <c r="N323" s="1"/>
      <c r="AP323" s="1"/>
      <c r="AQ323" s="1"/>
      <c r="AR323" s="1"/>
      <c r="AS323" s="1"/>
      <c r="AT323" s="1"/>
    </row>
    <row r="324" spans="1:46" s="18" customFormat="1" x14ac:dyDescent="0.2">
      <c r="A324" s="1"/>
      <c r="B324" s="1"/>
      <c r="C324" s="1"/>
      <c r="D324" s="1"/>
      <c r="E324" s="1"/>
      <c r="F324" s="1"/>
      <c r="G324" s="1"/>
      <c r="H324" s="1"/>
      <c r="I324" s="1"/>
      <c r="J324" s="2"/>
      <c r="K324" s="1"/>
      <c r="L324" s="3"/>
      <c r="M324" s="1"/>
      <c r="N324" s="1"/>
      <c r="AP324" s="1"/>
      <c r="AQ324" s="1"/>
      <c r="AR324" s="1"/>
      <c r="AS324" s="1"/>
      <c r="AT324" s="1"/>
    </row>
  </sheetData>
  <conditionalFormatting sqref="N13:O16 P14:P16 P71:V71 N19:AO19 Q24:R24 N62:O62 N63:P64 N17:P18 Q65:V67 AC65:AC67 AC71 AB73:AO73 N72:AO72 Q17 N60:P60 N73:R76 AE65:AO71 N26:S26 AE24:AO24 S17:AO17 AE26:AO26 X65:Z67 X71:Z71 T74:AO76 T73:Z73 N100:R100 N102:Q102 N103:S103 N106:R106 S100:AO118 N107:S118 Q13:AO16 N119:AO119 N98:AO98 S97:AO97 N97:Q97 N34:O36 P35:P36 N121:AO144 Q61:AO64 N37:AO59 N78:AO96">
    <cfRule type="cellIs" dxfId="48" priority="69" operator="lessThan">
      <formula>0</formula>
    </cfRule>
  </conditionalFormatting>
  <conditionalFormatting sqref="N24:P24">
    <cfRule type="cellIs" dxfId="47" priority="68" operator="lessThan">
      <formula>0</formula>
    </cfRule>
  </conditionalFormatting>
  <conditionalFormatting sqref="N61:P61">
    <cfRule type="cellIs" dxfId="46" priority="67" operator="lessThan">
      <formula>0</formula>
    </cfRule>
  </conditionalFormatting>
  <conditionalFormatting sqref="N65:P67 N71:O71">
    <cfRule type="cellIs" dxfId="45" priority="66" operator="lessThan">
      <formula>0</formula>
    </cfRule>
  </conditionalFormatting>
  <conditionalFormatting sqref="Q18:AO18">
    <cfRule type="cellIs" dxfId="44" priority="65" operator="lessThan">
      <formula>0</formula>
    </cfRule>
  </conditionalFormatting>
  <conditionalFormatting sqref="N20:O23 P21:P23 Q23:R23 Q21:Q22 S21:AO21 AE22:AO23 Q20:AO20">
    <cfRule type="cellIs" dxfId="43" priority="64" operator="lessThan">
      <formula>0</formula>
    </cfRule>
  </conditionalFormatting>
  <conditionalFormatting sqref="N25:O25 Q25:R25 AE25:AO25">
    <cfRule type="cellIs" dxfId="42" priority="63" operator="lessThan">
      <formula>0</formula>
    </cfRule>
  </conditionalFormatting>
  <conditionalFormatting sqref="Q60:AO60">
    <cfRule type="cellIs" dxfId="41" priority="62" operator="lessThan">
      <formula>0</formula>
    </cfRule>
  </conditionalFormatting>
  <conditionalFormatting sqref="N68:O68 N69:P70 Q68:V68 Q70:V70 Q69 S69:V69 AC68:AC70 X68:Z70">
    <cfRule type="cellIs" dxfId="40" priority="61" operator="lessThan">
      <formula>0</formula>
    </cfRule>
  </conditionalFormatting>
  <conditionalFormatting sqref="R17">
    <cfRule type="cellIs" dxfId="39" priority="60" operator="lessThan">
      <formula>0</formula>
    </cfRule>
  </conditionalFormatting>
  <conditionalFormatting sqref="R21">
    <cfRule type="cellIs" dxfId="38" priority="59" operator="lessThan">
      <formula>0</formula>
    </cfRule>
  </conditionalFormatting>
  <conditionalFormatting sqref="R22">
    <cfRule type="cellIs" dxfId="37" priority="58" operator="lessThan">
      <formula>0</formula>
    </cfRule>
  </conditionalFormatting>
  <conditionalFormatting sqref="R69">
    <cfRule type="cellIs" dxfId="36" priority="57" operator="lessThan">
      <formula>0</formula>
    </cfRule>
  </conditionalFormatting>
  <conditionalFormatting sqref="R36">
    <cfRule type="cellIs" dxfId="35" priority="47" operator="lessThan">
      <formula>0</formula>
    </cfRule>
  </conditionalFormatting>
  <conditionalFormatting sqref="Q33:AO33">
    <cfRule type="cellIs" dxfId="34" priority="54" operator="lessThan">
      <formula>0</formula>
    </cfRule>
  </conditionalFormatting>
  <conditionalFormatting sqref="N33:P33">
    <cfRule type="cellIs" dxfId="33" priority="53" operator="lessThan">
      <formula>0</formula>
    </cfRule>
  </conditionalFormatting>
  <conditionalFormatting sqref="Q32:AO32 S28:AO28 N28:Q28 N30:P32 Q30:Q31 S30:AO31">
    <cfRule type="cellIs" dxfId="32" priority="52" operator="lessThan">
      <formula>0</formula>
    </cfRule>
  </conditionalFormatting>
  <conditionalFormatting sqref="Q34:AO34 Q35:Q36 S35:AO36">
    <cfRule type="cellIs" dxfId="31" priority="51" operator="lessThan">
      <formula>0</formula>
    </cfRule>
  </conditionalFormatting>
  <conditionalFormatting sqref="R28 R30">
    <cfRule type="cellIs" dxfId="30" priority="50" operator="lessThan">
      <formula>0</formula>
    </cfRule>
  </conditionalFormatting>
  <conditionalFormatting sqref="R31">
    <cfRule type="cellIs" dxfId="29" priority="49" operator="lessThan">
      <formula>0</formula>
    </cfRule>
  </conditionalFormatting>
  <conditionalFormatting sqref="R35">
    <cfRule type="cellIs" dxfId="28" priority="48" operator="lessThan">
      <formula>0</formula>
    </cfRule>
  </conditionalFormatting>
  <conditionalFormatting sqref="S24:AD24">
    <cfRule type="cellIs" dxfId="27" priority="45" operator="lessThan">
      <formula>0</formula>
    </cfRule>
  </conditionalFormatting>
  <conditionalFormatting sqref="S23:AD23 S22">
    <cfRule type="cellIs" dxfId="26" priority="44" operator="lessThan">
      <formula>0</formula>
    </cfRule>
  </conditionalFormatting>
  <conditionalFormatting sqref="S25:AD25">
    <cfRule type="cellIs" dxfId="25" priority="43" operator="lessThan">
      <formula>0</formula>
    </cfRule>
  </conditionalFormatting>
  <conditionalFormatting sqref="N29:AO29">
    <cfRule type="cellIs" dxfId="24" priority="32" operator="lessThan">
      <formula>0</formula>
    </cfRule>
  </conditionalFormatting>
  <conditionalFormatting sqref="AD65:AD67 AD71">
    <cfRule type="cellIs" dxfId="23" priority="25" operator="lessThan">
      <formula>0</formula>
    </cfRule>
  </conditionalFormatting>
  <conditionalFormatting sqref="AD68:AD70">
    <cfRule type="cellIs" dxfId="22" priority="24" operator="lessThan">
      <formula>0</formula>
    </cfRule>
  </conditionalFormatting>
  <conditionalFormatting sqref="W68:W70">
    <cfRule type="cellIs" dxfId="21" priority="14" operator="lessThan">
      <formula>0</formula>
    </cfRule>
  </conditionalFormatting>
  <conditionalFormatting sqref="W65:W67 W71">
    <cfRule type="cellIs" dxfId="20" priority="15" operator="lessThan">
      <formula>0</formula>
    </cfRule>
  </conditionalFormatting>
  <conditionalFormatting sqref="S73:S76 S94:AB96">
    <cfRule type="cellIs" dxfId="19" priority="13" operator="lessThan">
      <formula>0</formula>
    </cfRule>
  </conditionalFormatting>
  <conditionalFormatting sqref="R102">
    <cfRule type="cellIs" dxfId="18" priority="11" operator="lessThan">
      <formula>0</formula>
    </cfRule>
  </conditionalFormatting>
  <conditionalFormatting sqref="N101:R101">
    <cfRule type="cellIs" dxfId="17" priority="9" operator="lessThan">
      <formula>0</formula>
    </cfRule>
  </conditionalFormatting>
  <conditionalFormatting sqref="N105:Q105">
    <cfRule type="cellIs" dxfId="16" priority="8" operator="lessThan">
      <formula>0</formula>
    </cfRule>
  </conditionalFormatting>
  <conditionalFormatting sqref="R105">
    <cfRule type="cellIs" dxfId="15" priority="7" operator="lessThan">
      <formula>0</formula>
    </cfRule>
  </conditionalFormatting>
  <conditionalFormatting sqref="N104:Q104">
    <cfRule type="cellIs" dxfId="14" priority="6" operator="lessThan">
      <formula>0</formula>
    </cfRule>
  </conditionalFormatting>
  <conditionalFormatting sqref="R104">
    <cfRule type="cellIs" dxfId="13" priority="5" operator="lessThan">
      <formula>0</formula>
    </cfRule>
  </conditionalFormatting>
  <conditionalFormatting sqref="AA68:AA70">
    <cfRule type="cellIs" dxfId="12" priority="3" operator="lessThan">
      <formula>0</formula>
    </cfRule>
  </conditionalFormatting>
  <conditionalFormatting sqref="AA65:AA67 AA71">
    <cfRule type="cellIs" dxfId="11" priority="4" operator="lessThan">
      <formula>0</formula>
    </cfRule>
  </conditionalFormatting>
  <conditionalFormatting sqref="AB68:AB70">
    <cfRule type="cellIs" dxfId="10" priority="1" operator="lessThan">
      <formula>0</formula>
    </cfRule>
  </conditionalFormatting>
  <conditionalFormatting sqref="AB65:AB67 AB71">
    <cfRule type="cellIs" dxfId="9" priority="2" operator="lessThan">
      <formula>0</formula>
    </cfRule>
  </conditionalFormatting>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3182-7DB0-4AB9-825D-9FFA53052490}">
  <sheetPr>
    <tabColor rgb="FF0000FF"/>
  </sheetPr>
  <dimension ref="B1:L52"/>
  <sheetViews>
    <sheetView zoomScaleNormal="100" workbookViewId="0">
      <pane xSplit="2" ySplit="2" topLeftCell="C3" activePane="bottomRight" state="frozen"/>
      <selection activeCell="M7" sqref="M7"/>
      <selection pane="topRight" activeCell="M7" sqref="M7"/>
      <selection pane="bottomLeft" activeCell="M7" sqref="M7"/>
      <selection pane="bottomRight" activeCell="H37" sqref="H37"/>
    </sheetView>
  </sheetViews>
  <sheetFormatPr defaultColWidth="9.109375" defaultRowHeight="12.6" x14ac:dyDescent="0.25"/>
  <cols>
    <col min="1" max="2" width="9.109375" style="383"/>
    <col min="3" max="3" width="38.109375" style="444" customWidth="1"/>
    <col min="4" max="4" width="9.109375" style="444"/>
    <col min="5" max="5" width="9.109375" style="444" customWidth="1"/>
    <col min="6" max="6" width="12.44140625" style="444" hidden="1" customWidth="1"/>
    <col min="7" max="8" width="9.109375" style="444"/>
    <col min="9" max="16384" width="9.109375" style="383"/>
  </cols>
  <sheetData>
    <row r="1" spans="2:8" x14ac:dyDescent="0.25">
      <c r="C1" s="443" t="s">
        <v>1099</v>
      </c>
    </row>
    <row r="2" spans="2:8" ht="15" customHeight="1" x14ac:dyDescent="0.25">
      <c r="C2" s="445" t="s">
        <v>582</v>
      </c>
      <c r="D2" s="445"/>
      <c r="E2" s="445"/>
      <c r="F2" s="445"/>
      <c r="G2" s="445"/>
      <c r="H2" s="445"/>
    </row>
    <row r="3" spans="2:8" ht="30.75" customHeight="1" x14ac:dyDescent="0.25">
      <c r="C3" s="446" t="s">
        <v>583</v>
      </c>
      <c r="D3" s="447" t="s">
        <v>584</v>
      </c>
      <c r="E3" s="447" t="s">
        <v>585</v>
      </c>
      <c r="F3" s="447" t="s">
        <v>586</v>
      </c>
      <c r="G3" s="447" t="s">
        <v>587</v>
      </c>
      <c r="H3" s="447" t="s">
        <v>588</v>
      </c>
    </row>
    <row r="4" spans="2:8" ht="12" customHeight="1" x14ac:dyDescent="0.25">
      <c r="B4" s="383">
        <v>1</v>
      </c>
      <c r="C4" s="680" t="str">
        <f>'Screening Enhanced'!B9</f>
        <v xml:space="preserve">10x Genomics, Inc. </v>
      </c>
      <c r="D4" s="681">
        <f>'Screening Enhanced'!X9</f>
        <v>1.65</v>
      </c>
      <c r="E4" s="682">
        <f>('Screening Enhanced'!S9-'Screening Enhanced'!Q9)/'Screening Enhanced'!T9</f>
        <v>-0.71118192352259557</v>
      </c>
      <c r="F4" s="683"/>
      <c r="G4" s="683" t="str">
        <f>'Screening Enhanced'!W9</f>
        <v>NM</v>
      </c>
      <c r="H4" s="681" t="str">
        <f t="shared" ref="H4:H26" si="0">IFERROR(D4/(1+((1-G4)*E4)),"N/M")</f>
        <v>N/M</v>
      </c>
    </row>
    <row r="5" spans="2:8" ht="12" customHeight="1" x14ac:dyDescent="0.25">
      <c r="B5" s="383">
        <v>2</v>
      </c>
      <c r="C5" s="680" t="str">
        <f>'Screening Enhanced'!B10</f>
        <v xml:space="preserve">AbCellera Biologics Inc. </v>
      </c>
      <c r="D5" s="681" t="str">
        <f>'Screening Enhanced'!X10</f>
        <v>-</v>
      </c>
      <c r="E5" s="682">
        <f>('Screening Enhanced'!S10-'Screening Enhanced'!Q10)/'Screening Enhanced'!T10</f>
        <v>-0.58371018721128121</v>
      </c>
      <c r="F5" s="683"/>
      <c r="G5" s="682">
        <f>'Screening Enhanced'!W10</f>
        <v>0.27500000000000002</v>
      </c>
      <c r="H5" s="681" t="str">
        <f t="shared" si="0"/>
        <v>N/M</v>
      </c>
    </row>
    <row r="6" spans="2:8" ht="12" customHeight="1" x14ac:dyDescent="0.25">
      <c r="B6" s="383">
        <v>3</v>
      </c>
      <c r="C6" s="680" t="str">
        <f>'Screening Enhanced'!B11</f>
        <v xml:space="preserve">AddLife AB (publ) </v>
      </c>
      <c r="D6" s="681">
        <f>'Screening Enhanced'!X11</f>
        <v>0.90800000000000003</v>
      </c>
      <c r="E6" s="682">
        <f>('Screening Enhanced'!S11-'Screening Enhanced'!Q11)/'Screening Enhanced'!T11</f>
        <v>0.87562904385334284</v>
      </c>
      <c r="F6" s="683"/>
      <c r="G6" s="682">
        <f>'Screening Enhanced'!W11</f>
        <v>0.222</v>
      </c>
      <c r="H6" s="681">
        <f t="shared" si="0"/>
        <v>0.54007775578935124</v>
      </c>
    </row>
    <row r="7" spans="2:8" ht="12" customHeight="1" x14ac:dyDescent="0.25">
      <c r="B7" s="383">
        <v>4</v>
      </c>
      <c r="C7" s="680" t="str">
        <f>'Screening Enhanced'!B12</f>
        <v xml:space="preserve">Bachem Holding AG </v>
      </c>
      <c r="D7" s="681">
        <f>'Screening Enhanced'!X12</f>
        <v>0.53800000000000003</v>
      </c>
      <c r="E7" s="682">
        <f>('Screening Enhanced'!S12-'Screening Enhanced'!Q12)/'Screening Enhanced'!T12</f>
        <v>0.17460674157303371</v>
      </c>
      <c r="F7" s="683"/>
      <c r="G7" s="682">
        <f>'Screening Enhanced'!W12</f>
        <v>0.13900000000000001</v>
      </c>
      <c r="H7" s="681">
        <f t="shared" si="0"/>
        <v>0.46768927584837422</v>
      </c>
    </row>
    <row r="8" spans="2:8" ht="12" customHeight="1" x14ac:dyDescent="0.25">
      <c r="B8" s="383">
        <v>5</v>
      </c>
      <c r="C8" s="448" t="str">
        <f>'Screening Enhanced'!B13</f>
        <v xml:space="preserve">Bio-Rad Laboratories, Inc. </v>
      </c>
      <c r="D8" s="449">
        <f>'Screening Enhanced'!X13</f>
        <v>0.95399999999999996</v>
      </c>
      <c r="E8" s="450">
        <f>('Screening Enhanced'!S13-'Screening Enhanced'!Q13)/'Screening Enhanced'!T13</f>
        <v>-2.697901548137397E-2</v>
      </c>
      <c r="F8" s="451"/>
      <c r="G8" s="450">
        <f>'Screening Enhanced'!W13</f>
        <v>0.222</v>
      </c>
      <c r="H8" s="449">
        <f t="shared" si="0"/>
        <v>0.97445346050759818</v>
      </c>
    </row>
    <row r="9" spans="2:8" ht="12" customHeight="1" x14ac:dyDescent="0.25">
      <c r="B9" s="383">
        <v>6</v>
      </c>
      <c r="C9" s="448" t="str">
        <f>'Screening Enhanced'!B14</f>
        <v xml:space="preserve">Bio-Techne Corporation </v>
      </c>
      <c r="D9" s="449">
        <f>'Screening Enhanced'!X14</f>
        <v>1.27</v>
      </c>
      <c r="E9" s="450">
        <f>('Screening Enhanced'!S14-'Screening Enhanced'!Q14)/'Screening Enhanced'!T14</f>
        <v>0.12952571810287242</v>
      </c>
      <c r="F9" s="451"/>
      <c r="G9" s="450">
        <f>'Screening Enhanced'!W14</f>
        <v>2.4E-2</v>
      </c>
      <c r="H9" s="449">
        <f t="shared" si="0"/>
        <v>1.1274686783615966</v>
      </c>
    </row>
    <row r="10" spans="2:8" ht="12" customHeight="1" x14ac:dyDescent="0.25">
      <c r="B10" s="383">
        <v>7</v>
      </c>
      <c r="C10" s="448" t="str">
        <f>'Screening Enhanced'!B15</f>
        <v xml:space="preserve">Bruker Corporation </v>
      </c>
      <c r="D10" s="449">
        <f>'Screening Enhanced'!X15</f>
        <v>1.31</v>
      </c>
      <c r="E10" s="450">
        <f>('Screening Enhanced'!S15-'Screening Enhanced'!Q15)/'Screening Enhanced'!T15</f>
        <v>0.25425350914504469</v>
      </c>
      <c r="F10" s="451"/>
      <c r="G10" s="450">
        <f>'Screening Enhanced'!W15</f>
        <v>0.27399999999999997</v>
      </c>
      <c r="H10" s="449">
        <f t="shared" si="0"/>
        <v>1.1058696756316457</v>
      </c>
    </row>
    <row r="11" spans="2:8" ht="12" customHeight="1" x14ac:dyDescent="0.25">
      <c r="B11" s="383">
        <v>8</v>
      </c>
      <c r="C11" s="448" t="str">
        <f>'Screening Enhanced'!B16</f>
        <v xml:space="preserve">Charles River Laboratories International, Inc. </v>
      </c>
      <c r="D11" s="449">
        <f>'Screening Enhanced'!X16</f>
        <v>1.21</v>
      </c>
      <c r="E11" s="450">
        <f>('Screening Enhanced'!S16-'Screening Enhanced'!Q16)/'Screening Enhanced'!T16</f>
        <v>0.75308817939946782</v>
      </c>
      <c r="F11" s="451"/>
      <c r="G11" s="450">
        <f>'Screening Enhanced'!W16</f>
        <v>0.17600000000000002</v>
      </c>
      <c r="H11" s="449">
        <f t="shared" si="0"/>
        <v>0.74666254500542151</v>
      </c>
    </row>
    <row r="12" spans="2:8" ht="12" customHeight="1" x14ac:dyDescent="0.25">
      <c r="B12" s="383">
        <v>9</v>
      </c>
      <c r="C12" s="448" t="str">
        <f>'Screening Enhanced'!B17</f>
        <v xml:space="preserve">Clinigen Group plc </v>
      </c>
      <c r="D12" s="449">
        <f>'Screening Enhanced'!X17</f>
        <v>1.44</v>
      </c>
      <c r="E12" s="450">
        <f>('Screening Enhanced'!S17-'Screening Enhanced'!Q17)/'Screening Enhanced'!T17</f>
        <v>0.7511042826963702</v>
      </c>
      <c r="F12" s="451"/>
      <c r="G12" s="450">
        <f>'Screening Enhanced'!W17</f>
        <v>0.23399999999999999</v>
      </c>
      <c r="H12" s="449">
        <f t="shared" si="0"/>
        <v>0.91408497510492104</v>
      </c>
    </row>
    <row r="13" spans="2:8" ht="12" customHeight="1" x14ac:dyDescent="0.25">
      <c r="B13" s="383">
        <v>10</v>
      </c>
      <c r="C13" s="448" t="str">
        <f>'Screening Enhanced'!B18</f>
        <v xml:space="preserve">Evotec SE </v>
      </c>
      <c r="D13" s="449">
        <f>'Screening Enhanced'!X18</f>
        <v>0.94199999999999995</v>
      </c>
      <c r="E13" s="450">
        <f>('Screening Enhanced'!S18-'Screening Enhanced'!Q18)/'Screening Enhanced'!T18</f>
        <v>6.9910345522312858E-2</v>
      </c>
      <c r="F13" s="451"/>
      <c r="G13" s="450">
        <f>'Screening Enhanced'!W18</f>
        <v>5.3200000000000004E-2</v>
      </c>
      <c r="H13" s="449">
        <f t="shared" si="0"/>
        <v>0.88351889883817192</v>
      </c>
    </row>
    <row r="14" spans="2:8" ht="12" customHeight="1" x14ac:dyDescent="0.25">
      <c r="B14" s="383">
        <v>11</v>
      </c>
      <c r="C14" s="680" t="str">
        <f>'Screening Enhanced'!B19</f>
        <v xml:space="preserve">Gerresheimer AG </v>
      </c>
      <c r="D14" s="681">
        <f>'Screening Enhanced'!X19</f>
        <v>0.96899999999999997</v>
      </c>
      <c r="E14" s="682">
        <f>('Screening Enhanced'!S19-'Screening Enhanced'!Q19)/'Screening Enhanced'!T19</f>
        <v>1.0246173605908167</v>
      </c>
      <c r="F14" s="683"/>
      <c r="G14" s="682">
        <f>'Screening Enhanced'!W19</f>
        <v>0.318</v>
      </c>
      <c r="H14" s="681">
        <f t="shared" si="0"/>
        <v>0.57040631722227109</v>
      </c>
    </row>
    <row r="15" spans="2:8" ht="12" customHeight="1" x14ac:dyDescent="0.25">
      <c r="B15" s="383">
        <v>12</v>
      </c>
      <c r="C15" s="680" t="str">
        <f>'Screening Enhanced'!B20</f>
        <v xml:space="preserve">Maravai LifeSciences Holdings, Inc. </v>
      </c>
      <c r="D15" s="681" t="str">
        <f>'Screening Enhanced'!X20</f>
        <v>-</v>
      </c>
      <c r="E15" s="682">
        <f>('Screening Enhanced'!S20-'Screening Enhanced'!Q20)/'Screening Enhanced'!T20</f>
        <v>0.74220746039856933</v>
      </c>
      <c r="F15" s="683"/>
      <c r="G15" s="682">
        <f>'Screening Enhanced'!W20</f>
        <v>0.11</v>
      </c>
      <c r="H15" s="681" t="str">
        <f t="shared" si="0"/>
        <v>N/M</v>
      </c>
    </row>
    <row r="16" spans="2:8" ht="12" customHeight="1" x14ac:dyDescent="0.25">
      <c r="B16" s="383">
        <v>13</v>
      </c>
      <c r="C16" s="448" t="str">
        <f>'Screening Enhanced'!B21</f>
        <v xml:space="preserve">Medpace Holdings, Inc. </v>
      </c>
      <c r="D16" s="449">
        <f>'Screening Enhanced'!X21</f>
        <v>1.39</v>
      </c>
      <c r="E16" s="450">
        <f>('Screening Enhanced'!S21-'Screening Enhanced'!Q21)/'Screening Enhanced'!T21</f>
        <v>-0.15485869144405731</v>
      </c>
      <c r="F16" s="451"/>
      <c r="G16" s="450">
        <f>'Screening Enhanced'!W21</f>
        <v>8.9499999999999996E-2</v>
      </c>
      <c r="H16" s="449">
        <f t="shared" si="0"/>
        <v>1.6181584640346132</v>
      </c>
    </row>
    <row r="17" spans="2:8" ht="12" customHeight="1" x14ac:dyDescent="0.25">
      <c r="B17" s="383">
        <v>14</v>
      </c>
      <c r="C17" s="680" t="str">
        <f>'Screening Enhanced'!B22</f>
        <v xml:space="preserve">NeoGenomics, Inc. </v>
      </c>
      <c r="D17" s="681">
        <f>'Screening Enhanced'!X22</f>
        <v>0.80800000000000005</v>
      </c>
      <c r="E17" s="682">
        <f>('Screening Enhanced'!S22-'Screening Enhanced'!Q22)/'Screening Enhanced'!T22</f>
        <v>-7.949449653485539E-3</v>
      </c>
      <c r="F17" s="683"/>
      <c r="G17" s="682" t="str">
        <f>'Screening Enhanced'!W22</f>
        <v>-</v>
      </c>
      <c r="H17" s="681" t="str">
        <f t="shared" si="0"/>
        <v>N/M</v>
      </c>
    </row>
    <row r="18" spans="2:8" ht="12" customHeight="1" x14ac:dyDescent="0.25">
      <c r="B18" s="383">
        <v>15</v>
      </c>
      <c r="C18" s="680" t="str">
        <f>'Screening Enhanced'!B23</f>
        <v xml:space="preserve">QIAGEN N.V. </v>
      </c>
      <c r="D18" s="681">
        <f>'Screening Enhanced'!X23</f>
        <v>0.28199999999999997</v>
      </c>
      <c r="E18" s="682">
        <f>('Screening Enhanced'!S23-'Screening Enhanced'!Q23)/'Screening Enhanced'!T23</f>
        <v>0.45621659039341617</v>
      </c>
      <c r="F18" s="683"/>
      <c r="G18" s="682">
        <f>'Screening Enhanced'!W23</f>
        <v>0.16899999999999998</v>
      </c>
      <c r="H18" s="681">
        <f t="shared" si="0"/>
        <v>0.20447881304876059</v>
      </c>
    </row>
    <row r="19" spans="2:8" ht="12" customHeight="1" x14ac:dyDescent="0.25">
      <c r="B19" s="383">
        <v>16</v>
      </c>
      <c r="C19" s="448" t="str">
        <f>'Screening Enhanced'!B24</f>
        <v xml:space="preserve">Repligen Corporation </v>
      </c>
      <c r="D19" s="449">
        <f>'Screening Enhanced'!X24</f>
        <v>0.90600000000000003</v>
      </c>
      <c r="E19" s="450">
        <f>('Screening Enhanced'!S24-'Screening Enhanced'!Q24)/'Screening Enhanced'!T24</f>
        <v>-0.24407054530711533</v>
      </c>
      <c r="F19" s="451"/>
      <c r="G19" s="450">
        <f>'Screening Enhanced'!W24</f>
        <v>0.109</v>
      </c>
      <c r="H19" s="449">
        <f t="shared" si="0"/>
        <v>1.1577784363443064</v>
      </c>
    </row>
    <row r="20" spans="2:8" ht="12" customHeight="1" x14ac:dyDescent="0.25">
      <c r="B20" s="383">
        <v>17</v>
      </c>
      <c r="C20" s="680" t="str">
        <f>'Screening Enhanced'!B25</f>
        <v xml:space="preserve">Sartorius Stedim Biotech S.A. </v>
      </c>
      <c r="D20" s="681">
        <f>'Screening Enhanced'!X25</f>
        <v>0.13400000000000001</v>
      </c>
      <c r="E20" s="682">
        <f>('Screening Enhanced'!S25-'Screening Enhanced'!Q25)/'Screening Enhanced'!T25</f>
        <v>0.29885448565271633</v>
      </c>
      <c r="F20" s="683"/>
      <c r="G20" s="682">
        <f>'Screening Enhanced'!W25</f>
        <v>0.28100000000000003</v>
      </c>
      <c r="H20" s="681">
        <f t="shared" si="0"/>
        <v>0.11029928866603526</v>
      </c>
    </row>
    <row r="21" spans="2:8" ht="12" customHeight="1" x14ac:dyDescent="0.25">
      <c r="B21" s="383">
        <v>18</v>
      </c>
      <c r="C21" s="680" t="str">
        <f>'Screening Enhanced'!B26</f>
        <v xml:space="preserve">Siegfried Holding AG </v>
      </c>
      <c r="D21" s="681">
        <f>'Screening Enhanced'!X26</f>
        <v>0.74</v>
      </c>
      <c r="E21" s="682">
        <f>('Screening Enhanced'!S26-'Screening Enhanced'!Q26)/'Screening Enhanced'!T26</f>
        <v>0.10920652474426322</v>
      </c>
      <c r="F21" s="683"/>
      <c r="G21" s="682">
        <f>'Screening Enhanced'!W26</f>
        <v>0.18</v>
      </c>
      <c r="H21" s="681">
        <f t="shared" si="0"/>
        <v>0.67917988276789565</v>
      </c>
    </row>
    <row r="22" spans="2:8" ht="12" customHeight="1" x14ac:dyDescent="0.25">
      <c r="B22" s="383">
        <v>19</v>
      </c>
      <c r="C22" s="680" t="str">
        <f>'Screening Enhanced'!B27</f>
        <v xml:space="preserve">Sotera Health Company </v>
      </c>
      <c r="D22" s="681" t="str">
        <f>'Screening Enhanced'!X27</f>
        <v>-</v>
      </c>
      <c r="E22" s="682">
        <f>('Screening Enhanced'!S27-'Screening Enhanced'!Q27)/'Screening Enhanced'!T27</f>
        <v>3.2561728395061729</v>
      </c>
      <c r="F22" s="683"/>
      <c r="G22" s="682">
        <f>'Screening Enhanced'!W27</f>
        <v>0.53900000000000003</v>
      </c>
      <c r="H22" s="681" t="str">
        <f t="shared" si="0"/>
        <v>N/M</v>
      </c>
    </row>
    <row r="23" spans="2:8" ht="12" customHeight="1" x14ac:dyDescent="0.25">
      <c r="B23" s="383">
        <v>20</v>
      </c>
      <c r="C23" s="680" t="str">
        <f>'Screening Enhanced'!B28</f>
        <v xml:space="preserve">Stevanato Group S.p.A. </v>
      </c>
      <c r="D23" s="681" t="str">
        <f>'Screening Enhanced'!X28</f>
        <v>-</v>
      </c>
      <c r="E23" s="682">
        <f>('Screening Enhanced'!S28-'Screening Enhanced'!Q28)/'Screening Enhanced'!T28</f>
        <v>0.31813013265950724</v>
      </c>
      <c r="F23" s="683"/>
      <c r="G23" s="682">
        <f>'Screening Enhanced'!W28</f>
        <v>0.16399999999999998</v>
      </c>
      <c r="H23" s="681" t="str">
        <f t="shared" si="0"/>
        <v>N/M</v>
      </c>
    </row>
    <row r="24" spans="2:8" ht="12" customHeight="1" x14ac:dyDescent="0.25">
      <c r="B24" s="383">
        <v>21</v>
      </c>
      <c r="C24" s="680" t="str">
        <f>'Screening Enhanced'!B29</f>
        <v xml:space="preserve">Tecan Group Ltd. </v>
      </c>
      <c r="D24" s="681">
        <f>'Screening Enhanced'!X29</f>
        <v>0.25800000000000001</v>
      </c>
      <c r="E24" s="682">
        <f>('Screening Enhanced'!S29-'Screening Enhanced'!Q29)/'Screening Enhanced'!T29</f>
        <v>-0.13561588872542463</v>
      </c>
      <c r="F24" s="683"/>
      <c r="G24" s="682">
        <f>'Screening Enhanced'!W29</f>
        <v>0.126</v>
      </c>
      <c r="H24" s="681">
        <f t="shared" si="0"/>
        <v>0.29269231913022525</v>
      </c>
    </row>
    <row r="25" spans="2:8" ht="12" customHeight="1" x14ac:dyDescent="0.25">
      <c r="B25" s="383">
        <v>22</v>
      </c>
      <c r="C25" s="680" t="str">
        <f>'Screening Enhanced'!B30</f>
        <v xml:space="preserve">Waters Corporation </v>
      </c>
      <c r="D25" s="681">
        <f>'Screening Enhanced'!X30</f>
        <v>0.91900000000000004</v>
      </c>
      <c r="E25" s="682">
        <f>('Screening Enhanced'!S30-'Screening Enhanced'!Q30)/'Screening Enhanced'!T30</f>
        <v>2.7549504950495045</v>
      </c>
      <c r="F25" s="683"/>
      <c r="G25" s="682">
        <f>'Screening Enhanced'!W30</f>
        <v>0.14099999999999999</v>
      </c>
      <c r="H25" s="681">
        <f t="shared" si="0"/>
        <v>0.27298361036625407</v>
      </c>
    </row>
    <row r="26" spans="2:8" ht="12" customHeight="1" x14ac:dyDescent="0.25">
      <c r="B26" s="383">
        <v>23</v>
      </c>
      <c r="C26" s="448" t="str">
        <f>'Screening Enhanced'!B31</f>
        <v xml:space="preserve">West Pharmaceutical Services, Inc. </v>
      </c>
      <c r="D26" s="449">
        <f>'Screening Enhanced'!X31</f>
        <v>1.04</v>
      </c>
      <c r="E26" s="450">
        <f>('Screening Enhanced'!S31-'Screening Enhanced'!Q31)/'Screening Enhanced'!T31</f>
        <v>-0.12230935213936107</v>
      </c>
      <c r="F26" s="451"/>
      <c r="G26" s="450">
        <f>'Screening Enhanced'!W31</f>
        <v>0.13200000000000001</v>
      </c>
      <c r="H26" s="449">
        <f t="shared" si="0"/>
        <v>1.1635250787693285</v>
      </c>
    </row>
    <row r="27" spans="2:8" ht="12" customHeight="1" x14ac:dyDescent="0.25">
      <c r="C27" s="452" t="s">
        <v>591</v>
      </c>
      <c r="D27" s="453">
        <f t="shared" ref="D27:G27" si="1">AVERAGE(D8,D9,D10,D11,D12,D13,D16,D19,D26)</f>
        <v>1.1624444444444444</v>
      </c>
      <c r="E27" s="454">
        <f t="shared" si="1"/>
        <v>0.15662938116601782</v>
      </c>
      <c r="F27" s="454" t="e">
        <f t="shared" si="1"/>
        <v>#DIV/0!</v>
      </c>
      <c r="G27" s="454">
        <f t="shared" si="1"/>
        <v>0.14596666666666666</v>
      </c>
      <c r="H27" s="453">
        <f>AVERAGE(H8,H9,H10,H11,H12,H13,H16,H19,H26)</f>
        <v>1.0768355791775113</v>
      </c>
    </row>
    <row r="28" spans="2:8" x14ac:dyDescent="0.25">
      <c r="C28" s="442"/>
    </row>
    <row r="29" spans="2:8" x14ac:dyDescent="0.25">
      <c r="C29" s="442"/>
    </row>
    <row r="30" spans="2:8" ht="15" customHeight="1" x14ac:dyDescent="0.25">
      <c r="C30" s="384" t="s">
        <v>592</v>
      </c>
      <c r="D30" s="384"/>
      <c r="E30" s="384"/>
      <c r="F30" s="384"/>
      <c r="G30" s="384"/>
      <c r="H30" s="384"/>
    </row>
    <row r="31" spans="2:8" ht="20.399999999999999" x14ac:dyDescent="0.25">
      <c r="C31" s="385" t="s">
        <v>593</v>
      </c>
      <c r="D31" s="386" t="s">
        <v>588</v>
      </c>
      <c r="E31" s="386" t="s">
        <v>594</v>
      </c>
      <c r="G31" s="387" t="s">
        <v>587</v>
      </c>
      <c r="H31" s="386" t="s">
        <v>595</v>
      </c>
    </row>
    <row r="32" spans="2:8" ht="13.2" thickBot="1" x14ac:dyDescent="0.3">
      <c r="C32" s="621" t="s">
        <v>596</v>
      </c>
      <c r="D32" s="622">
        <f>H27</f>
        <v>1.0768355791775113</v>
      </c>
      <c r="E32" s="623">
        <f>E27</f>
        <v>0.15662938116601782</v>
      </c>
      <c r="F32" s="624"/>
      <c r="G32" s="625">
        <f>G27</f>
        <v>0.14596666666666666</v>
      </c>
      <c r="H32" s="626">
        <f>D32*(1+((1-G32)*E32))</f>
        <v>1.2208803345018993</v>
      </c>
    </row>
    <row r="33" spans="3:12" x14ac:dyDescent="0.25">
      <c r="C33" s="442"/>
    </row>
    <row r="34" spans="3:12" ht="15" customHeight="1" x14ac:dyDescent="0.25">
      <c r="C34" s="455" t="s">
        <v>597</v>
      </c>
      <c r="D34" s="455"/>
      <c r="E34" s="455"/>
      <c r="F34" s="455"/>
      <c r="G34" s="455"/>
      <c r="H34" s="455"/>
    </row>
    <row r="35" spans="3:12" ht="12" customHeight="1" x14ac:dyDescent="0.25">
      <c r="C35" s="456" t="s">
        <v>598</v>
      </c>
      <c r="D35" s="456"/>
      <c r="E35" s="456"/>
      <c r="F35" s="456"/>
      <c r="G35" s="456"/>
      <c r="H35" s="457" t="s">
        <v>599</v>
      </c>
    </row>
    <row r="36" spans="3:12" ht="12" customHeight="1" x14ac:dyDescent="0.25">
      <c r="C36" s="456"/>
      <c r="D36" s="456"/>
      <c r="E36" s="456"/>
      <c r="F36" s="456"/>
      <c r="G36" s="456"/>
      <c r="H36" s="457"/>
    </row>
    <row r="37" spans="3:12" ht="12" customHeight="1" x14ac:dyDescent="0.25">
      <c r="C37" s="458" t="s">
        <v>600</v>
      </c>
      <c r="D37" s="456"/>
      <c r="E37" s="456"/>
      <c r="F37" s="456"/>
      <c r="G37" s="456"/>
      <c r="H37" s="684">
        <v>2.5000000000000001E-2</v>
      </c>
      <c r="I37" s="383" t="s">
        <v>1142</v>
      </c>
    </row>
    <row r="38" spans="3:12" ht="12" customHeight="1" x14ac:dyDescent="0.25">
      <c r="C38" s="388" t="s">
        <v>601</v>
      </c>
      <c r="D38" s="456"/>
      <c r="E38" s="456"/>
      <c r="F38" s="456"/>
      <c r="G38" s="456"/>
      <c r="H38" s="459">
        <f>H32</f>
        <v>1.2208803345018993</v>
      </c>
    </row>
    <row r="39" spans="3:12" ht="12" customHeight="1" x14ac:dyDescent="0.25">
      <c r="C39" s="458" t="s">
        <v>1127</v>
      </c>
      <c r="D39" s="456"/>
      <c r="E39" s="456"/>
      <c r="F39" s="456"/>
      <c r="G39" s="456"/>
      <c r="H39" s="684">
        <v>7.0000000000000007E-2</v>
      </c>
      <c r="I39" s="383" t="s">
        <v>1142</v>
      </c>
    </row>
    <row r="40" spans="3:12" ht="12" customHeight="1" x14ac:dyDescent="0.25">
      <c r="C40" s="460" t="s">
        <v>538</v>
      </c>
      <c r="D40" s="460"/>
      <c r="E40" s="460"/>
      <c r="F40" s="460"/>
      <c r="G40" s="460"/>
      <c r="H40" s="461">
        <f>H37+H38*H39</f>
        <v>0.11046162341513296</v>
      </c>
      <c r="I40" s="1"/>
    </row>
    <row r="41" spans="3:12" ht="12" customHeight="1" x14ac:dyDescent="0.25">
      <c r="C41" s="462"/>
      <c r="D41" s="462"/>
      <c r="E41" s="462"/>
      <c r="F41" s="462"/>
      <c r="G41" s="462"/>
      <c r="H41" s="463"/>
    </row>
    <row r="42" spans="3:12" ht="12" customHeight="1" x14ac:dyDescent="0.25">
      <c r="C42" s="464" t="s">
        <v>544</v>
      </c>
      <c r="D42" s="462"/>
      <c r="E42" s="462"/>
      <c r="F42" s="462"/>
      <c r="G42" s="462"/>
      <c r="H42" s="685">
        <v>0.03</v>
      </c>
      <c r="I42" s="383" t="s">
        <v>1129</v>
      </c>
    </row>
    <row r="43" spans="3:12" ht="12" customHeight="1" x14ac:dyDescent="0.25">
      <c r="C43" s="617" t="s">
        <v>1128</v>
      </c>
      <c r="D43" s="617"/>
      <c r="E43" s="617"/>
      <c r="F43" s="617"/>
      <c r="G43" s="617"/>
      <c r="H43" s="618">
        <v>0.3</v>
      </c>
    </row>
    <row r="44" spans="3:12" ht="12" customHeight="1" thickBot="1" x14ac:dyDescent="0.3">
      <c r="C44" s="619" t="s">
        <v>602</v>
      </c>
      <c r="D44" s="619"/>
      <c r="E44" s="619"/>
      <c r="F44" s="619"/>
      <c r="G44" s="619"/>
      <c r="H44" s="620">
        <f>H42*(1-H43)</f>
        <v>2.0999999999999998E-2</v>
      </c>
      <c r="I44" s="1"/>
    </row>
    <row r="46" spans="3:12" ht="15" customHeight="1" x14ac:dyDescent="0.25">
      <c r="C46" s="445" t="s">
        <v>549</v>
      </c>
      <c r="D46" s="445"/>
      <c r="E46" s="445"/>
      <c r="F46" s="445"/>
      <c r="G46" s="445"/>
      <c r="H46" s="445"/>
    </row>
    <row r="47" spans="3:12" x14ac:dyDescent="0.25">
      <c r="C47" s="465" t="s">
        <v>49</v>
      </c>
      <c r="D47" s="466" t="s">
        <v>599</v>
      </c>
      <c r="E47" s="466" t="s">
        <v>603</v>
      </c>
      <c r="F47" s="466"/>
      <c r="G47" s="467"/>
      <c r="H47" s="467" t="s">
        <v>604</v>
      </c>
    </row>
    <row r="48" spans="3:12" x14ac:dyDescent="0.25">
      <c r="C48" s="468" t="s">
        <v>605</v>
      </c>
      <c r="D48" s="469">
        <f>H40</f>
        <v>0.11046162341513296</v>
      </c>
      <c r="E48" s="469">
        <f>Highlights!R47/(Highlights!R47+Highlights!R46)</f>
        <v>0.67602643704927812</v>
      </c>
      <c r="F48" s="469"/>
      <c r="G48" s="469"/>
      <c r="H48" s="470">
        <f>IFERROR(D48*E48,0)</f>
        <v>7.4674977708011445E-2</v>
      </c>
      <c r="J48" s="389"/>
      <c r="K48" s="390"/>
      <c r="L48" s="391"/>
    </row>
    <row r="49" spans="3:12" x14ac:dyDescent="0.25">
      <c r="C49" s="468" t="s">
        <v>606</v>
      </c>
      <c r="D49" s="469">
        <f>H44</f>
        <v>2.0999999999999998E-2</v>
      </c>
      <c r="E49" s="469">
        <f>1-E48</f>
        <v>0.32397356295072188</v>
      </c>
      <c r="F49" s="469"/>
      <c r="G49" s="469"/>
      <c r="H49" s="470">
        <f>IFERROR(D49*E49,0)</f>
        <v>6.8034448219651588E-3</v>
      </c>
      <c r="J49" s="392"/>
      <c r="K49" s="390"/>
      <c r="L49" s="393"/>
    </row>
    <row r="50" spans="3:12" ht="13.2" thickBot="1" x14ac:dyDescent="0.3">
      <c r="C50" s="627" t="s">
        <v>549</v>
      </c>
      <c r="D50" s="628"/>
      <c r="E50" s="628">
        <f>SUM(E48:E49)</f>
        <v>1</v>
      </c>
      <c r="F50" s="628"/>
      <c r="G50" s="628"/>
      <c r="H50" s="629">
        <f>SUM(H48:H49)</f>
        <v>8.1478422529976599E-2</v>
      </c>
      <c r="J50" s="392"/>
      <c r="L50" s="391"/>
    </row>
    <row r="52" spans="3:12" x14ac:dyDescent="0.25">
      <c r="C52" s="444" t="s">
        <v>692</v>
      </c>
    </row>
  </sheetData>
  <pageMargins left="0.7" right="0.7" top="0.75" bottom="0.75" header="0.3" footer="0.3"/>
  <pageSetup orientation="portrait" horizontalDpi="4294967295" verticalDpi="4294967295"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C614-E05B-4CEE-8AE0-0C4D0EA5596C}">
  <sheetPr>
    <tabColor rgb="FF0000FF"/>
  </sheetPr>
  <dimension ref="A1:BZ108"/>
  <sheetViews>
    <sheetView showGridLines="0" zoomScale="85" zoomScaleNormal="85" workbookViewId="0">
      <selection activeCell="M40" sqref="M40"/>
    </sheetView>
  </sheetViews>
  <sheetFormatPr defaultColWidth="9.109375" defaultRowHeight="12" x14ac:dyDescent="0.2"/>
  <cols>
    <col min="1" max="1" width="1" style="483" customWidth="1"/>
    <col min="2" max="2" width="27.109375" style="483" customWidth="1"/>
    <col min="3" max="3" width="12.33203125" style="523" bestFit="1" customWidth="1"/>
    <col min="4" max="6" width="12" style="483" customWidth="1"/>
    <col min="7" max="8" width="9.88671875" style="483" customWidth="1"/>
    <col min="9" max="9" width="1" style="483" customWidth="1"/>
    <col min="10" max="11" width="10.33203125" style="483" customWidth="1"/>
    <col min="12" max="12" width="10.88671875" style="483" customWidth="1"/>
    <col min="13" max="13" width="9.88671875" style="483" customWidth="1"/>
    <col min="14" max="14" width="2.44140625" style="482" customWidth="1"/>
    <col min="15" max="17" width="10.109375" style="482" customWidth="1"/>
    <col min="18" max="18" width="2.44140625" style="482" customWidth="1"/>
    <col min="19" max="19" width="10.109375" style="482" customWidth="1"/>
    <col min="20" max="20" width="10.33203125" style="482" customWidth="1"/>
    <col min="21" max="21" width="10.109375" style="483" customWidth="1"/>
    <col min="22" max="22" width="32.88671875" style="483" bestFit="1" customWidth="1"/>
    <col min="23" max="34" width="14.44140625" style="483" customWidth="1"/>
    <col min="35" max="16384" width="9.109375" style="483"/>
  </cols>
  <sheetData>
    <row r="1" spans="1:78" x14ac:dyDescent="0.2">
      <c r="A1" s="479"/>
      <c r="B1" s="480"/>
      <c r="C1" s="481"/>
      <c r="D1" s="479"/>
      <c r="E1" s="479"/>
      <c r="F1" s="479"/>
      <c r="G1" s="479"/>
      <c r="H1" s="479"/>
      <c r="I1" s="479"/>
      <c r="J1" s="479"/>
      <c r="K1" s="479"/>
      <c r="L1" s="479"/>
      <c r="M1" s="479"/>
      <c r="U1" s="479"/>
      <c r="V1" s="482"/>
      <c r="W1" s="482"/>
      <c r="X1" s="482"/>
      <c r="Y1" s="482"/>
      <c r="Z1" s="482"/>
      <c r="AA1" s="482"/>
      <c r="AB1" s="482"/>
      <c r="AC1" s="482"/>
      <c r="AD1" s="482"/>
      <c r="AE1" s="482"/>
      <c r="AF1" s="482"/>
      <c r="AG1" s="482"/>
      <c r="AH1" s="482"/>
      <c r="AI1" s="482"/>
      <c r="AJ1" s="482"/>
      <c r="AK1" s="482"/>
      <c r="AL1" s="482"/>
      <c r="AM1" s="482"/>
      <c r="AN1" s="482"/>
      <c r="AO1" s="482"/>
      <c r="AP1" s="482"/>
      <c r="AQ1" s="482"/>
      <c r="AR1" s="482"/>
      <c r="AS1" s="482"/>
      <c r="AT1" s="482"/>
      <c r="AU1" s="482"/>
      <c r="AV1" s="482"/>
      <c r="AW1" s="482"/>
      <c r="AX1" s="482"/>
      <c r="AY1" s="482"/>
      <c r="AZ1" s="482"/>
      <c r="BA1" s="482"/>
      <c r="BB1" s="482"/>
      <c r="BC1" s="482"/>
      <c r="BD1" s="482"/>
      <c r="BE1" s="482"/>
      <c r="BF1" s="482"/>
      <c r="BG1" s="482"/>
      <c r="BH1" s="482"/>
      <c r="BI1" s="482"/>
      <c r="BJ1" s="482"/>
      <c r="BK1" s="482"/>
      <c r="BL1" s="482"/>
      <c r="BM1" s="482"/>
      <c r="BN1" s="482"/>
      <c r="BO1" s="482"/>
      <c r="BP1" s="482"/>
      <c r="BQ1" s="482"/>
      <c r="BR1" s="482"/>
      <c r="BS1" s="482"/>
      <c r="BT1" s="482"/>
      <c r="BU1" s="482"/>
      <c r="BV1" s="482"/>
      <c r="BW1" s="482"/>
      <c r="BX1" s="482"/>
      <c r="BY1" s="482"/>
      <c r="BZ1" s="482"/>
    </row>
    <row r="2" spans="1:78" ht="12.6" x14ac:dyDescent="0.25">
      <c r="A2" s="479"/>
      <c r="B2" s="382"/>
      <c r="C2" s="481"/>
      <c r="D2" s="371"/>
      <c r="E2" s="479"/>
      <c r="F2" s="479"/>
      <c r="G2" s="479"/>
      <c r="H2" s="479"/>
      <c r="I2" s="479"/>
      <c r="J2" s="479"/>
      <c r="K2" s="479"/>
      <c r="L2" s="479"/>
      <c r="M2" s="479"/>
      <c r="U2" s="479"/>
      <c r="V2" s="482"/>
      <c r="W2" s="482"/>
      <c r="X2" s="482"/>
      <c r="Y2" s="482"/>
      <c r="Z2" s="482"/>
      <c r="AA2" s="482"/>
      <c r="AB2" s="482"/>
      <c r="AC2" s="482"/>
      <c r="AD2" s="482"/>
      <c r="AE2" s="482"/>
      <c r="AF2" s="482"/>
      <c r="AG2" s="482"/>
      <c r="AH2" s="482"/>
      <c r="AI2" s="482"/>
      <c r="AJ2" s="482"/>
      <c r="AK2" s="482"/>
      <c r="AL2" s="482"/>
      <c r="AM2" s="482"/>
      <c r="AN2" s="482"/>
      <c r="AO2" s="482"/>
      <c r="AP2" s="482"/>
      <c r="AQ2" s="482"/>
      <c r="AR2" s="482"/>
      <c r="AS2" s="482"/>
      <c r="AT2" s="482"/>
      <c r="AU2" s="482"/>
      <c r="AV2" s="482"/>
      <c r="AW2" s="482"/>
      <c r="AX2" s="482"/>
      <c r="AY2" s="482"/>
      <c r="AZ2" s="482"/>
      <c r="BA2" s="482"/>
      <c r="BB2" s="482"/>
      <c r="BC2" s="482"/>
      <c r="BD2" s="482"/>
      <c r="BE2" s="482"/>
      <c r="BF2" s="482"/>
      <c r="BG2" s="482"/>
      <c r="BH2" s="482"/>
      <c r="BI2" s="482"/>
      <c r="BJ2" s="482"/>
      <c r="BK2" s="482"/>
      <c r="BL2" s="482"/>
      <c r="BM2" s="482"/>
      <c r="BN2" s="482"/>
      <c r="BO2" s="482"/>
      <c r="BP2" s="482"/>
      <c r="BQ2" s="482"/>
      <c r="BR2" s="482"/>
      <c r="BS2" s="482"/>
      <c r="BT2" s="482"/>
      <c r="BU2" s="482"/>
      <c r="BV2" s="482"/>
      <c r="BW2" s="482"/>
      <c r="BX2" s="482"/>
      <c r="BY2" s="482"/>
      <c r="BZ2" s="482"/>
    </row>
    <row r="3" spans="1:78" x14ac:dyDescent="0.2">
      <c r="A3" s="479"/>
      <c r="B3" s="479" t="s">
        <v>735</v>
      </c>
      <c r="C3" s="481"/>
      <c r="D3" s="479"/>
      <c r="E3" s="479"/>
      <c r="F3" s="479"/>
      <c r="G3" s="479"/>
      <c r="H3" s="479"/>
      <c r="I3" s="479"/>
      <c r="J3" s="479"/>
      <c r="K3" s="479"/>
      <c r="L3" s="479"/>
      <c r="M3" s="479"/>
      <c r="U3" s="479"/>
      <c r="V3" s="482"/>
      <c r="W3" s="482"/>
      <c r="X3" s="482"/>
      <c r="Y3" s="482"/>
      <c r="Z3" s="482"/>
      <c r="AA3" s="482"/>
      <c r="AB3" s="482"/>
      <c r="AC3" s="482"/>
      <c r="AD3" s="482"/>
      <c r="AE3" s="482"/>
      <c r="AF3" s="482"/>
      <c r="AG3" s="482"/>
      <c r="AH3" s="482"/>
      <c r="AI3" s="482"/>
      <c r="AJ3" s="482"/>
      <c r="AK3" s="482"/>
      <c r="AL3" s="482"/>
      <c r="AM3" s="482"/>
      <c r="AN3" s="482"/>
      <c r="AO3" s="482"/>
      <c r="AP3" s="482"/>
      <c r="AQ3" s="482"/>
      <c r="AR3" s="482"/>
      <c r="AS3" s="482"/>
      <c r="AT3" s="482"/>
      <c r="AU3" s="482"/>
      <c r="AV3" s="482"/>
      <c r="AW3" s="482"/>
      <c r="AX3" s="482"/>
      <c r="AY3" s="482"/>
      <c r="AZ3" s="482"/>
      <c r="BA3" s="482"/>
      <c r="BB3" s="482"/>
      <c r="BC3" s="482"/>
      <c r="BD3" s="482"/>
      <c r="BE3" s="482"/>
      <c r="BF3" s="482"/>
      <c r="BG3" s="482"/>
      <c r="BH3" s="482"/>
      <c r="BI3" s="482"/>
      <c r="BJ3" s="482"/>
      <c r="BK3" s="482"/>
      <c r="BL3" s="482"/>
      <c r="BM3" s="482"/>
      <c r="BN3" s="482"/>
      <c r="BO3" s="482"/>
      <c r="BP3" s="482"/>
      <c r="BQ3" s="482"/>
      <c r="BR3" s="482"/>
      <c r="BS3" s="482"/>
      <c r="BT3" s="482"/>
      <c r="BU3" s="482"/>
      <c r="BV3" s="482"/>
      <c r="BW3" s="482"/>
      <c r="BX3" s="482"/>
      <c r="BY3" s="482"/>
      <c r="BZ3" s="482"/>
    </row>
    <row r="4" spans="1:78" ht="12" customHeight="1" x14ac:dyDescent="0.2">
      <c r="A4" s="479"/>
      <c r="B4" s="479"/>
      <c r="C4" s="481"/>
      <c r="D4" s="479"/>
      <c r="E4" s="479"/>
      <c r="F4" s="479"/>
      <c r="G4" s="484"/>
      <c r="H4" s="479"/>
      <c r="I4" s="479"/>
      <c r="J4" s="479"/>
      <c r="K4" s="485"/>
      <c r="L4" s="485"/>
      <c r="M4" s="479"/>
      <c r="U4" s="479"/>
      <c r="V4" s="482"/>
      <c r="W4" s="482"/>
      <c r="X4" s="482"/>
      <c r="Y4" s="482"/>
      <c r="Z4" s="482"/>
      <c r="AA4" s="482"/>
      <c r="AB4" s="482"/>
      <c r="AC4" s="482"/>
      <c r="AD4" s="482"/>
      <c r="AE4" s="482"/>
      <c r="AF4" s="482"/>
      <c r="AG4" s="482"/>
      <c r="AH4" s="482"/>
      <c r="AI4" s="482"/>
      <c r="AJ4" s="482"/>
      <c r="AK4" s="482"/>
      <c r="AL4" s="482"/>
      <c r="AM4" s="482"/>
      <c r="AN4" s="482"/>
      <c r="AO4" s="482"/>
      <c r="AP4" s="482"/>
      <c r="AQ4" s="482"/>
      <c r="AR4" s="482"/>
      <c r="AS4" s="482"/>
      <c r="AT4" s="482"/>
      <c r="AU4" s="482"/>
      <c r="AV4" s="482"/>
      <c r="AW4" s="482"/>
      <c r="AX4" s="482"/>
      <c r="AY4" s="482"/>
      <c r="AZ4" s="482"/>
      <c r="BA4" s="482"/>
      <c r="BB4" s="482"/>
      <c r="BC4" s="482"/>
      <c r="BD4" s="482"/>
      <c r="BE4" s="482"/>
      <c r="BF4" s="482"/>
      <c r="BG4" s="482"/>
      <c r="BH4" s="482"/>
      <c r="BI4" s="482"/>
      <c r="BJ4" s="482"/>
      <c r="BK4" s="482"/>
      <c r="BL4" s="482"/>
      <c r="BM4" s="482"/>
      <c r="BN4" s="482"/>
      <c r="BO4" s="482"/>
      <c r="BP4" s="482"/>
      <c r="BQ4" s="482"/>
      <c r="BR4" s="482"/>
      <c r="BS4" s="482"/>
      <c r="BT4" s="482"/>
      <c r="BU4" s="482"/>
      <c r="BV4" s="482"/>
      <c r="BW4" s="482"/>
      <c r="BX4" s="482"/>
      <c r="BY4" s="482"/>
      <c r="BZ4" s="482"/>
    </row>
    <row r="5" spans="1:78" ht="12" customHeight="1" x14ac:dyDescent="0.25">
      <c r="A5" s="479"/>
      <c r="B5" s="486" t="s">
        <v>717</v>
      </c>
      <c r="C5" s="481"/>
      <c r="D5" s="479"/>
      <c r="E5" s="479"/>
      <c r="F5" s="479"/>
      <c r="G5" s="479"/>
      <c r="H5" s="479"/>
      <c r="I5" s="479"/>
      <c r="J5" s="479"/>
      <c r="K5" s="479"/>
      <c r="L5" s="479"/>
      <c r="M5" s="479"/>
      <c r="U5" s="479"/>
      <c r="V5" s="482"/>
      <c r="W5" s="482"/>
      <c r="X5" s="482"/>
      <c r="Y5" s="482"/>
      <c r="Z5" s="482"/>
      <c r="AA5" s="482"/>
      <c r="AB5" s="482"/>
      <c r="AC5" s="482"/>
      <c r="AD5" s="482"/>
      <c r="AE5" s="482"/>
      <c r="AF5" s="482"/>
      <c r="AG5" s="482"/>
      <c r="AH5" s="482"/>
      <c r="AI5" s="482"/>
      <c r="AJ5" s="482"/>
      <c r="AK5" s="482"/>
      <c r="AL5" s="482"/>
      <c r="AM5" s="482"/>
      <c r="AN5" s="482"/>
      <c r="AO5" s="482"/>
      <c r="AP5" s="482"/>
      <c r="AQ5" s="482"/>
      <c r="AR5" s="482"/>
      <c r="AS5" s="482"/>
      <c r="AT5" s="482"/>
      <c r="AU5" s="482"/>
      <c r="AV5" s="482"/>
      <c r="AW5" s="482"/>
      <c r="AX5" s="482"/>
      <c r="AY5" s="482"/>
      <c r="AZ5" s="482"/>
      <c r="BA5" s="482"/>
      <c r="BB5" s="482"/>
      <c r="BC5" s="482"/>
      <c r="BD5" s="482"/>
      <c r="BE5" s="482"/>
      <c r="BF5" s="482"/>
      <c r="BG5" s="482"/>
      <c r="BH5" s="482"/>
      <c r="BI5" s="482"/>
      <c r="BJ5" s="482"/>
      <c r="BK5" s="482"/>
      <c r="BL5" s="482"/>
      <c r="BM5" s="482"/>
      <c r="BN5" s="482"/>
      <c r="BO5" s="482"/>
      <c r="BP5" s="482"/>
      <c r="BQ5" s="482"/>
      <c r="BR5" s="482"/>
      <c r="BS5" s="482"/>
      <c r="BT5" s="482"/>
      <c r="BU5" s="482"/>
      <c r="BV5" s="482"/>
      <c r="BW5" s="482"/>
      <c r="BX5" s="482"/>
      <c r="BY5" s="482"/>
      <c r="BZ5" s="482"/>
    </row>
    <row r="6" spans="1:78" ht="12" customHeight="1" thickBot="1" x14ac:dyDescent="0.25">
      <c r="A6" s="479"/>
      <c r="B6" s="524" t="s">
        <v>718</v>
      </c>
      <c r="C6" s="524" t="s">
        <v>719</v>
      </c>
      <c r="D6" s="479"/>
      <c r="E6" s="479"/>
      <c r="F6" s="479"/>
      <c r="G6" s="479"/>
      <c r="H6" s="479"/>
      <c r="I6" s="479"/>
      <c r="J6" s="479"/>
      <c r="K6" s="479"/>
      <c r="L6" s="479"/>
      <c r="M6" s="479"/>
      <c r="U6" s="479"/>
      <c r="V6" s="482"/>
      <c r="W6" s="482"/>
      <c r="X6" s="482"/>
      <c r="Y6" s="482"/>
      <c r="Z6" s="482"/>
      <c r="AA6" s="482"/>
      <c r="AB6" s="482"/>
      <c r="AC6" s="482"/>
      <c r="AD6" s="482"/>
      <c r="AE6" s="482"/>
      <c r="AF6" s="482"/>
      <c r="AG6" s="482"/>
      <c r="AH6" s="482"/>
      <c r="AI6" s="482"/>
      <c r="AJ6" s="482"/>
      <c r="AK6" s="482"/>
      <c r="AL6" s="482"/>
      <c r="AM6" s="482"/>
      <c r="AN6" s="482"/>
      <c r="AO6" s="482"/>
      <c r="AP6" s="482"/>
      <c r="AQ6" s="482"/>
      <c r="AR6" s="482"/>
      <c r="AS6" s="482"/>
      <c r="AT6" s="482"/>
      <c r="AU6" s="482"/>
      <c r="AV6" s="482"/>
      <c r="AW6" s="482"/>
      <c r="AX6" s="482"/>
      <c r="AY6" s="482"/>
      <c r="AZ6" s="482"/>
      <c r="BA6" s="482"/>
      <c r="BB6" s="482"/>
      <c r="BC6" s="482"/>
      <c r="BD6" s="482"/>
      <c r="BE6" s="482"/>
      <c r="BF6" s="482"/>
      <c r="BG6" s="482"/>
      <c r="BH6" s="482"/>
      <c r="BI6" s="482"/>
      <c r="BJ6" s="482"/>
      <c r="BK6" s="482"/>
      <c r="BL6" s="482"/>
      <c r="BM6" s="482"/>
      <c r="BN6" s="482"/>
      <c r="BO6" s="482"/>
      <c r="BP6" s="482"/>
      <c r="BQ6" s="482"/>
      <c r="BR6" s="482"/>
      <c r="BS6" s="482"/>
      <c r="BT6" s="482"/>
      <c r="BU6" s="482"/>
      <c r="BV6" s="482"/>
      <c r="BW6" s="482"/>
      <c r="BX6" s="482"/>
      <c r="BY6" s="482"/>
      <c r="BZ6" s="482"/>
    </row>
    <row r="7" spans="1:78" x14ac:dyDescent="0.2">
      <c r="A7" s="479"/>
      <c r="B7" s="525" t="s">
        <v>675</v>
      </c>
      <c r="C7" s="562">
        <f>6252/1000</f>
        <v>6.2519999999999998</v>
      </c>
      <c r="D7" s="564" t="s">
        <v>1138</v>
      </c>
      <c r="E7" s="479"/>
      <c r="F7" s="479"/>
      <c r="G7" s="479"/>
      <c r="H7" s="479"/>
      <c r="I7" s="479"/>
      <c r="J7" s="479"/>
      <c r="K7" s="485"/>
      <c r="L7" s="487"/>
      <c r="M7" s="485"/>
      <c r="N7" s="582"/>
      <c r="O7" s="582"/>
      <c r="P7" s="582"/>
      <c r="Q7" s="582"/>
      <c r="R7" s="582"/>
      <c r="S7" s="582"/>
      <c r="T7" s="582"/>
      <c r="U7" s="485"/>
      <c r="V7" s="482"/>
      <c r="W7" s="482"/>
      <c r="X7" s="482"/>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2"/>
      <c r="BE7" s="482"/>
      <c r="BF7" s="482"/>
      <c r="BG7" s="482"/>
      <c r="BH7" s="482"/>
      <c r="BI7" s="482"/>
      <c r="BJ7" s="482"/>
      <c r="BK7" s="482"/>
      <c r="BL7" s="482"/>
      <c r="BM7" s="482"/>
      <c r="BN7" s="482"/>
      <c r="BO7" s="482"/>
      <c r="BP7" s="482"/>
      <c r="BQ7" s="482"/>
      <c r="BR7" s="482"/>
      <c r="BS7" s="482"/>
      <c r="BT7" s="482"/>
      <c r="BU7" s="482"/>
      <c r="BV7" s="482"/>
      <c r="BW7" s="482"/>
      <c r="BX7" s="482"/>
      <c r="BY7" s="482"/>
      <c r="BZ7" s="482"/>
    </row>
    <row r="8" spans="1:78" x14ac:dyDescent="0.2">
      <c r="A8" s="479"/>
      <c r="B8" s="526" t="s">
        <v>1136</v>
      </c>
      <c r="C8" s="563">
        <f>10965.3004668673/1000</f>
        <v>10.9653004668673</v>
      </c>
      <c r="D8" s="564" t="s">
        <v>713</v>
      </c>
      <c r="E8" s="479"/>
      <c r="F8" s="479"/>
      <c r="G8" s="479"/>
      <c r="H8" s="479"/>
      <c r="I8" s="479"/>
      <c r="J8" s="479"/>
      <c r="K8" s="485"/>
      <c r="L8" s="487"/>
      <c r="M8" s="485"/>
      <c r="N8" s="582"/>
      <c r="O8" s="582"/>
      <c r="P8" s="582"/>
      <c r="Q8" s="582"/>
      <c r="R8" s="582"/>
      <c r="S8" s="582"/>
      <c r="T8" s="582"/>
      <c r="U8" s="485"/>
      <c r="V8" s="482"/>
      <c r="W8" s="482"/>
      <c r="X8" s="482"/>
      <c r="Y8" s="482"/>
      <c r="Z8" s="482"/>
      <c r="AA8" s="482"/>
      <c r="AB8" s="482"/>
      <c r="AC8" s="482"/>
      <c r="AD8" s="482"/>
      <c r="AE8" s="482"/>
      <c r="AF8" s="482"/>
      <c r="AG8" s="482"/>
      <c r="AH8" s="482"/>
      <c r="AI8" s="482"/>
      <c r="AJ8" s="482"/>
      <c r="AK8" s="482"/>
      <c r="AL8" s="482"/>
      <c r="AM8" s="482"/>
      <c r="AN8" s="482"/>
      <c r="AO8" s="482"/>
      <c r="AP8" s="482"/>
      <c r="AQ8" s="482"/>
      <c r="AR8" s="482"/>
      <c r="AS8" s="482"/>
      <c r="AT8" s="482"/>
      <c r="AU8" s="482"/>
      <c r="AV8" s="482"/>
      <c r="AW8" s="482"/>
      <c r="AX8" s="482"/>
      <c r="AY8" s="482"/>
      <c r="AZ8" s="482"/>
      <c r="BA8" s="482"/>
      <c r="BB8" s="482"/>
      <c r="BC8" s="482"/>
      <c r="BD8" s="482"/>
      <c r="BE8" s="482"/>
      <c r="BF8" s="482"/>
      <c r="BG8" s="482"/>
      <c r="BH8" s="482"/>
      <c r="BI8" s="482"/>
      <c r="BJ8" s="482"/>
      <c r="BK8" s="482"/>
      <c r="BL8" s="482"/>
      <c r="BM8" s="482"/>
      <c r="BN8" s="482"/>
      <c r="BO8" s="482"/>
      <c r="BP8" s="482"/>
      <c r="BQ8" s="482"/>
      <c r="BR8" s="482"/>
      <c r="BS8" s="482"/>
      <c r="BT8" s="482"/>
      <c r="BU8" s="482"/>
      <c r="BV8" s="482"/>
      <c r="BW8" s="482"/>
      <c r="BX8" s="482"/>
      <c r="BY8" s="482"/>
      <c r="BZ8" s="482"/>
    </row>
    <row r="9" spans="1:78" x14ac:dyDescent="0.2">
      <c r="A9" s="479"/>
      <c r="B9" s="526" t="s">
        <v>676</v>
      </c>
      <c r="C9" s="563">
        <f>107825/1000</f>
        <v>107.825</v>
      </c>
      <c r="D9" s="564" t="s">
        <v>1138</v>
      </c>
      <c r="E9" s="479"/>
      <c r="F9" s="479"/>
      <c r="G9" s="479"/>
      <c r="H9" s="479"/>
      <c r="I9" s="479"/>
      <c r="J9" s="479"/>
      <c r="K9" s="485"/>
      <c r="L9" s="487"/>
      <c r="M9" s="485"/>
      <c r="N9" s="582"/>
      <c r="O9" s="582"/>
      <c r="P9" s="582"/>
      <c r="Q9" s="582"/>
      <c r="R9" s="582"/>
      <c r="S9" s="582"/>
      <c r="T9" s="582"/>
      <c r="U9" s="485"/>
      <c r="V9" s="482"/>
      <c r="W9" s="482"/>
      <c r="X9" s="482"/>
      <c r="Y9" s="482"/>
      <c r="Z9" s="482"/>
      <c r="AA9" s="482"/>
      <c r="AB9" s="482"/>
      <c r="AC9" s="482"/>
      <c r="AD9" s="482"/>
      <c r="AE9" s="482"/>
      <c r="AF9" s="482"/>
      <c r="AG9" s="482"/>
      <c r="AH9" s="482"/>
      <c r="AI9" s="482"/>
      <c r="AJ9" s="482"/>
      <c r="AK9" s="482"/>
      <c r="AL9" s="482"/>
      <c r="AM9" s="482"/>
      <c r="AN9" s="482"/>
      <c r="AO9" s="482"/>
      <c r="AP9" s="482"/>
      <c r="AQ9" s="482"/>
      <c r="AR9" s="482"/>
      <c r="AS9" s="482"/>
      <c r="AT9" s="482"/>
      <c r="AU9" s="482"/>
      <c r="AV9" s="482"/>
      <c r="AW9" s="482"/>
      <c r="AX9" s="482"/>
      <c r="AY9" s="482"/>
      <c r="AZ9" s="482"/>
      <c r="BA9" s="482"/>
      <c r="BB9" s="482"/>
      <c r="BC9" s="482"/>
      <c r="BD9" s="482"/>
      <c r="BE9" s="482"/>
      <c r="BF9" s="482"/>
      <c r="BG9" s="482"/>
      <c r="BH9" s="482"/>
      <c r="BI9" s="482"/>
      <c r="BJ9" s="482"/>
      <c r="BK9" s="482"/>
      <c r="BL9" s="482"/>
      <c r="BM9" s="482"/>
      <c r="BN9" s="482"/>
      <c r="BO9" s="482"/>
      <c r="BP9" s="482"/>
      <c r="BQ9" s="482"/>
      <c r="BR9" s="482"/>
      <c r="BS9" s="482"/>
      <c r="BT9" s="482"/>
      <c r="BU9" s="482"/>
      <c r="BV9" s="482"/>
      <c r="BW9" s="482"/>
      <c r="BX9" s="482"/>
      <c r="BY9" s="482"/>
      <c r="BZ9" s="482"/>
    </row>
    <row r="10" spans="1:78" x14ac:dyDescent="0.2">
      <c r="A10" s="479"/>
      <c r="B10" s="526" t="s">
        <v>1137</v>
      </c>
      <c r="C10" s="563">
        <f>85090.6341528487/1000</f>
        <v>85.090634152848693</v>
      </c>
      <c r="D10" s="564" t="s">
        <v>713</v>
      </c>
      <c r="E10" s="479"/>
      <c r="F10" s="479"/>
      <c r="G10" s="479"/>
      <c r="H10" s="636"/>
      <c r="I10" s="479"/>
      <c r="J10" s="479"/>
      <c r="K10" s="485"/>
      <c r="L10" s="487"/>
      <c r="M10" s="485"/>
      <c r="N10" s="582"/>
      <c r="O10" s="582"/>
      <c r="P10" s="582"/>
      <c r="Q10" s="582"/>
      <c r="R10" s="582"/>
      <c r="S10" s="582"/>
      <c r="T10" s="582"/>
      <c r="U10" s="485"/>
      <c r="V10" s="482"/>
      <c r="W10" s="482"/>
      <c r="X10" s="482"/>
      <c r="Y10" s="482"/>
      <c r="Z10" s="482"/>
      <c r="AA10" s="482"/>
      <c r="AB10" s="482"/>
      <c r="AC10" s="482"/>
      <c r="AD10" s="482"/>
      <c r="AE10" s="482"/>
      <c r="AF10" s="482"/>
      <c r="AG10" s="482"/>
      <c r="AH10" s="482"/>
      <c r="AI10" s="482"/>
      <c r="AJ10" s="482"/>
      <c r="AK10" s="482"/>
      <c r="AL10" s="482"/>
      <c r="AM10" s="482"/>
      <c r="AN10" s="482"/>
      <c r="AO10" s="482"/>
      <c r="AP10" s="482"/>
      <c r="AQ10" s="482"/>
      <c r="AR10" s="482"/>
      <c r="AS10" s="482"/>
      <c r="AT10" s="482"/>
      <c r="AU10" s="482"/>
      <c r="AV10" s="482"/>
      <c r="AW10" s="482"/>
      <c r="AX10" s="482"/>
      <c r="AY10" s="482"/>
      <c r="AZ10" s="482"/>
      <c r="BA10" s="482"/>
      <c r="BB10" s="482"/>
      <c r="BC10" s="482"/>
      <c r="BD10" s="482"/>
      <c r="BE10" s="482"/>
      <c r="BF10" s="482"/>
      <c r="BG10" s="482"/>
      <c r="BH10" s="482"/>
      <c r="BI10" s="482"/>
      <c r="BJ10" s="482"/>
      <c r="BK10" s="482"/>
      <c r="BL10" s="482"/>
      <c r="BM10" s="482"/>
      <c r="BN10" s="482"/>
      <c r="BO10" s="482"/>
      <c r="BP10" s="482"/>
      <c r="BQ10" s="482"/>
      <c r="BR10" s="482"/>
      <c r="BS10" s="482"/>
      <c r="BT10" s="482"/>
      <c r="BU10" s="482"/>
      <c r="BV10" s="482"/>
      <c r="BW10" s="482"/>
      <c r="BX10" s="482"/>
      <c r="BY10" s="482"/>
      <c r="BZ10" s="482"/>
    </row>
    <row r="11" spans="1:78" ht="15.6" x14ac:dyDescent="0.2">
      <c r="A11" s="479"/>
      <c r="B11" s="526" t="s">
        <v>720</v>
      </c>
      <c r="C11" s="527">
        <f>(BS!R15+BS!R21+BS!R26)/1000</f>
        <v>129.053</v>
      </c>
      <c r="D11" s="479"/>
      <c r="E11" s="479"/>
      <c r="F11" s="479"/>
      <c r="G11" s="479"/>
      <c r="H11" s="479"/>
      <c r="I11" s="479"/>
      <c r="J11" s="479"/>
      <c r="K11" s="488"/>
      <c r="L11" s="488"/>
      <c r="M11" s="488"/>
      <c r="N11" s="491"/>
      <c r="O11" s="491"/>
      <c r="P11" s="491"/>
      <c r="Q11" s="491"/>
      <c r="R11" s="491"/>
      <c r="S11" s="491"/>
      <c r="T11" s="491"/>
      <c r="U11" s="488"/>
      <c r="V11" s="482"/>
      <c r="W11" s="482"/>
      <c r="X11" s="482"/>
      <c r="Y11" s="482"/>
      <c r="Z11" s="482"/>
      <c r="AA11" s="482"/>
      <c r="AB11" s="482"/>
      <c r="AC11" s="489"/>
      <c r="AD11" s="482"/>
      <c r="AE11" s="482"/>
      <c r="AF11" s="482"/>
      <c r="AG11" s="482"/>
      <c r="AH11" s="482"/>
      <c r="AI11" s="482"/>
      <c r="AJ11" s="482"/>
      <c r="AK11" s="482" t="s">
        <v>721</v>
      </c>
      <c r="AL11" s="482"/>
      <c r="AM11" s="482"/>
      <c r="AN11" s="482"/>
      <c r="AO11" s="482"/>
      <c r="AP11" s="482"/>
      <c r="AQ11" s="482"/>
      <c r="AR11" s="482"/>
      <c r="AS11" s="482"/>
      <c r="AT11" s="482"/>
      <c r="AU11" s="482"/>
      <c r="AV11" s="482"/>
      <c r="AW11" s="482"/>
      <c r="AX11" s="482"/>
      <c r="AY11" s="482"/>
      <c r="AZ11" s="482" t="s">
        <v>8</v>
      </c>
      <c r="BA11" s="482"/>
      <c r="BB11" s="482"/>
      <c r="BC11" s="482"/>
      <c r="BD11" s="482"/>
      <c r="BE11" s="482"/>
      <c r="BF11" s="482"/>
      <c r="BG11" s="482"/>
      <c r="BH11" s="482"/>
      <c r="BI11" s="482"/>
      <c r="BJ11" s="482"/>
      <c r="BK11" s="482"/>
      <c r="BL11" s="482"/>
      <c r="BM11" s="482"/>
      <c r="BN11" s="482"/>
      <c r="BO11" s="482"/>
      <c r="BP11" s="482"/>
      <c r="BQ11" s="482"/>
      <c r="BR11" s="482"/>
      <c r="BS11" s="482"/>
      <c r="BT11" s="482"/>
      <c r="BU11" s="482"/>
      <c r="BV11" s="482"/>
      <c r="BW11" s="482"/>
      <c r="BX11" s="482"/>
      <c r="BY11" s="482"/>
      <c r="BZ11" s="482"/>
    </row>
    <row r="12" spans="1:78" x14ac:dyDescent="0.2">
      <c r="A12" s="479"/>
      <c r="B12" s="526" t="s">
        <v>514</v>
      </c>
      <c r="C12" s="563"/>
      <c r="D12" s="479"/>
      <c r="E12" s="479"/>
      <c r="F12" s="479"/>
      <c r="G12" s="479"/>
      <c r="H12" s="479"/>
      <c r="I12" s="479"/>
      <c r="J12" s="479"/>
      <c r="K12" s="488"/>
      <c r="L12" s="488"/>
      <c r="M12" s="488"/>
      <c r="N12" s="491"/>
      <c r="O12" s="491"/>
      <c r="P12" s="491"/>
      <c r="Q12" s="491"/>
      <c r="R12" s="491"/>
      <c r="S12" s="491"/>
      <c r="T12" s="491"/>
      <c r="U12" s="488"/>
      <c r="V12" s="482"/>
      <c r="W12" s="482"/>
      <c r="X12" s="482"/>
      <c r="Y12" s="482"/>
      <c r="Z12" s="482"/>
      <c r="AA12" s="482"/>
      <c r="AB12" s="482"/>
      <c r="AC12" s="482"/>
      <c r="AD12" s="482"/>
      <c r="AE12" s="482"/>
      <c r="AF12" s="482"/>
      <c r="AG12" s="482"/>
      <c r="AH12" s="482"/>
      <c r="AI12" s="482"/>
      <c r="AJ12" s="482"/>
      <c r="AK12" s="482"/>
      <c r="AL12" s="482"/>
      <c r="AM12" s="482"/>
      <c r="AN12" s="482"/>
      <c r="AO12" s="482"/>
      <c r="AP12" s="482"/>
      <c r="AQ12" s="482"/>
      <c r="AR12" s="482"/>
      <c r="AS12" s="482"/>
      <c r="AT12" s="482"/>
      <c r="AU12" s="482"/>
      <c r="AV12" s="482"/>
      <c r="AW12" s="482"/>
      <c r="AX12" s="482"/>
      <c r="AY12" s="482"/>
      <c r="AZ12" s="482"/>
      <c r="BA12" s="482"/>
      <c r="BB12" s="482"/>
      <c r="BC12" s="482"/>
      <c r="BD12" s="482"/>
      <c r="BE12" s="482"/>
      <c r="BF12" s="482"/>
      <c r="BG12" s="482"/>
      <c r="BH12" s="482"/>
      <c r="BI12" s="482"/>
      <c r="BJ12" s="482"/>
      <c r="BK12" s="482"/>
      <c r="BL12" s="482"/>
      <c r="BM12" s="482"/>
      <c r="BN12" s="482"/>
      <c r="BO12" s="482"/>
      <c r="BP12" s="482"/>
      <c r="BQ12" s="482"/>
      <c r="BR12" s="482"/>
      <c r="BS12" s="482"/>
      <c r="BT12" s="482"/>
      <c r="BU12" s="482"/>
      <c r="BV12" s="482"/>
      <c r="BW12" s="482"/>
      <c r="BX12" s="482"/>
      <c r="BY12" s="482"/>
      <c r="BZ12" s="482"/>
    </row>
    <row r="13" spans="1:78" ht="13.2" thickBot="1" x14ac:dyDescent="0.3">
      <c r="A13" s="479"/>
      <c r="B13" s="528" t="s">
        <v>63</v>
      </c>
      <c r="C13" s="575">
        <f>-('Val - Income Approach'!$R$84)/1000</f>
        <v>69.385000000000005</v>
      </c>
      <c r="D13" s="479"/>
      <c r="E13" s="479"/>
      <c r="F13" s="479"/>
      <c r="G13" s="479"/>
      <c r="H13" s="479"/>
      <c r="I13" s="479"/>
      <c r="J13" s="479"/>
      <c r="K13" s="488"/>
      <c r="L13" s="488"/>
      <c r="M13" s="488"/>
      <c r="N13" s="491"/>
      <c r="O13" s="491"/>
      <c r="P13" s="491"/>
      <c r="Q13" s="491"/>
      <c r="R13" s="491"/>
      <c r="S13" s="491"/>
      <c r="T13" s="491"/>
      <c r="U13" s="488"/>
      <c r="V13" s="482"/>
      <c r="W13" s="490"/>
      <c r="X13" s="18"/>
      <c r="Y13" s="482"/>
      <c r="Z13" s="482"/>
      <c r="AA13" s="482"/>
      <c r="AB13" s="482"/>
      <c r="AC13" s="482"/>
      <c r="AD13" s="482"/>
      <c r="AE13" s="482"/>
      <c r="AF13" s="482"/>
      <c r="AG13" s="482"/>
      <c r="AH13" s="482"/>
      <c r="AI13" s="482"/>
      <c r="AJ13" s="482"/>
      <c r="AK13" s="482"/>
      <c r="AL13" s="482"/>
      <c r="AM13" s="482"/>
      <c r="AN13" s="482"/>
      <c r="AO13" s="482"/>
      <c r="AP13" s="482"/>
      <c r="AQ13" s="482"/>
      <c r="AR13" s="482"/>
      <c r="AS13" s="482"/>
      <c r="AT13" s="482"/>
      <c r="AU13" s="482"/>
      <c r="AV13" s="482"/>
      <c r="AW13" s="482"/>
      <c r="AX13" s="482"/>
      <c r="AY13" s="482"/>
      <c r="AZ13" s="482"/>
      <c r="BA13" s="482"/>
      <c r="BB13" s="482"/>
      <c r="BC13" s="482"/>
      <c r="BD13" s="482"/>
      <c r="BE13" s="482"/>
      <c r="BF13" s="482"/>
      <c r="BG13" s="482"/>
      <c r="BH13" s="482"/>
      <c r="BI13" s="482"/>
      <c r="BJ13" s="482"/>
      <c r="BK13" s="482"/>
      <c r="BL13" s="482"/>
      <c r="BM13" s="482"/>
      <c r="BN13" s="482"/>
      <c r="BO13" s="482"/>
      <c r="BP13" s="482"/>
      <c r="BQ13" s="482"/>
      <c r="BR13" s="482"/>
      <c r="BS13" s="482"/>
      <c r="BT13" s="482"/>
      <c r="BU13" s="482"/>
      <c r="BV13" s="482"/>
      <c r="BW13" s="482"/>
      <c r="BX13" s="482"/>
      <c r="BY13" s="482"/>
      <c r="BZ13" s="482"/>
    </row>
    <row r="14" spans="1:78" ht="12.6" thickBot="1" x14ac:dyDescent="0.25">
      <c r="A14" s="479"/>
      <c r="B14" s="479"/>
      <c r="C14" s="481"/>
      <c r="D14" s="479"/>
      <c r="E14" s="479"/>
      <c r="F14" s="479"/>
      <c r="G14" s="479"/>
      <c r="H14" s="479"/>
      <c r="I14" s="479"/>
      <c r="J14" s="479"/>
      <c r="K14" s="488"/>
      <c r="L14" s="488"/>
      <c r="M14" s="488"/>
      <c r="N14" s="583"/>
      <c r="O14" s="583"/>
      <c r="P14" s="583"/>
      <c r="Q14" s="583"/>
      <c r="R14" s="583"/>
      <c r="S14" s="583"/>
      <c r="T14" s="583"/>
      <c r="U14" s="488"/>
      <c r="V14" s="482"/>
      <c r="W14" s="482"/>
      <c r="X14" s="482"/>
      <c r="Y14" s="482"/>
      <c r="Z14" s="482"/>
      <c r="AA14" s="482"/>
      <c r="AB14" s="482"/>
      <c r="AC14" s="482"/>
      <c r="AD14" s="482"/>
      <c r="AE14" s="482"/>
      <c r="AF14" s="482"/>
      <c r="AG14" s="482"/>
      <c r="AH14" s="482"/>
      <c r="AI14" s="482"/>
      <c r="AJ14" s="482"/>
      <c r="AK14" s="482"/>
      <c r="AL14" s="482"/>
      <c r="AM14" s="482"/>
      <c r="AN14" s="482"/>
      <c r="AO14" s="482"/>
      <c r="AP14" s="482"/>
      <c r="AQ14" s="482"/>
      <c r="AR14" s="482"/>
      <c r="AS14" s="482"/>
      <c r="AT14" s="482"/>
      <c r="AU14" s="482"/>
      <c r="AV14" s="482"/>
      <c r="AW14" s="482"/>
      <c r="AX14" s="482"/>
      <c r="AY14" s="482"/>
      <c r="AZ14" s="482"/>
      <c r="BA14" s="482"/>
      <c r="BB14" s="482"/>
      <c r="BC14" s="482"/>
      <c r="BD14" s="482"/>
      <c r="BE14" s="482"/>
      <c r="BF14" s="482"/>
      <c r="BG14" s="482"/>
      <c r="BH14" s="482"/>
      <c r="BI14" s="482"/>
      <c r="BJ14" s="482"/>
      <c r="BK14" s="482"/>
      <c r="BL14" s="482"/>
      <c r="BM14" s="482"/>
      <c r="BN14" s="482"/>
      <c r="BO14" s="482"/>
      <c r="BP14" s="482"/>
      <c r="BQ14" s="482"/>
      <c r="BR14" s="482"/>
      <c r="BS14" s="482"/>
      <c r="BT14" s="482"/>
      <c r="BU14" s="482"/>
      <c r="BV14" s="482"/>
      <c r="BW14" s="482"/>
      <c r="BX14" s="482"/>
      <c r="BY14" s="482"/>
      <c r="BZ14" s="482"/>
    </row>
    <row r="15" spans="1:78" ht="13.2" thickBot="1" x14ac:dyDescent="0.3">
      <c r="A15" s="479"/>
      <c r="B15" s="529" t="s">
        <v>580</v>
      </c>
      <c r="C15" s="530">
        <v>0</v>
      </c>
      <c r="D15" s="479"/>
      <c r="E15" s="479"/>
      <c r="F15" s="479"/>
      <c r="G15" s="479"/>
      <c r="H15" s="479"/>
      <c r="I15" s="479"/>
      <c r="J15" s="479"/>
      <c r="K15" s="488"/>
      <c r="L15" s="488"/>
      <c r="M15" s="488"/>
      <c r="N15" s="583"/>
      <c r="O15" s="583"/>
      <c r="P15" s="583"/>
      <c r="Q15" s="583"/>
      <c r="R15" s="583"/>
      <c r="S15" s="583"/>
      <c r="T15" s="583"/>
      <c r="U15" s="491"/>
      <c r="V15" s="482"/>
      <c r="W15" s="492"/>
      <c r="X15" s="492"/>
      <c r="Y15" s="492"/>
      <c r="Z15" s="482"/>
      <c r="AA15" s="482"/>
      <c r="AB15" s="482"/>
      <c r="AC15" s="482"/>
      <c r="AD15" s="482"/>
      <c r="AE15" s="482"/>
      <c r="AF15" s="482"/>
      <c r="AG15" s="482"/>
      <c r="AH15" s="482"/>
      <c r="AI15" s="482"/>
      <c r="AJ15" s="482"/>
      <c r="AK15" s="482"/>
      <c r="AL15" s="482"/>
      <c r="AM15" s="482"/>
      <c r="AN15" s="482"/>
      <c r="AO15" s="482"/>
      <c r="AP15" s="482"/>
      <c r="AQ15" s="482"/>
      <c r="AR15" s="482"/>
      <c r="AS15" s="482"/>
      <c r="AT15" s="482"/>
      <c r="AU15" s="482"/>
      <c r="AV15" s="482"/>
      <c r="AW15" s="482"/>
      <c r="AX15" s="482"/>
      <c r="AY15" s="482"/>
      <c r="AZ15" s="482"/>
      <c r="BA15" s="482"/>
      <c r="BB15" s="482"/>
      <c r="BC15" s="482"/>
      <c r="BD15" s="482"/>
      <c r="BE15" s="482"/>
      <c r="BF15" s="482"/>
      <c r="BG15" s="482"/>
      <c r="BH15" s="482"/>
      <c r="BI15" s="482"/>
      <c r="BJ15" s="482"/>
      <c r="BK15" s="482"/>
      <c r="BL15" s="482"/>
      <c r="BM15" s="482"/>
      <c r="BN15" s="482"/>
      <c r="BO15" s="482"/>
      <c r="BP15" s="482"/>
      <c r="BQ15" s="482"/>
      <c r="BR15" s="482"/>
      <c r="BS15" s="482"/>
      <c r="BT15" s="482"/>
      <c r="BU15" s="482"/>
      <c r="BV15" s="482"/>
      <c r="BW15" s="482"/>
      <c r="BX15" s="482"/>
      <c r="BY15" s="482"/>
      <c r="BZ15" s="482"/>
    </row>
    <row r="16" spans="1:78" x14ac:dyDescent="0.2">
      <c r="A16" s="479"/>
      <c r="B16" s="479"/>
      <c r="C16" s="481"/>
      <c r="D16" s="479"/>
      <c r="E16" s="479"/>
      <c r="F16" s="479"/>
      <c r="G16" s="479"/>
      <c r="H16" s="479"/>
      <c r="I16" s="479"/>
      <c r="J16" s="479"/>
      <c r="K16" s="488"/>
      <c r="L16" s="488"/>
      <c r="M16" s="488"/>
      <c r="N16" s="583"/>
      <c r="O16" s="583"/>
      <c r="P16" s="583"/>
      <c r="Q16" s="583"/>
      <c r="R16" s="583"/>
      <c r="S16" s="583"/>
      <c r="T16" s="583"/>
      <c r="U16" s="491"/>
      <c r="V16" s="482"/>
      <c r="W16" s="493"/>
      <c r="X16" s="493"/>
      <c r="Y16" s="493"/>
      <c r="Z16" s="482"/>
      <c r="AA16" s="482"/>
      <c r="AB16" s="482"/>
      <c r="AC16" s="482"/>
      <c r="AD16" s="482"/>
      <c r="AE16" s="482"/>
      <c r="AF16" s="482"/>
      <c r="AG16" s="482"/>
      <c r="AH16" s="482"/>
      <c r="AI16" s="482"/>
      <c r="AJ16" s="482"/>
      <c r="AK16" s="482"/>
      <c r="AL16" s="482"/>
      <c r="AM16" s="482"/>
      <c r="AN16" s="482"/>
      <c r="AO16" s="482"/>
      <c r="AP16" s="482"/>
      <c r="AQ16" s="482"/>
      <c r="AR16" s="482"/>
      <c r="AS16" s="482"/>
      <c r="AT16" s="482"/>
      <c r="AU16" s="482"/>
      <c r="AV16" s="482"/>
      <c r="AW16" s="482"/>
      <c r="AX16" s="482"/>
      <c r="AY16" s="482"/>
      <c r="AZ16" s="482"/>
      <c r="BA16" s="482"/>
      <c r="BB16" s="482"/>
      <c r="BC16" s="482"/>
      <c r="BD16" s="482"/>
      <c r="BE16" s="482"/>
      <c r="BF16" s="482"/>
      <c r="BG16" s="482"/>
      <c r="BH16" s="482"/>
      <c r="BI16" s="482"/>
      <c r="BJ16" s="482"/>
      <c r="BK16" s="482"/>
      <c r="BL16" s="482"/>
      <c r="BM16" s="482"/>
      <c r="BN16" s="482"/>
      <c r="BO16" s="482"/>
      <c r="BP16" s="482"/>
      <c r="BQ16" s="482"/>
      <c r="BR16" s="482"/>
      <c r="BS16" s="482"/>
      <c r="BT16" s="482"/>
      <c r="BU16" s="482"/>
      <c r="BV16" s="482"/>
      <c r="BW16" s="482"/>
      <c r="BX16" s="482"/>
      <c r="BY16" s="482"/>
      <c r="BZ16" s="482"/>
    </row>
    <row r="17" spans="1:78" ht="12.6" x14ac:dyDescent="0.25">
      <c r="A17" s="479"/>
      <c r="B17" s="531" t="s">
        <v>736</v>
      </c>
      <c r="C17" s="532"/>
      <c r="D17" s="533"/>
      <c r="E17" s="533"/>
      <c r="F17" s="533"/>
      <c r="G17" s="533"/>
      <c r="H17" s="533"/>
      <c r="I17" s="533"/>
      <c r="J17" s="533"/>
      <c r="K17" s="533"/>
      <c r="L17" s="533"/>
      <c r="M17" s="533"/>
      <c r="N17" s="584"/>
      <c r="O17" s="753" t="s">
        <v>768</v>
      </c>
      <c r="P17" s="753"/>
      <c r="Q17" s="753"/>
      <c r="R17" s="584"/>
      <c r="S17" s="753" t="s">
        <v>769</v>
      </c>
      <c r="T17" s="753"/>
      <c r="U17" s="753"/>
      <c r="V17" s="482"/>
      <c r="W17" s="195"/>
      <c r="X17" s="195"/>
      <c r="Y17" s="195"/>
      <c r="Z17" s="482"/>
      <c r="AA17" s="482"/>
      <c r="AB17" s="482"/>
      <c r="AC17" s="482"/>
      <c r="AD17" s="482"/>
      <c r="AE17" s="482"/>
      <c r="AF17" s="482"/>
      <c r="AG17" s="482"/>
      <c r="AH17" s="482"/>
      <c r="AI17" s="482"/>
      <c r="AJ17" s="482"/>
      <c r="AK17" s="482"/>
      <c r="AL17" s="482"/>
      <c r="AM17" s="482"/>
      <c r="AN17" s="482"/>
      <c r="AO17" s="482"/>
      <c r="AP17" s="482"/>
      <c r="AQ17" s="482"/>
      <c r="AR17" s="482"/>
      <c r="AS17" s="482"/>
      <c r="AT17" s="482"/>
      <c r="AU17" s="482"/>
      <c r="AV17" s="482"/>
      <c r="AW17" s="482"/>
      <c r="AX17" s="482"/>
      <c r="AY17" s="482"/>
      <c r="AZ17" s="482"/>
      <c r="BA17" s="482"/>
      <c r="BB17" s="482"/>
      <c r="BC17" s="482"/>
      <c r="BD17" s="482"/>
      <c r="BE17" s="482"/>
      <c r="BF17" s="482"/>
      <c r="BG17" s="482"/>
      <c r="BH17" s="482"/>
      <c r="BI17" s="482"/>
      <c r="BJ17" s="482"/>
      <c r="BK17" s="482"/>
      <c r="BL17" s="482"/>
      <c r="BM17" s="482"/>
      <c r="BN17" s="482"/>
      <c r="BO17" s="482"/>
      <c r="BP17" s="482"/>
      <c r="BQ17" s="482"/>
      <c r="BR17" s="482"/>
      <c r="BS17" s="482"/>
      <c r="BT17" s="482"/>
      <c r="BU17" s="482"/>
      <c r="BV17" s="482"/>
      <c r="BW17" s="482"/>
      <c r="BX17" s="482"/>
      <c r="BY17" s="482"/>
      <c r="BZ17" s="482"/>
    </row>
    <row r="18" spans="1:78" ht="37.799999999999997" x14ac:dyDescent="0.25">
      <c r="A18" s="479"/>
      <c r="B18" s="534"/>
      <c r="C18" s="535"/>
      <c r="D18" s="536"/>
      <c r="E18" s="537"/>
      <c r="F18" s="538" t="s">
        <v>722</v>
      </c>
      <c r="G18" s="538" t="s">
        <v>723</v>
      </c>
      <c r="H18" s="538" t="s">
        <v>724</v>
      </c>
      <c r="I18" s="538"/>
      <c r="J18" s="538" t="s">
        <v>590</v>
      </c>
      <c r="K18" s="538" t="s">
        <v>737</v>
      </c>
      <c r="L18" s="538" t="s">
        <v>725</v>
      </c>
      <c r="M18" s="538" t="s">
        <v>726</v>
      </c>
      <c r="N18" s="585"/>
      <c r="O18" s="538" t="s">
        <v>698</v>
      </c>
      <c r="P18" s="538" t="s">
        <v>747</v>
      </c>
      <c r="Q18" s="538" t="s">
        <v>748</v>
      </c>
      <c r="R18" s="585"/>
      <c r="S18" s="538" t="s">
        <v>698</v>
      </c>
      <c r="T18" s="538" t="s">
        <v>747</v>
      </c>
      <c r="U18" s="538" t="s">
        <v>748</v>
      </c>
      <c r="V18" s="482"/>
      <c r="W18" s="482"/>
      <c r="X18" s="482"/>
      <c r="Y18" s="482"/>
      <c r="Z18" s="482"/>
      <c r="AA18" s="482"/>
      <c r="AB18" s="482"/>
      <c r="AC18" s="482"/>
      <c r="AD18" s="482"/>
      <c r="AE18" s="482"/>
      <c r="AF18" s="482"/>
      <c r="AG18" s="482"/>
      <c r="AH18" s="482"/>
      <c r="AI18" s="482"/>
      <c r="AJ18" s="482"/>
      <c r="AK18" s="482"/>
      <c r="AL18" s="482"/>
      <c r="AM18" s="482"/>
      <c r="AN18" s="482"/>
      <c r="AO18" s="482"/>
      <c r="AP18" s="482"/>
      <c r="AQ18" s="482"/>
      <c r="AR18" s="482"/>
      <c r="AS18" s="482"/>
      <c r="AT18" s="482"/>
      <c r="AU18" s="482"/>
      <c r="AV18" s="482"/>
      <c r="AW18" s="482"/>
      <c r="AX18" s="482"/>
      <c r="AY18" s="482"/>
      <c r="AZ18" s="482"/>
      <c r="BA18" s="482"/>
      <c r="BB18" s="482"/>
      <c r="BC18" s="482"/>
      <c r="BD18" s="482"/>
      <c r="BE18" s="482"/>
      <c r="BF18" s="482"/>
      <c r="BG18" s="482"/>
      <c r="BH18" s="482"/>
      <c r="BI18" s="482"/>
      <c r="BJ18" s="482"/>
      <c r="BK18" s="482"/>
      <c r="BL18" s="482"/>
      <c r="BM18" s="482"/>
      <c r="BN18" s="482"/>
      <c r="BO18" s="482"/>
      <c r="BP18" s="482"/>
      <c r="BQ18" s="482"/>
      <c r="BR18" s="482"/>
      <c r="BS18" s="482"/>
      <c r="BT18" s="482"/>
      <c r="BU18" s="482"/>
      <c r="BV18" s="482"/>
      <c r="BW18" s="482"/>
      <c r="BX18" s="482"/>
      <c r="BY18" s="482"/>
      <c r="BZ18" s="482"/>
    </row>
    <row r="19" spans="1:78" ht="12.6" x14ac:dyDescent="0.2">
      <c r="A19" s="479"/>
      <c r="B19" s="495" t="s">
        <v>727</v>
      </c>
      <c r="C19" s="481"/>
      <c r="D19" s="479"/>
      <c r="E19" s="479"/>
      <c r="F19" s="479"/>
      <c r="G19" s="479"/>
      <c r="H19" s="479"/>
      <c r="I19" s="479"/>
      <c r="J19" s="479"/>
      <c r="K19" s="479"/>
      <c r="L19" s="479"/>
      <c r="M19" s="479"/>
      <c r="N19" s="584"/>
      <c r="O19" s="479"/>
      <c r="P19" s="479"/>
      <c r="Q19" s="479"/>
      <c r="R19" s="584"/>
      <c r="S19" s="479"/>
      <c r="T19" s="479"/>
      <c r="U19" s="479"/>
      <c r="V19" s="482"/>
      <c r="W19" s="482"/>
      <c r="X19" s="482"/>
      <c r="Y19" s="482"/>
      <c r="Z19" s="482"/>
      <c r="AA19" s="482"/>
      <c r="AB19" s="482"/>
      <c r="AC19" s="482"/>
      <c r="AD19" s="482"/>
      <c r="AE19" s="482"/>
      <c r="AF19" s="482"/>
      <c r="AG19" s="482"/>
      <c r="AH19" s="482"/>
      <c r="AI19" s="482"/>
      <c r="AJ19" s="482"/>
      <c r="AK19" s="482"/>
      <c r="AL19" s="482"/>
      <c r="AM19" s="482"/>
      <c r="AN19" s="482"/>
      <c r="AO19" s="482"/>
      <c r="AP19" s="482"/>
      <c r="AQ19" s="482"/>
      <c r="AR19" s="482"/>
      <c r="AS19" s="482"/>
      <c r="AT19" s="482"/>
      <c r="AU19" s="482"/>
      <c r="AV19" s="482"/>
      <c r="AW19" s="482"/>
      <c r="AX19" s="482"/>
      <c r="AY19" s="482"/>
      <c r="AZ19" s="482"/>
      <c r="BA19" s="482"/>
      <c r="BB19" s="482"/>
      <c r="BC19" s="482"/>
      <c r="BD19" s="482"/>
      <c r="BE19" s="482"/>
      <c r="BF19" s="482"/>
      <c r="BG19" s="482"/>
      <c r="BH19" s="482"/>
      <c r="BI19" s="482"/>
      <c r="BJ19" s="482"/>
      <c r="BK19" s="482"/>
      <c r="BL19" s="482"/>
      <c r="BM19" s="482"/>
      <c r="BN19" s="482"/>
      <c r="BO19" s="482"/>
      <c r="BP19" s="482"/>
      <c r="BQ19" s="482"/>
      <c r="BR19" s="482"/>
      <c r="BS19" s="482"/>
      <c r="BT19" s="482"/>
      <c r="BU19" s="482"/>
      <c r="BV19" s="482"/>
      <c r="BW19" s="482"/>
      <c r="BX19" s="482"/>
      <c r="BY19" s="482"/>
      <c r="BZ19" s="482"/>
    </row>
    <row r="20" spans="1:78" x14ac:dyDescent="0.2">
      <c r="A20" s="479"/>
      <c r="B20" s="539" t="s">
        <v>739</v>
      </c>
      <c r="C20" s="540"/>
      <c r="D20" s="541"/>
      <c r="E20" s="542"/>
      <c r="F20" s="551"/>
      <c r="G20" s="553"/>
      <c r="H20" s="554"/>
      <c r="I20" s="557"/>
      <c r="J20" s="557"/>
      <c r="K20" s="559"/>
      <c r="L20" s="557"/>
      <c r="M20" s="557"/>
      <c r="N20" s="497"/>
      <c r="O20" s="586"/>
      <c r="P20" s="586"/>
      <c r="Q20" s="586"/>
      <c r="R20" s="497"/>
      <c r="S20" s="586"/>
      <c r="T20" s="586"/>
      <c r="U20" s="586"/>
      <c r="V20" s="482"/>
      <c r="W20" s="482"/>
      <c r="X20" s="482"/>
      <c r="Y20" s="482"/>
      <c r="Z20" s="482"/>
      <c r="AA20" s="482"/>
      <c r="AB20" s="482"/>
      <c r="AC20" s="482"/>
      <c r="AD20" s="482"/>
      <c r="AE20" s="482"/>
      <c r="AF20" s="482"/>
      <c r="AG20" s="482"/>
      <c r="AH20" s="482"/>
      <c r="AI20" s="482"/>
      <c r="AJ20" s="482"/>
      <c r="AK20" s="482"/>
      <c r="AL20" s="482"/>
      <c r="AM20" s="482"/>
      <c r="AN20" s="482"/>
      <c r="AO20" s="482"/>
      <c r="AP20" s="482"/>
      <c r="AQ20" s="482"/>
      <c r="AR20" s="482"/>
      <c r="AS20" s="482"/>
      <c r="AT20" s="482"/>
      <c r="AU20" s="482"/>
      <c r="AV20" s="482"/>
      <c r="AW20" s="482"/>
      <c r="AX20" s="482"/>
      <c r="AY20" s="482"/>
      <c r="AZ20" s="482"/>
      <c r="BA20" s="482"/>
      <c r="BB20" s="482"/>
      <c r="BC20" s="482"/>
      <c r="BD20" s="482"/>
      <c r="BE20" s="482"/>
      <c r="BF20" s="482"/>
      <c r="BG20" s="482"/>
      <c r="BH20" s="482"/>
      <c r="BI20" s="482"/>
      <c r="BJ20" s="482"/>
      <c r="BK20" s="482"/>
      <c r="BL20" s="482"/>
      <c r="BM20" s="482"/>
      <c r="BN20" s="482"/>
      <c r="BO20" s="482"/>
      <c r="BP20" s="482"/>
      <c r="BQ20" s="482"/>
      <c r="BR20" s="482"/>
      <c r="BS20" s="482"/>
      <c r="BT20" s="482"/>
      <c r="BU20" s="482"/>
      <c r="BV20" s="482"/>
      <c r="BW20" s="482"/>
      <c r="BX20" s="482"/>
      <c r="BY20" s="482"/>
      <c r="BZ20" s="482"/>
    </row>
    <row r="21" spans="1:78" ht="12.6" x14ac:dyDescent="0.25">
      <c r="A21" s="479"/>
      <c r="B21" s="576" t="s">
        <v>740</v>
      </c>
      <c r="C21" s="548"/>
      <c r="D21" s="549"/>
      <c r="E21" s="577"/>
      <c r="F21" s="578">
        <f>Output!J36</f>
        <v>45.720909090909089</v>
      </c>
      <c r="G21" s="579">
        <f>+$F21*0.95</f>
        <v>43.43486363636363</v>
      </c>
      <c r="H21" s="580">
        <f>+$F21*1.05</f>
        <v>48.006954545454548</v>
      </c>
      <c r="I21" s="501"/>
      <c r="J21" s="501">
        <f>$C$12+$C$13+K21</f>
        <v>355.23212363636361</v>
      </c>
      <c r="K21" s="581">
        <f>(F21*$C$7)*(1-$C$15)</f>
        <v>285.84712363636362</v>
      </c>
      <c r="L21" s="501">
        <f>+$C$7*G21*(1-$C$15)</f>
        <v>271.55476745454541</v>
      </c>
      <c r="M21" s="501">
        <f>+$C$7*H21*(1-$C$15)</f>
        <v>300.13947981818183</v>
      </c>
      <c r="N21" s="497"/>
      <c r="O21" s="587">
        <f>($K21+$C$13+$C$12)/$C$9</f>
        <v>3.2945246801424863</v>
      </c>
      <c r="P21" s="587">
        <f>($L21+$C$13+$C$12)/$C$9</f>
        <v>3.1619732664460507</v>
      </c>
      <c r="Q21" s="587">
        <f>($M21+$C$13+$C$12)/$C$9</f>
        <v>3.4270760938389224</v>
      </c>
      <c r="R21" s="497"/>
      <c r="S21" s="587">
        <f>($K21+$C$13+$C$12)/$C$10</f>
        <v>4.1747499848016005</v>
      </c>
      <c r="T21" s="587">
        <f>($L21+$C$13+$C$12)/$C$10</f>
        <v>4.0067837177251935</v>
      </c>
      <c r="U21" s="587">
        <f>($M21+$C$13+$C$12)/$C$10</f>
        <v>4.3427162518780067</v>
      </c>
      <c r="V21" s="498" t="s">
        <v>728</v>
      </c>
      <c r="W21" s="499"/>
      <c r="X21" s="499"/>
      <c r="Y21" s="499"/>
      <c r="Z21" s="482"/>
      <c r="AA21" s="482"/>
      <c r="AB21" s="482"/>
      <c r="AC21" s="482"/>
      <c r="AD21" s="482"/>
      <c r="AE21" s="482"/>
      <c r="AF21" s="482"/>
      <c r="AG21" s="482"/>
      <c r="AH21" s="482"/>
      <c r="AI21" s="482"/>
      <c r="AJ21" s="482"/>
      <c r="AK21" s="482"/>
      <c r="AL21" s="482"/>
      <c r="AM21" s="482"/>
      <c r="AN21" s="482"/>
      <c r="AO21" s="482"/>
      <c r="AP21" s="482"/>
      <c r="AQ21" s="482"/>
      <c r="AR21" s="482"/>
      <c r="AS21" s="482"/>
      <c r="AT21" s="482"/>
      <c r="AU21" s="482"/>
      <c r="AV21" s="482"/>
      <c r="AW21" s="482"/>
      <c r="AX21" s="482"/>
      <c r="AY21" s="482"/>
      <c r="AZ21" s="482"/>
      <c r="BA21" s="482"/>
      <c r="BB21" s="482"/>
      <c r="BC21" s="482"/>
      <c r="BD21" s="482"/>
      <c r="BE21" s="482"/>
      <c r="BF21" s="482"/>
      <c r="BG21" s="482"/>
      <c r="BH21" s="482"/>
      <c r="BI21" s="482"/>
      <c r="BJ21" s="482"/>
      <c r="BK21" s="482"/>
      <c r="BL21" s="482"/>
      <c r="BM21" s="482"/>
      <c r="BN21" s="482"/>
      <c r="BO21" s="482"/>
      <c r="BP21" s="482"/>
      <c r="BQ21" s="482"/>
      <c r="BR21" s="482"/>
      <c r="BS21" s="482"/>
      <c r="BT21" s="482"/>
      <c r="BU21" s="482"/>
      <c r="BV21" s="482"/>
      <c r="BW21" s="482"/>
      <c r="BX21" s="482"/>
      <c r="BY21" s="482"/>
      <c r="BZ21" s="482"/>
    </row>
    <row r="22" spans="1:78" x14ac:dyDescent="0.2">
      <c r="A22" s="479"/>
      <c r="B22" s="543"/>
      <c r="C22" s="544"/>
      <c r="D22" s="545"/>
      <c r="E22" s="546"/>
      <c r="F22" s="552"/>
      <c r="G22" s="555"/>
      <c r="H22" s="556"/>
      <c r="I22" s="558"/>
      <c r="J22" s="558"/>
      <c r="K22" s="560"/>
      <c r="L22" s="558"/>
      <c r="M22" s="558"/>
      <c r="N22" s="497"/>
      <c r="O22" s="588"/>
      <c r="P22" s="588"/>
      <c r="Q22" s="588"/>
      <c r="R22" s="497"/>
      <c r="S22" s="588"/>
      <c r="T22" s="588"/>
      <c r="U22" s="588"/>
      <c r="V22" s="482"/>
      <c r="W22" s="502" t="s">
        <v>694</v>
      </c>
      <c r="X22" s="502" t="s">
        <v>729</v>
      </c>
      <c r="Y22" s="502" t="s">
        <v>695</v>
      </c>
      <c r="Z22" s="482"/>
      <c r="AA22" s="482"/>
      <c r="AB22" s="482"/>
      <c r="AC22" s="482"/>
      <c r="AD22" s="482"/>
      <c r="AE22" s="482"/>
      <c r="AF22" s="482"/>
      <c r="AG22" s="482"/>
      <c r="AH22" s="482"/>
      <c r="AI22" s="482"/>
      <c r="AJ22" s="482"/>
      <c r="AK22" s="482"/>
      <c r="AL22" s="482"/>
      <c r="AM22" s="482"/>
      <c r="AN22" s="482"/>
      <c r="AO22" s="482"/>
      <c r="AP22" s="482"/>
      <c r="AQ22" s="482"/>
      <c r="AR22" s="482"/>
      <c r="AS22" s="482"/>
      <c r="AT22" s="482"/>
      <c r="AU22" s="482"/>
      <c r="AV22" s="482"/>
      <c r="AW22" s="482"/>
      <c r="AX22" s="482"/>
      <c r="AY22" s="482"/>
      <c r="AZ22" s="482"/>
      <c r="BA22" s="482"/>
      <c r="BB22" s="482"/>
      <c r="BC22" s="482"/>
      <c r="BD22" s="482"/>
      <c r="BE22" s="482"/>
      <c r="BF22" s="482"/>
      <c r="BG22" s="482"/>
      <c r="BH22" s="482"/>
      <c r="BI22" s="482"/>
      <c r="BJ22" s="482"/>
      <c r="BK22" s="482"/>
      <c r="BL22" s="482"/>
      <c r="BM22" s="482"/>
      <c r="BN22" s="482"/>
      <c r="BO22" s="482"/>
      <c r="BP22" s="482"/>
      <c r="BQ22" s="482"/>
      <c r="BR22" s="482"/>
      <c r="BS22" s="482"/>
      <c r="BT22" s="482"/>
      <c r="BU22" s="482"/>
      <c r="BV22" s="482"/>
      <c r="BW22" s="482"/>
      <c r="BX22" s="482"/>
      <c r="BY22" s="482"/>
      <c r="BZ22" s="482"/>
    </row>
    <row r="23" spans="1:78" x14ac:dyDescent="0.2">
      <c r="A23" s="479"/>
      <c r="B23" s="500"/>
      <c r="C23" s="481"/>
      <c r="D23" s="479"/>
      <c r="E23" s="479"/>
      <c r="F23" s="501"/>
      <c r="G23" s="501"/>
      <c r="H23" s="501"/>
      <c r="I23" s="501"/>
      <c r="J23" s="501"/>
      <c r="K23" s="501"/>
      <c r="L23" s="501"/>
      <c r="M23" s="501"/>
      <c r="N23" s="497"/>
      <c r="O23" s="501"/>
      <c r="P23" s="501"/>
      <c r="Q23" s="501"/>
      <c r="R23" s="497"/>
      <c r="S23" s="501"/>
      <c r="T23" s="501"/>
      <c r="U23" s="501"/>
      <c r="V23" s="482" t="s">
        <v>756</v>
      </c>
      <c r="W23" s="565">
        <f>L25</f>
        <v>0</v>
      </c>
      <c r="X23" s="566">
        <f>K25</f>
        <v>0</v>
      </c>
      <c r="Y23" s="566">
        <f>M25</f>
        <v>0</v>
      </c>
      <c r="Z23" s="482"/>
      <c r="AA23" s="482"/>
      <c r="AB23" s="482"/>
      <c r="AC23" s="482"/>
      <c r="AD23" s="482"/>
      <c r="AE23" s="482"/>
      <c r="AF23" s="482"/>
      <c r="AG23" s="482"/>
      <c r="AH23" s="482"/>
      <c r="AI23" s="482"/>
      <c r="AJ23" s="482"/>
      <c r="AK23" s="482"/>
      <c r="AL23" s="482"/>
      <c r="AM23" s="482"/>
      <c r="AN23" s="482"/>
      <c r="AO23" s="482"/>
      <c r="AP23" s="482"/>
      <c r="AQ23" s="482"/>
      <c r="AR23" s="482"/>
      <c r="AS23" s="482"/>
      <c r="AT23" s="482"/>
      <c r="AU23" s="482"/>
      <c r="AV23" s="482"/>
      <c r="AW23" s="482"/>
      <c r="AX23" s="482"/>
      <c r="AY23" s="482"/>
      <c r="AZ23" s="482"/>
      <c r="BA23" s="482"/>
      <c r="BB23" s="482"/>
      <c r="BC23" s="482"/>
      <c r="BD23" s="482"/>
      <c r="BE23" s="482"/>
      <c r="BF23" s="482"/>
      <c r="BG23" s="482"/>
      <c r="BH23" s="482"/>
      <c r="BI23" s="482"/>
      <c r="BJ23" s="482"/>
      <c r="BK23" s="482"/>
      <c r="BL23" s="482"/>
      <c r="BM23" s="482"/>
      <c r="BN23" s="482"/>
      <c r="BO23" s="482"/>
      <c r="BP23" s="482"/>
      <c r="BQ23" s="482"/>
      <c r="BR23" s="482"/>
      <c r="BS23" s="482"/>
      <c r="BT23" s="482"/>
      <c r="BU23" s="482"/>
      <c r="BV23" s="482"/>
      <c r="BW23" s="482"/>
      <c r="BX23" s="482"/>
      <c r="BY23" s="482"/>
      <c r="BZ23" s="482"/>
    </row>
    <row r="24" spans="1:78" ht="12.6" x14ac:dyDescent="0.2">
      <c r="A24" s="479"/>
      <c r="B24" s="495" t="s">
        <v>730</v>
      </c>
      <c r="C24" s="481"/>
      <c r="D24" s="479"/>
      <c r="E24" s="479"/>
      <c r="F24" s="503"/>
      <c r="G24" s="503"/>
      <c r="H24" s="503"/>
      <c r="I24" s="503"/>
      <c r="J24" s="503"/>
      <c r="K24" s="503"/>
      <c r="L24" s="503"/>
      <c r="M24" s="503"/>
      <c r="N24" s="101"/>
      <c r="O24" s="503"/>
      <c r="P24" s="503"/>
      <c r="Q24" s="503"/>
      <c r="R24" s="101"/>
      <c r="S24" s="503"/>
      <c r="T24" s="503"/>
      <c r="U24" s="503"/>
      <c r="V24" s="482" t="s">
        <v>1141</v>
      </c>
      <c r="W24" s="567">
        <f>L26</f>
        <v>2879.1325797619047</v>
      </c>
      <c r="X24" s="568">
        <f>K26</f>
        <v>3027.5254523809526</v>
      </c>
      <c r="Y24" s="568">
        <f>M26</f>
        <v>3175.9183250000006</v>
      </c>
      <c r="Z24" s="482"/>
      <c r="AA24" s="482"/>
      <c r="AB24" s="482"/>
      <c r="AC24" s="482"/>
      <c r="AD24" s="482"/>
      <c r="AE24" s="482"/>
      <c r="AF24" s="482"/>
      <c r="AG24" s="482"/>
      <c r="AH24" s="482"/>
      <c r="AI24" s="482"/>
      <c r="AJ24" s="482"/>
      <c r="AK24" s="482"/>
      <c r="AL24" s="482"/>
      <c r="AM24" s="482"/>
      <c r="AN24" s="482"/>
      <c r="AO24" s="482"/>
      <c r="AP24" s="482"/>
      <c r="AQ24" s="482"/>
      <c r="AR24" s="482"/>
      <c r="AS24" s="482"/>
      <c r="AT24" s="482"/>
      <c r="AU24" s="482"/>
      <c r="AV24" s="482"/>
      <c r="AW24" s="482"/>
      <c r="AX24" s="482"/>
      <c r="AY24" s="482"/>
      <c r="AZ24" s="482"/>
      <c r="BA24" s="482"/>
      <c r="BB24" s="482"/>
      <c r="BC24" s="482"/>
      <c r="BD24" s="482"/>
      <c r="BE24" s="482"/>
      <c r="BF24" s="482"/>
      <c r="BG24" s="482"/>
      <c r="BH24" s="482"/>
      <c r="BI24" s="482"/>
      <c r="BJ24" s="482"/>
      <c r="BK24" s="482"/>
      <c r="BL24" s="482"/>
      <c r="BM24" s="482"/>
      <c r="BN24" s="482"/>
      <c r="BO24" s="482"/>
      <c r="BP24" s="482"/>
      <c r="BQ24" s="482"/>
      <c r="BR24" s="482"/>
      <c r="BS24" s="482"/>
      <c r="BT24" s="482"/>
      <c r="BU24" s="482"/>
      <c r="BV24" s="482"/>
      <c r="BW24" s="482"/>
      <c r="BX24" s="482"/>
      <c r="BY24" s="482"/>
      <c r="BZ24" s="482"/>
    </row>
    <row r="25" spans="1:78" x14ac:dyDescent="0.2">
      <c r="A25" s="479"/>
      <c r="B25" s="539" t="s">
        <v>739</v>
      </c>
      <c r="C25" s="540"/>
      <c r="D25" s="541"/>
      <c r="E25" s="547"/>
      <c r="F25" s="551"/>
      <c r="G25" s="553"/>
      <c r="H25" s="554"/>
      <c r="I25" s="557"/>
      <c r="J25" s="557"/>
      <c r="K25" s="559"/>
      <c r="L25" s="557"/>
      <c r="M25" s="557"/>
      <c r="N25" s="497"/>
      <c r="O25" s="586"/>
      <c r="P25" s="586"/>
      <c r="Q25" s="586"/>
      <c r="R25" s="497"/>
      <c r="S25" s="586"/>
      <c r="T25" s="586"/>
      <c r="U25" s="586"/>
      <c r="V25" s="482" t="s">
        <v>757</v>
      </c>
      <c r="W25" s="569">
        <f>L20</f>
        <v>0</v>
      </c>
      <c r="X25" s="570">
        <f>K20</f>
        <v>0</v>
      </c>
      <c r="Y25" s="570">
        <f>M20</f>
        <v>0</v>
      </c>
      <c r="Z25" s="482"/>
      <c r="AA25" s="482"/>
      <c r="AB25" s="482"/>
      <c r="AC25" s="482"/>
      <c r="AD25" s="482"/>
      <c r="AE25" s="482"/>
      <c r="AF25" s="482"/>
      <c r="AG25" s="482"/>
      <c r="AH25" s="482"/>
      <c r="AI25" s="482"/>
      <c r="AJ25" s="482"/>
      <c r="AK25" s="482"/>
      <c r="AL25" s="482"/>
      <c r="AM25" s="482"/>
      <c r="AN25" s="482"/>
      <c r="AO25" s="482"/>
      <c r="AP25" s="482"/>
      <c r="AQ25" s="482"/>
      <c r="AR25" s="482"/>
      <c r="AS25" s="482"/>
      <c r="AT25" s="482"/>
      <c r="AU25" s="482"/>
      <c r="AV25" s="482"/>
      <c r="AW25" s="482"/>
      <c r="AX25" s="482"/>
      <c r="AY25" s="482"/>
      <c r="AZ25" s="482"/>
      <c r="BA25" s="482"/>
      <c r="BB25" s="482"/>
      <c r="BC25" s="482"/>
      <c r="BD25" s="482"/>
      <c r="BE25" s="482"/>
      <c r="BF25" s="482"/>
      <c r="BG25" s="482"/>
      <c r="BH25" s="482"/>
      <c r="BI25" s="482"/>
      <c r="BJ25" s="482"/>
      <c r="BK25" s="482"/>
      <c r="BL25" s="482"/>
      <c r="BM25" s="482"/>
      <c r="BN25" s="482"/>
      <c r="BO25" s="482"/>
      <c r="BP25" s="482"/>
      <c r="BQ25" s="482"/>
      <c r="BR25" s="482"/>
      <c r="BS25" s="482"/>
      <c r="BT25" s="482"/>
      <c r="BU25" s="482"/>
      <c r="BV25" s="482"/>
      <c r="BW25" s="482"/>
      <c r="BX25" s="482"/>
      <c r="BY25" s="482"/>
      <c r="BZ25" s="482"/>
    </row>
    <row r="26" spans="1:78" x14ac:dyDescent="0.2">
      <c r="A26" s="479"/>
      <c r="B26" s="543" t="s">
        <v>740</v>
      </c>
      <c r="C26" s="544"/>
      <c r="D26" s="545"/>
      <c r="E26" s="546"/>
      <c r="F26" s="552">
        <f>Output!G36</f>
        <v>27.52476190476191</v>
      </c>
      <c r="G26" s="555">
        <f>+$F26*0.95</f>
        <v>26.148523809523812</v>
      </c>
      <c r="H26" s="556">
        <f>+$F26*1.05</f>
        <v>28.901000000000007</v>
      </c>
      <c r="I26" s="558"/>
      <c r="J26" s="558">
        <f>$C$12+$C$13+K26</f>
        <v>3096.9104523809528</v>
      </c>
      <c r="K26" s="560">
        <f>(((($C$9*F26)-$C$13)-$C$12+(C11))*(1-$C$15))</f>
        <v>3027.5254523809526</v>
      </c>
      <c r="L26" s="558">
        <f>(((($C$9*G26)-$C$13)-$C$12+C11)*(1-$C$15))</f>
        <v>2879.1325797619047</v>
      </c>
      <c r="M26" s="558">
        <f>(((($C$9*H26)-$C$13)-$C$12+C11)*(1-$C$15))</f>
        <v>3175.9183250000006</v>
      </c>
      <c r="N26" s="497"/>
      <c r="O26" s="588">
        <f>($K26+$C$13+$C$12)/$C$9</f>
        <v>28.721636470029704</v>
      </c>
      <c r="P26" s="588">
        <f>($L26+$C$13+$C$12)/$C$9</f>
        <v>27.345398374791607</v>
      </c>
      <c r="Q26" s="588">
        <f>($M26+$C$13+$C$12)/$C$9</f>
        <v>30.097874565267801</v>
      </c>
      <c r="R26" s="497"/>
      <c r="S26" s="588">
        <f>($K26+$C$13+$C$12)/$C$10</f>
        <v>36.395432743137846</v>
      </c>
      <c r="T26" s="588">
        <f>($L26+$C$13+$C$12)/$C$10</f>
        <v>34.651493776218302</v>
      </c>
      <c r="U26" s="588">
        <f>($M26+$C$13+$C$12)/$C$10</f>
        <v>38.139371710057389</v>
      </c>
      <c r="V26" s="482" t="s">
        <v>758</v>
      </c>
      <c r="W26" s="569">
        <f>L21</f>
        <v>271.55476745454541</v>
      </c>
      <c r="X26" s="570">
        <f>K21</f>
        <v>285.84712363636362</v>
      </c>
      <c r="Y26" s="570">
        <f>M21</f>
        <v>300.13947981818183</v>
      </c>
      <c r="Z26" s="482"/>
      <c r="AA26" s="482"/>
      <c r="AB26" s="482"/>
      <c r="AC26" s="482"/>
      <c r="AD26" s="482"/>
      <c r="AE26" s="482"/>
      <c r="AF26" s="482"/>
      <c r="AG26" s="482"/>
      <c r="AH26" s="482"/>
      <c r="AI26" s="482"/>
      <c r="AJ26" s="482"/>
      <c r="AK26" s="482"/>
      <c r="AL26" s="482"/>
      <c r="AM26" s="482"/>
      <c r="AN26" s="482"/>
      <c r="AO26" s="482"/>
      <c r="AP26" s="482"/>
      <c r="AQ26" s="482"/>
      <c r="AR26" s="482"/>
      <c r="AS26" s="482"/>
      <c r="AT26" s="482"/>
      <c r="AU26" s="482"/>
      <c r="AV26" s="482"/>
      <c r="AW26" s="482"/>
      <c r="AX26" s="482"/>
      <c r="AY26" s="482"/>
      <c r="AZ26" s="482"/>
      <c r="BA26" s="482"/>
      <c r="BB26" s="482"/>
      <c r="BC26" s="482"/>
      <c r="BD26" s="482"/>
      <c r="BE26" s="482"/>
      <c r="BF26" s="482"/>
      <c r="BG26" s="482"/>
      <c r="BH26" s="482"/>
      <c r="BI26" s="482"/>
      <c r="BJ26" s="482"/>
      <c r="BK26" s="482"/>
      <c r="BL26" s="482"/>
      <c r="BM26" s="482"/>
      <c r="BN26" s="482"/>
      <c r="BO26" s="482"/>
      <c r="BP26" s="482"/>
      <c r="BQ26" s="482"/>
      <c r="BR26" s="482"/>
      <c r="BS26" s="482"/>
      <c r="BT26" s="482"/>
      <c r="BU26" s="482"/>
      <c r="BV26" s="482"/>
      <c r="BW26" s="482"/>
      <c r="BX26" s="482"/>
      <c r="BY26" s="482"/>
      <c r="BZ26" s="482"/>
    </row>
    <row r="27" spans="1:78" x14ac:dyDescent="0.2">
      <c r="A27" s="479"/>
      <c r="B27" s="504"/>
      <c r="C27" s="505"/>
      <c r="D27" s="482"/>
      <c r="E27" s="482"/>
      <c r="F27" s="506"/>
      <c r="G27" s="506"/>
      <c r="H27" s="506"/>
      <c r="I27" s="497"/>
      <c r="J27" s="497"/>
      <c r="K27" s="497"/>
      <c r="L27" s="497"/>
      <c r="M27" s="497"/>
      <c r="N27" s="497"/>
      <c r="O27" s="506"/>
      <c r="P27" s="506"/>
      <c r="Q27" s="506"/>
      <c r="R27" s="497"/>
      <c r="S27" s="506"/>
      <c r="T27" s="506"/>
      <c r="U27" s="506"/>
      <c r="V27" s="482" t="s">
        <v>759</v>
      </c>
      <c r="W27" s="569">
        <f>L22</f>
        <v>0</v>
      </c>
      <c r="X27" s="570">
        <f>K22</f>
        <v>0</v>
      </c>
      <c r="Y27" s="570">
        <f>M22</f>
        <v>0</v>
      </c>
      <c r="Z27" s="482"/>
      <c r="AA27" s="482"/>
      <c r="AB27" s="482"/>
      <c r="AC27" s="482"/>
      <c r="AD27" s="482"/>
      <c r="AE27" s="482"/>
      <c r="AF27" s="482"/>
      <c r="AG27" s="482"/>
      <c r="AH27" s="482"/>
      <c r="AI27" s="482"/>
      <c r="AJ27" s="482"/>
      <c r="AK27" s="482"/>
      <c r="AL27" s="482"/>
      <c r="AM27" s="482"/>
      <c r="AN27" s="482"/>
      <c r="AO27" s="482"/>
      <c r="AP27" s="482"/>
      <c r="AQ27" s="482"/>
      <c r="AR27" s="482"/>
      <c r="AS27" s="482"/>
      <c r="AT27" s="482"/>
      <c r="AU27" s="482"/>
      <c r="AV27" s="482"/>
      <c r="AW27" s="482"/>
      <c r="AX27" s="482"/>
      <c r="AY27" s="482"/>
      <c r="AZ27" s="482"/>
      <c r="BA27" s="482"/>
      <c r="BB27" s="482"/>
      <c r="BC27" s="482"/>
      <c r="BD27" s="482"/>
      <c r="BE27" s="482"/>
      <c r="BF27" s="482"/>
      <c r="BG27" s="482"/>
      <c r="BH27" s="482"/>
      <c r="BI27" s="482"/>
      <c r="BJ27" s="482"/>
      <c r="BK27" s="482"/>
      <c r="BL27" s="482"/>
      <c r="BM27" s="482"/>
      <c r="BN27" s="482"/>
      <c r="BO27" s="482"/>
      <c r="BP27" s="482"/>
      <c r="BQ27" s="482"/>
      <c r="BR27" s="482"/>
      <c r="BS27" s="482"/>
      <c r="BT27" s="482"/>
      <c r="BU27" s="482"/>
      <c r="BV27" s="482"/>
      <c r="BW27" s="482"/>
      <c r="BX27" s="482"/>
      <c r="BY27" s="482"/>
      <c r="BZ27" s="482"/>
    </row>
    <row r="28" spans="1:78" ht="12.6" x14ac:dyDescent="0.2">
      <c r="A28" s="482"/>
      <c r="B28" s="524" t="s">
        <v>731</v>
      </c>
      <c r="C28" s="548"/>
      <c r="D28" s="549"/>
      <c r="E28" s="549"/>
      <c r="F28" s="507"/>
      <c r="G28" s="507"/>
      <c r="H28" s="507"/>
      <c r="I28" s="507"/>
      <c r="J28" s="507"/>
      <c r="K28" s="507"/>
      <c r="L28" s="507"/>
      <c r="M28" s="507"/>
      <c r="N28" s="101"/>
      <c r="O28" s="507"/>
      <c r="P28" s="507"/>
      <c r="Q28" s="507"/>
      <c r="R28" s="101"/>
      <c r="S28" s="507"/>
      <c r="T28" s="507"/>
      <c r="U28" s="507"/>
      <c r="V28" s="482" t="s">
        <v>1143</v>
      </c>
      <c r="W28" s="569">
        <f>X28*0.95</f>
        <v>4702.5</v>
      </c>
      <c r="X28" s="570">
        <v>4950</v>
      </c>
      <c r="Y28" s="570">
        <f>X28*1.05</f>
        <v>5197.5</v>
      </c>
      <c r="Z28" s="482"/>
      <c r="AA28" s="482"/>
      <c r="AB28" s="482"/>
      <c r="AC28" s="482"/>
      <c r="AD28" s="482"/>
      <c r="AE28" s="482"/>
      <c r="AF28" s="482"/>
      <c r="AG28" s="482"/>
      <c r="AH28" s="482"/>
      <c r="AI28" s="482"/>
      <c r="AJ28" s="482"/>
      <c r="AK28" s="482"/>
      <c r="AL28" s="482"/>
      <c r="AM28" s="482"/>
      <c r="AN28" s="482"/>
      <c r="AO28" s="482"/>
      <c r="AP28" s="482"/>
      <c r="AQ28" s="482"/>
      <c r="AR28" s="482"/>
      <c r="AS28" s="482"/>
      <c r="AT28" s="482"/>
      <c r="AU28" s="482"/>
      <c r="AV28" s="482"/>
      <c r="AW28" s="482"/>
      <c r="AX28" s="482"/>
      <c r="AY28" s="482"/>
      <c r="AZ28" s="482"/>
      <c r="BA28" s="482"/>
      <c r="BB28" s="482"/>
      <c r="BC28" s="482"/>
      <c r="BD28" s="482"/>
      <c r="BE28" s="482"/>
      <c r="BF28" s="482"/>
      <c r="BG28" s="482"/>
      <c r="BH28" s="482"/>
      <c r="BI28" s="482"/>
      <c r="BJ28" s="482"/>
      <c r="BK28" s="482"/>
      <c r="BL28" s="482"/>
      <c r="BM28" s="482"/>
      <c r="BN28" s="482"/>
      <c r="BO28" s="482"/>
      <c r="BP28" s="482"/>
      <c r="BQ28" s="482"/>
      <c r="BR28" s="482"/>
      <c r="BS28" s="482"/>
      <c r="BT28" s="482"/>
      <c r="BU28" s="482"/>
      <c r="BV28" s="482"/>
      <c r="BW28" s="482"/>
      <c r="BX28" s="482"/>
      <c r="BY28" s="482"/>
      <c r="BZ28" s="482"/>
    </row>
    <row r="29" spans="1:78" x14ac:dyDescent="0.2">
      <c r="A29" s="482"/>
      <c r="B29" s="539" t="s">
        <v>1139</v>
      </c>
      <c r="C29" s="540"/>
      <c r="D29" s="541"/>
      <c r="E29" s="541"/>
      <c r="F29" s="637"/>
      <c r="G29" s="637"/>
      <c r="H29" s="638"/>
      <c r="I29" s="637"/>
      <c r="J29" s="637" t="e">
        <f>'Val - Income Approach'!$R$78/1000</f>
        <v>#NAME?</v>
      </c>
      <c r="K29" s="639" t="e">
        <f>'Val - Income Approach'!R88/1000</f>
        <v>#NAME?</v>
      </c>
      <c r="L29" s="637" t="e">
        <f>K29*(1-0.05)</f>
        <v>#NAME?</v>
      </c>
      <c r="M29" s="637" t="e">
        <f>K29*(1+0.05)</f>
        <v>#NAME?</v>
      </c>
      <c r="N29" s="508"/>
      <c r="O29" s="586" t="e">
        <f t="shared" ref="O29" si="0">($K29+$C$13+$C$12)/$C$9</f>
        <v>#NAME?</v>
      </c>
      <c r="P29" s="586" t="e">
        <f t="shared" ref="P29" si="1">($L29+$C$13+$C$12)/$C$9</f>
        <v>#NAME?</v>
      </c>
      <c r="Q29" s="586" t="e">
        <f t="shared" ref="Q29" si="2">($M29+$C$13+$C$12)/$C$9</f>
        <v>#NAME?</v>
      </c>
      <c r="R29" s="497"/>
      <c r="S29" s="586" t="e">
        <f t="shared" ref="S29" si="3">($K29+$C$13+$C$12)/$C$10</f>
        <v>#NAME?</v>
      </c>
      <c r="T29" s="586" t="e">
        <f t="shared" ref="T29" si="4">($L29+$C$13+$C$12)/$C$10</f>
        <v>#NAME?</v>
      </c>
      <c r="U29" s="586" t="e">
        <f t="shared" ref="U29" si="5">($M29+$C$13+$C$12)/$C$10</f>
        <v>#NAME?</v>
      </c>
      <c r="V29" s="482" t="s">
        <v>1140</v>
      </c>
      <c r="W29" s="569" t="e">
        <f>L29</f>
        <v>#NAME?</v>
      </c>
      <c r="X29" s="570" t="e">
        <f>K29</f>
        <v>#NAME?</v>
      </c>
      <c r="Y29" s="570" t="e">
        <f>M29</f>
        <v>#NAME?</v>
      </c>
      <c r="Z29" s="482"/>
      <c r="AA29" s="482"/>
      <c r="AB29" s="482"/>
      <c r="AC29" s="482"/>
      <c r="AD29" s="482"/>
      <c r="AE29" s="482"/>
      <c r="AF29" s="482"/>
      <c r="AG29" s="482"/>
      <c r="AH29" s="482"/>
      <c r="AI29" s="482"/>
      <c r="AJ29" s="482"/>
      <c r="AK29" s="482"/>
      <c r="AL29" s="482"/>
      <c r="AM29" s="482"/>
      <c r="AN29" s="482"/>
      <c r="AO29" s="482"/>
      <c r="AP29" s="482"/>
      <c r="AQ29" s="482"/>
      <c r="AR29" s="482"/>
      <c r="AS29" s="482"/>
      <c r="AT29" s="482"/>
      <c r="AU29" s="482"/>
      <c r="AV29" s="482"/>
      <c r="AW29" s="482"/>
      <c r="AX29" s="482"/>
      <c r="AY29" s="482"/>
      <c r="AZ29" s="482"/>
      <c r="BA29" s="482"/>
      <c r="BB29" s="482"/>
      <c r="BC29" s="482"/>
      <c r="BD29" s="482"/>
      <c r="BE29" s="482"/>
      <c r="BF29" s="482"/>
      <c r="BG29" s="482"/>
      <c r="BH29" s="482"/>
      <c r="BI29" s="482"/>
      <c r="BJ29" s="482"/>
      <c r="BK29" s="482"/>
      <c r="BL29" s="482"/>
      <c r="BM29" s="482"/>
      <c r="BN29" s="482"/>
      <c r="BO29" s="482"/>
      <c r="BP29" s="482"/>
      <c r="BQ29" s="482"/>
      <c r="BR29" s="482"/>
      <c r="BS29" s="482"/>
      <c r="BT29" s="482"/>
      <c r="BU29" s="482"/>
      <c r="BV29" s="482"/>
      <c r="BW29" s="482"/>
      <c r="BX29" s="482"/>
      <c r="BY29" s="482"/>
      <c r="BZ29" s="482"/>
    </row>
    <row r="30" spans="1:78" x14ac:dyDescent="0.2">
      <c r="A30" s="479"/>
      <c r="B30" s="543" t="s">
        <v>1139</v>
      </c>
      <c r="C30" s="544"/>
      <c r="D30" s="545"/>
      <c r="E30" s="545"/>
      <c r="F30" s="640"/>
      <c r="G30" s="640"/>
      <c r="H30" s="641"/>
      <c r="I30" s="640"/>
      <c r="J30" s="640"/>
      <c r="K30" s="642"/>
      <c r="L30" s="640"/>
      <c r="M30" s="640"/>
      <c r="N30" s="508"/>
      <c r="O30" s="588"/>
      <c r="P30" s="588"/>
      <c r="Q30" s="588"/>
      <c r="R30" s="497"/>
      <c r="S30" s="588"/>
      <c r="T30" s="588"/>
      <c r="U30" s="588"/>
      <c r="V30" s="482" t="s">
        <v>760</v>
      </c>
      <c r="W30" s="569">
        <f>L33</f>
        <v>394.25998907203916</v>
      </c>
      <c r="X30" s="570">
        <f>K33</f>
        <v>415.01051481267285</v>
      </c>
      <c r="Y30" s="570">
        <f>M33</f>
        <v>435.76104055330649</v>
      </c>
      <c r="Z30" s="482"/>
      <c r="AA30" s="482"/>
      <c r="AB30" s="482"/>
      <c r="AC30" s="482"/>
      <c r="AD30" s="482"/>
      <c r="AE30" s="482"/>
      <c r="AF30" s="482"/>
      <c r="AG30" s="482"/>
      <c r="AH30" s="482"/>
      <c r="AI30" s="482"/>
      <c r="AJ30" s="482"/>
      <c r="AK30" s="482"/>
      <c r="AL30" s="482"/>
      <c r="AM30" s="482"/>
      <c r="AN30" s="482"/>
      <c r="AO30" s="482"/>
      <c r="AP30" s="482"/>
      <c r="AQ30" s="482"/>
      <c r="AR30" s="482"/>
      <c r="AS30" s="482"/>
      <c r="AT30" s="482"/>
      <c r="AU30" s="482"/>
      <c r="AV30" s="482"/>
      <c r="AW30" s="482"/>
      <c r="AX30" s="482"/>
      <c r="AY30" s="482"/>
      <c r="AZ30" s="482"/>
      <c r="BA30" s="482"/>
      <c r="BB30" s="482"/>
      <c r="BC30" s="482"/>
      <c r="BD30" s="482"/>
      <c r="BE30" s="482"/>
      <c r="BF30" s="482"/>
      <c r="BG30" s="482"/>
      <c r="BH30" s="482"/>
      <c r="BI30" s="482"/>
      <c r="BJ30" s="482"/>
      <c r="BK30" s="482"/>
      <c r="BL30" s="482"/>
      <c r="BM30" s="482"/>
      <c r="BN30" s="482"/>
      <c r="BO30" s="482"/>
      <c r="BP30" s="482"/>
      <c r="BQ30" s="482"/>
      <c r="BR30" s="482"/>
      <c r="BS30" s="482"/>
      <c r="BT30" s="482"/>
      <c r="BU30" s="482"/>
      <c r="BV30" s="482"/>
      <c r="BW30" s="482"/>
      <c r="BX30" s="482"/>
      <c r="BY30" s="482"/>
      <c r="BZ30" s="482"/>
    </row>
    <row r="31" spans="1:78" x14ac:dyDescent="0.2">
      <c r="A31" s="479"/>
      <c r="B31" s="550"/>
      <c r="C31" s="548"/>
      <c r="D31" s="549"/>
      <c r="E31" s="549"/>
      <c r="F31" s="509"/>
      <c r="G31" s="509"/>
      <c r="H31" s="509"/>
      <c r="I31" s="508"/>
      <c r="J31" s="508"/>
      <c r="K31" s="508"/>
      <c r="L31" s="508"/>
      <c r="M31" s="508"/>
      <c r="N31" s="508"/>
      <c r="O31" s="508"/>
      <c r="P31" s="508"/>
      <c r="Q31" s="508"/>
      <c r="R31" s="508"/>
      <c r="S31" s="508"/>
      <c r="T31" s="508"/>
      <c r="U31" s="496"/>
      <c r="V31" s="482" t="s">
        <v>761</v>
      </c>
      <c r="W31" s="569">
        <f>L34</f>
        <v>2069.5999472268782</v>
      </c>
      <c r="X31" s="570">
        <f>K34</f>
        <v>2175.3858391861882</v>
      </c>
      <c r="Y31" s="570">
        <f>M34</f>
        <v>2281.1717311454972</v>
      </c>
      <c r="Z31" s="482"/>
      <c r="AA31" s="482"/>
      <c r="AB31" s="482"/>
      <c r="AC31" s="482"/>
      <c r="AD31" s="482"/>
      <c r="AE31" s="482"/>
      <c r="AF31" s="482"/>
      <c r="AG31" s="482"/>
      <c r="AH31" s="482"/>
      <c r="AI31" s="482"/>
      <c r="AJ31" s="482"/>
      <c r="AK31" s="482"/>
      <c r="AL31" s="482"/>
      <c r="AM31" s="482"/>
      <c r="AN31" s="482"/>
      <c r="AO31" s="482"/>
      <c r="AP31" s="482"/>
      <c r="AQ31" s="482"/>
      <c r="AR31" s="482"/>
      <c r="AS31" s="482"/>
      <c r="AT31" s="482"/>
      <c r="AU31" s="482"/>
      <c r="AV31" s="482"/>
      <c r="AW31" s="482"/>
      <c r="AX31" s="482"/>
      <c r="AY31" s="482"/>
      <c r="AZ31" s="482"/>
      <c r="BA31" s="482"/>
      <c r="BB31" s="482"/>
      <c r="BC31" s="482"/>
      <c r="BD31" s="482"/>
      <c r="BE31" s="482"/>
      <c r="BF31" s="482"/>
      <c r="BG31" s="482"/>
      <c r="BH31" s="482"/>
      <c r="BI31" s="482"/>
      <c r="BJ31" s="482"/>
      <c r="BK31" s="482"/>
      <c r="BL31" s="482"/>
      <c r="BM31" s="482"/>
      <c r="BN31" s="482"/>
      <c r="BO31" s="482"/>
      <c r="BP31" s="482"/>
      <c r="BQ31" s="482"/>
      <c r="BR31" s="482"/>
      <c r="BS31" s="482"/>
      <c r="BT31" s="482"/>
      <c r="BU31" s="482"/>
      <c r="BV31" s="482"/>
      <c r="BW31" s="482"/>
      <c r="BX31" s="482"/>
      <c r="BY31" s="482"/>
      <c r="BZ31" s="482"/>
    </row>
    <row r="32" spans="1:78" ht="12.6" x14ac:dyDescent="0.2">
      <c r="A32" s="479"/>
      <c r="B32" s="495" t="s">
        <v>753</v>
      </c>
      <c r="C32" s="481"/>
      <c r="D32" s="479"/>
      <c r="E32" s="479"/>
      <c r="F32" s="479"/>
      <c r="G32" s="479"/>
      <c r="H32" s="479"/>
      <c r="I32" s="479"/>
      <c r="J32" s="479"/>
      <c r="K32" s="479"/>
      <c r="L32" s="479"/>
      <c r="M32" s="479"/>
      <c r="N32" s="584"/>
      <c r="O32" s="479"/>
      <c r="P32" s="479"/>
      <c r="Q32" s="479"/>
      <c r="R32" s="584"/>
      <c r="S32" s="479"/>
      <c r="T32" s="479"/>
      <c r="U32" s="479"/>
      <c r="V32" s="504"/>
      <c r="W32" s="492"/>
      <c r="X32" s="492"/>
      <c r="Y32" s="492"/>
      <c r="Z32" s="482"/>
      <c r="AA32" s="482"/>
      <c r="AB32" s="482"/>
      <c r="AC32" s="482"/>
      <c r="AD32" s="482"/>
      <c r="AE32" s="482"/>
      <c r="AF32" s="482"/>
      <c r="AG32" s="482"/>
      <c r="AH32" s="482"/>
      <c r="AI32" s="482"/>
      <c r="AJ32" s="482"/>
      <c r="AK32" s="482"/>
      <c r="AL32" s="482"/>
      <c r="AM32" s="482"/>
      <c r="AN32" s="482"/>
      <c r="AO32" s="482"/>
      <c r="AP32" s="482"/>
      <c r="AQ32" s="482"/>
      <c r="AR32" s="482"/>
      <c r="AS32" s="482"/>
      <c r="AT32" s="482"/>
      <c r="AU32" s="482"/>
      <c r="AV32" s="482"/>
      <c r="AW32" s="482"/>
      <c r="AX32" s="482"/>
      <c r="AY32" s="482"/>
      <c r="AZ32" s="482"/>
      <c r="BA32" s="482"/>
      <c r="BB32" s="482"/>
      <c r="BC32" s="482"/>
      <c r="BD32" s="482"/>
      <c r="BE32" s="482"/>
      <c r="BF32" s="482"/>
      <c r="BG32" s="482"/>
      <c r="BH32" s="482"/>
      <c r="BI32" s="482"/>
      <c r="BJ32" s="482"/>
      <c r="BK32" s="482"/>
      <c r="BL32" s="482"/>
      <c r="BM32" s="482"/>
      <c r="BN32" s="482"/>
      <c r="BO32" s="482"/>
      <c r="BP32" s="482"/>
      <c r="BQ32" s="482"/>
      <c r="BR32" s="482"/>
      <c r="BS32" s="482"/>
      <c r="BT32" s="482"/>
      <c r="BU32" s="482"/>
      <c r="BV32" s="482"/>
      <c r="BW32" s="482"/>
      <c r="BX32" s="482"/>
      <c r="BY32" s="482"/>
      <c r="BZ32" s="482"/>
    </row>
    <row r="33" spans="1:78" x14ac:dyDescent="0.2">
      <c r="A33" s="479"/>
      <c r="B33" s="539" t="s">
        <v>755</v>
      </c>
      <c r="C33" s="540"/>
      <c r="D33" s="541"/>
      <c r="E33" s="542"/>
      <c r="F33" s="551">
        <f>Output!K36</f>
        <v>37.847619047619048</v>
      </c>
      <c r="G33" s="553">
        <f>+$F33*0.95</f>
        <v>35.955238095238094</v>
      </c>
      <c r="H33" s="554">
        <f>+$F33*1.05</f>
        <v>39.74</v>
      </c>
      <c r="I33" s="557"/>
      <c r="J33" s="557">
        <f t="shared" ref="J33:J34" si="6">$C$12+$C$13+K33</f>
        <v>484.39551481267284</v>
      </c>
      <c r="K33" s="559">
        <f>(F33*$C$8)*(1-$C$15)</f>
        <v>415.01051481267285</v>
      </c>
      <c r="L33" s="557">
        <f>(+$C$8*G33)*(1-$C$15)</f>
        <v>394.25998907203916</v>
      </c>
      <c r="M33" s="557">
        <f>(+$C$8*H33)*(1-$C$15)</f>
        <v>435.76104055330649</v>
      </c>
      <c r="N33" s="497"/>
      <c r="O33" s="586">
        <f t="shared" ref="O33:O34" si="7">($K33+$C$13+$C$12)/$C$9</f>
        <v>4.4924230448659666</v>
      </c>
      <c r="P33" s="586">
        <f t="shared" ref="P33:P34" si="8">($L33+$C$13+$C$12)/$C$9</f>
        <v>4.2999767129333559</v>
      </c>
      <c r="Q33" s="586">
        <f t="shared" ref="Q33:Q34" si="9">($M33+$C$13+$C$12)/$C$9</f>
        <v>4.6848693767985763</v>
      </c>
      <c r="R33" s="497"/>
      <c r="S33" s="586">
        <f t="shared" ref="S33:S34" si="10">($K33+$C$13+$C$12)/$C$10</f>
        <v>5.6927007259406599</v>
      </c>
      <c r="T33" s="586">
        <f t="shared" ref="T33:T34" si="11">($L33+$C$13+$C$12)/$C$10</f>
        <v>5.4488369218072998</v>
      </c>
      <c r="U33" s="586">
        <f t="shared" ref="U33:U34" si="12">($M33+$C$13+$C$12)/$C$10</f>
        <v>5.9365645300740191</v>
      </c>
      <c r="V33" s="482"/>
      <c r="W33" s="482"/>
      <c r="X33" s="482"/>
      <c r="Y33" s="482"/>
      <c r="Z33" s="482"/>
      <c r="AA33" s="482"/>
      <c r="AB33" s="482"/>
      <c r="AC33" s="482"/>
      <c r="AD33" s="482"/>
      <c r="AE33" s="482"/>
      <c r="AF33" s="482"/>
      <c r="AG33" s="482"/>
      <c r="AH33" s="482"/>
      <c r="AI33" s="482"/>
      <c r="AJ33" s="482"/>
      <c r="AK33" s="482"/>
      <c r="AL33" s="482"/>
      <c r="AM33" s="482"/>
      <c r="AN33" s="482"/>
      <c r="AO33" s="482"/>
      <c r="AP33" s="482"/>
      <c r="AQ33" s="482"/>
      <c r="AR33" s="482"/>
      <c r="AS33" s="482"/>
      <c r="AT33" s="482"/>
      <c r="AU33" s="482"/>
      <c r="AV33" s="482"/>
      <c r="AW33" s="482"/>
      <c r="AX33" s="482"/>
      <c r="AY33" s="482"/>
      <c r="AZ33" s="482"/>
      <c r="BA33" s="482"/>
      <c r="BB33" s="482"/>
      <c r="BC33" s="482"/>
      <c r="BD33" s="482"/>
      <c r="BE33" s="482"/>
      <c r="BF33" s="482"/>
      <c r="BG33" s="482"/>
      <c r="BH33" s="482"/>
      <c r="BI33" s="482"/>
      <c r="BJ33" s="482"/>
      <c r="BK33" s="482"/>
      <c r="BL33" s="482"/>
      <c r="BM33" s="482"/>
      <c r="BN33" s="482"/>
      <c r="BO33" s="482"/>
      <c r="BP33" s="482"/>
      <c r="BQ33" s="482"/>
      <c r="BR33" s="482"/>
      <c r="BS33" s="482"/>
      <c r="BT33" s="482"/>
      <c r="BU33" s="482"/>
      <c r="BV33" s="482"/>
      <c r="BW33" s="482"/>
      <c r="BX33" s="482"/>
      <c r="BY33" s="482"/>
      <c r="BZ33" s="482"/>
    </row>
    <row r="34" spans="1:78" ht="12.6" x14ac:dyDescent="0.25">
      <c r="A34" s="479"/>
      <c r="B34" s="543" t="s">
        <v>754</v>
      </c>
      <c r="C34" s="544"/>
      <c r="D34" s="545"/>
      <c r="E34" s="546"/>
      <c r="F34" s="552">
        <f>Output!H36</f>
        <v>24.864285714285714</v>
      </c>
      <c r="G34" s="555">
        <f>+$F34*0.95</f>
        <v>23.621071428571426</v>
      </c>
      <c r="H34" s="556">
        <f>+$F34*1.05</f>
        <v>26.107500000000002</v>
      </c>
      <c r="I34" s="558"/>
      <c r="J34" s="558">
        <f t="shared" si="6"/>
        <v>2244.7708391861884</v>
      </c>
      <c r="K34" s="560">
        <f>(((($C$10*F34)-$C$13)-$C$12+C11)*(1-$C$15))</f>
        <v>2175.3858391861882</v>
      </c>
      <c r="L34" s="558">
        <f>(((($C$10*G34)-$C$13)-$C$12+C11)*(1-$C$15))</f>
        <v>2069.5999472268782</v>
      </c>
      <c r="M34" s="558">
        <f>(((($C$10*H34)-$C$13)-$C$12+C11)*(1-$C$15))</f>
        <v>2281.1717311454972</v>
      </c>
      <c r="N34" s="497"/>
      <c r="O34" s="616">
        <f t="shared" si="7"/>
        <v>20.81864909980235</v>
      </c>
      <c r="P34" s="616">
        <f t="shared" si="8"/>
        <v>19.837560373075615</v>
      </c>
      <c r="Q34" s="616">
        <f t="shared" si="9"/>
        <v>21.799737826529075</v>
      </c>
      <c r="R34" s="497"/>
      <c r="S34" s="588">
        <f t="shared" si="10"/>
        <v>26.380939119032728</v>
      </c>
      <c r="T34" s="588">
        <f t="shared" si="11"/>
        <v>25.137724833318437</v>
      </c>
      <c r="U34" s="588">
        <f t="shared" si="12"/>
        <v>27.624153404747009</v>
      </c>
      <c r="V34" s="498" t="s">
        <v>732</v>
      </c>
      <c r="W34" s="499"/>
      <c r="X34" s="499"/>
      <c r="Y34" s="499"/>
      <c r="Z34" s="482"/>
      <c r="AA34" s="482"/>
      <c r="AB34" s="482"/>
      <c r="AC34" s="482"/>
      <c r="AD34" s="482"/>
      <c r="AE34" s="482"/>
      <c r="AF34" s="482"/>
      <c r="AG34" s="482"/>
      <c r="AH34" s="482"/>
      <c r="AI34" s="482"/>
      <c r="AJ34" s="482"/>
      <c r="AK34" s="482"/>
      <c r="AL34" s="482"/>
      <c r="AM34" s="482"/>
      <c r="AN34" s="482"/>
      <c r="AO34" s="482"/>
      <c r="AP34" s="482"/>
      <c r="AQ34" s="482"/>
      <c r="AR34" s="482"/>
      <c r="AS34" s="482"/>
      <c r="AT34" s="482"/>
      <c r="AU34" s="482"/>
      <c r="AV34" s="482"/>
      <c r="AW34" s="482"/>
      <c r="AX34" s="482"/>
      <c r="AY34" s="482"/>
      <c r="AZ34" s="482"/>
      <c r="BA34" s="482"/>
      <c r="BB34" s="482"/>
      <c r="BC34" s="482"/>
      <c r="BD34" s="482"/>
      <c r="BE34" s="482"/>
      <c r="BF34" s="482"/>
      <c r="BG34" s="482"/>
      <c r="BH34" s="482"/>
      <c r="BI34" s="482"/>
      <c r="BJ34" s="482"/>
      <c r="BK34" s="482"/>
      <c r="BL34" s="482"/>
      <c r="BM34" s="482"/>
      <c r="BN34" s="482"/>
      <c r="BO34" s="482"/>
      <c r="BP34" s="482"/>
      <c r="BQ34" s="482"/>
      <c r="BR34" s="482"/>
      <c r="BS34" s="482"/>
      <c r="BT34" s="482"/>
      <c r="BU34" s="482"/>
      <c r="BV34" s="482"/>
      <c r="BW34" s="482"/>
      <c r="BX34" s="482"/>
      <c r="BY34" s="482"/>
      <c r="BZ34" s="482"/>
    </row>
    <row r="35" spans="1:78" ht="12.6" x14ac:dyDescent="0.25">
      <c r="A35" s="479"/>
      <c r="B35" s="513"/>
      <c r="C35" s="505"/>
      <c r="D35" s="482"/>
      <c r="E35" s="482"/>
      <c r="F35" s="482"/>
      <c r="G35" s="482"/>
      <c r="H35" s="482"/>
      <c r="I35" s="482"/>
      <c r="J35" s="482"/>
      <c r="K35" s="25"/>
      <c r="L35" s="482"/>
      <c r="M35" s="482"/>
      <c r="U35" s="494"/>
      <c r="V35" s="482"/>
      <c r="W35" s="502" t="s">
        <v>694</v>
      </c>
      <c r="X35" s="502" t="s">
        <v>729</v>
      </c>
      <c r="Y35" s="502" t="s">
        <v>695</v>
      </c>
      <c r="Z35" s="508"/>
      <c r="AA35" s="508"/>
      <c r="AB35" s="508"/>
      <c r="AC35" s="508"/>
      <c r="AD35" s="508"/>
      <c r="AE35" s="508"/>
      <c r="AF35" s="482"/>
      <c r="AG35" s="482"/>
      <c r="AH35" s="482"/>
      <c r="AI35" s="512"/>
      <c r="AJ35" s="512"/>
      <c r="AK35" s="512"/>
      <c r="AL35" s="512"/>
      <c r="AM35" s="482"/>
      <c r="AN35" s="482"/>
      <c r="AO35" s="482"/>
      <c r="AP35" s="482"/>
      <c r="AQ35" s="482"/>
      <c r="AR35" s="482"/>
      <c r="AS35" s="482"/>
      <c r="AT35" s="482"/>
      <c r="AU35" s="482"/>
      <c r="AV35" s="482"/>
      <c r="AW35" s="482"/>
      <c r="AX35" s="482"/>
      <c r="AY35" s="482"/>
      <c r="AZ35" s="482"/>
      <c r="BA35" s="482"/>
      <c r="BB35" s="482"/>
      <c r="BC35" s="482"/>
      <c r="BD35" s="482"/>
      <c r="BE35" s="482"/>
      <c r="BF35" s="482"/>
      <c r="BG35" s="482"/>
      <c r="BH35" s="482"/>
      <c r="BI35" s="482"/>
      <c r="BJ35" s="482"/>
      <c r="BK35" s="482"/>
      <c r="BL35" s="482"/>
      <c r="BM35" s="482"/>
      <c r="BN35" s="482"/>
      <c r="BO35" s="482"/>
      <c r="BP35" s="482"/>
      <c r="BQ35" s="482"/>
      <c r="BR35" s="482"/>
      <c r="BS35" s="482"/>
      <c r="BT35" s="482"/>
      <c r="BU35" s="482"/>
      <c r="BV35" s="482"/>
      <c r="BW35" s="482"/>
      <c r="BX35" s="482"/>
      <c r="BY35" s="482"/>
      <c r="BZ35" s="482"/>
    </row>
    <row r="36" spans="1:78" x14ac:dyDescent="0.2">
      <c r="A36" s="479"/>
      <c r="B36" s="504"/>
      <c r="C36" s="505"/>
      <c r="D36" s="482"/>
      <c r="E36" s="482"/>
      <c r="F36" s="482"/>
      <c r="G36" s="482"/>
      <c r="H36" s="482"/>
      <c r="I36" s="482"/>
      <c r="J36" s="482"/>
      <c r="K36" s="25"/>
      <c r="L36" s="482"/>
      <c r="M36" s="482"/>
      <c r="U36" s="482"/>
      <c r="V36" s="482"/>
      <c r="W36" s="571"/>
      <c r="X36" s="572"/>
      <c r="Y36" s="572"/>
      <c r="Z36" s="508"/>
      <c r="AA36" s="508"/>
      <c r="AB36" s="508"/>
      <c r="AC36" s="508"/>
      <c r="AD36" s="508"/>
      <c r="AE36" s="508"/>
      <c r="AF36" s="482"/>
      <c r="AG36" s="482"/>
      <c r="AH36" s="482"/>
      <c r="AI36" s="512"/>
      <c r="AJ36" s="512"/>
      <c r="AK36" s="512"/>
      <c r="AL36" s="512"/>
      <c r="AM36" s="482"/>
      <c r="AN36" s="482"/>
      <c r="AO36" s="482"/>
      <c r="AP36" s="482"/>
      <c r="AQ36" s="482"/>
      <c r="AR36" s="482"/>
      <c r="AS36" s="482"/>
      <c r="AT36" s="482"/>
      <c r="AU36" s="482"/>
      <c r="AV36" s="482"/>
      <c r="AW36" s="482"/>
      <c r="AX36" s="482"/>
      <c r="AY36" s="482"/>
      <c r="AZ36" s="482"/>
      <c r="BA36" s="482"/>
      <c r="BB36" s="482"/>
      <c r="BC36" s="482"/>
      <c r="BD36" s="482"/>
      <c r="BE36" s="482"/>
      <c r="BF36" s="482"/>
      <c r="BG36" s="482"/>
      <c r="BH36" s="482"/>
      <c r="BI36" s="482"/>
      <c r="BJ36" s="482"/>
      <c r="BK36" s="482"/>
      <c r="BL36" s="482"/>
      <c r="BM36" s="482"/>
      <c r="BN36" s="482"/>
      <c r="BO36" s="482"/>
      <c r="BP36" s="482"/>
      <c r="BQ36" s="482"/>
      <c r="BR36" s="482"/>
      <c r="BS36" s="482"/>
      <c r="BT36" s="482"/>
      <c r="BU36" s="482"/>
      <c r="BV36" s="482"/>
      <c r="BW36" s="482"/>
      <c r="BX36" s="482"/>
      <c r="BY36" s="482"/>
      <c r="BZ36" s="482"/>
    </row>
    <row r="37" spans="1:78" ht="15.6" x14ac:dyDescent="0.25">
      <c r="A37" s="479"/>
      <c r="B37" s="511"/>
      <c r="C37" s="505"/>
      <c r="D37" s="482"/>
      <c r="E37" s="482"/>
      <c r="F37" s="482"/>
      <c r="G37" s="489" t="s">
        <v>738</v>
      </c>
      <c r="H37" s="482"/>
      <c r="I37" s="482"/>
      <c r="J37" s="482"/>
      <c r="K37" s="25"/>
      <c r="L37" s="482"/>
      <c r="M37" s="482"/>
      <c r="U37" s="482"/>
      <c r="V37" s="482" t="s">
        <v>760</v>
      </c>
      <c r="W37" s="573">
        <f>G33</f>
        <v>35.955238095238094</v>
      </c>
      <c r="X37" s="574">
        <f>F33</f>
        <v>37.847619047619048</v>
      </c>
      <c r="Y37" s="574">
        <f>H33</f>
        <v>39.74</v>
      </c>
      <c r="Z37" s="508"/>
      <c r="AA37" s="508"/>
      <c r="AB37" s="508"/>
      <c r="AC37" s="508"/>
      <c r="AD37" s="508"/>
      <c r="AE37" s="508"/>
      <c r="AF37" s="482"/>
      <c r="AG37" s="482"/>
      <c r="AH37" s="482"/>
      <c r="AI37" s="512"/>
      <c r="AJ37" s="512"/>
      <c r="AK37" s="512"/>
      <c r="AL37" s="512"/>
      <c r="AM37" s="482"/>
      <c r="AN37" s="482"/>
      <c r="AO37" s="482"/>
      <c r="AP37" s="482"/>
      <c r="AQ37" s="482"/>
      <c r="AR37" s="482"/>
      <c r="AS37" s="482"/>
      <c r="AT37" s="482"/>
      <c r="AU37" s="482"/>
      <c r="AV37" s="482"/>
      <c r="AW37" s="482"/>
      <c r="AX37" s="482"/>
      <c r="AY37" s="482"/>
      <c r="AZ37" s="482"/>
      <c r="BA37" s="482"/>
      <c r="BB37" s="482"/>
      <c r="BC37" s="482"/>
      <c r="BD37" s="482"/>
      <c r="BE37" s="482"/>
      <c r="BF37" s="482"/>
      <c r="BG37" s="482"/>
      <c r="BH37" s="482"/>
      <c r="BI37" s="482"/>
      <c r="BJ37" s="482"/>
      <c r="BK37" s="482"/>
      <c r="BL37" s="482"/>
      <c r="BM37" s="482"/>
      <c r="BN37" s="482"/>
      <c r="BO37" s="482"/>
      <c r="BP37" s="482"/>
      <c r="BQ37" s="482"/>
      <c r="BR37" s="482"/>
      <c r="BS37" s="482"/>
      <c r="BT37" s="482"/>
      <c r="BU37" s="482"/>
      <c r="BV37" s="482"/>
      <c r="BW37" s="482"/>
      <c r="BX37" s="482"/>
      <c r="BY37" s="482"/>
      <c r="BZ37" s="482"/>
    </row>
    <row r="38" spans="1:78" ht="12.6" x14ac:dyDescent="0.25">
      <c r="A38" s="479"/>
      <c r="B38" s="511"/>
      <c r="C38" s="505"/>
      <c r="D38" s="482"/>
      <c r="E38" s="482"/>
      <c r="F38" s="482"/>
      <c r="G38" s="482"/>
      <c r="H38" s="482"/>
      <c r="I38" s="482"/>
      <c r="J38" s="482"/>
      <c r="K38" s="482"/>
      <c r="L38" s="482"/>
      <c r="M38" s="482"/>
      <c r="U38" s="482"/>
      <c r="V38" s="482" t="s">
        <v>761</v>
      </c>
      <c r="W38" s="573">
        <f>G34</f>
        <v>23.621071428571426</v>
      </c>
      <c r="X38" s="574">
        <f>F34</f>
        <v>24.864285714285714</v>
      </c>
      <c r="Y38" s="574">
        <f>H34</f>
        <v>26.107500000000002</v>
      </c>
      <c r="Z38" s="508"/>
      <c r="AA38" s="508"/>
      <c r="AB38" s="508"/>
      <c r="AC38" s="508"/>
      <c r="AD38" s="508"/>
      <c r="AE38" s="508"/>
      <c r="AF38" s="482"/>
      <c r="AG38" s="482"/>
      <c r="AH38" s="482"/>
      <c r="AI38" s="512"/>
      <c r="AJ38" s="512"/>
      <c r="AK38" s="512"/>
      <c r="AL38" s="512"/>
      <c r="AM38" s="482"/>
      <c r="AN38" s="482"/>
      <c r="AO38" s="482"/>
      <c r="AP38" s="482"/>
      <c r="AQ38" s="482"/>
      <c r="AR38" s="482"/>
      <c r="AS38" s="482"/>
      <c r="AT38" s="482"/>
      <c r="AU38" s="482"/>
      <c r="AV38" s="482"/>
      <c r="AW38" s="482"/>
      <c r="AX38" s="482"/>
      <c r="AY38" s="482"/>
      <c r="AZ38" s="482"/>
      <c r="BA38" s="482"/>
      <c r="BB38" s="482"/>
      <c r="BC38" s="482"/>
      <c r="BD38" s="482"/>
      <c r="BE38" s="482"/>
      <c r="BF38" s="482"/>
      <c r="BG38" s="482"/>
      <c r="BH38" s="482"/>
      <c r="BI38" s="482"/>
      <c r="BJ38" s="482"/>
      <c r="BK38" s="482"/>
      <c r="BL38" s="482"/>
      <c r="BM38" s="482"/>
      <c r="BN38" s="482"/>
      <c r="BO38" s="482"/>
      <c r="BP38" s="482"/>
      <c r="BQ38" s="482"/>
      <c r="BR38" s="482"/>
      <c r="BS38" s="482"/>
      <c r="BT38" s="482"/>
      <c r="BU38" s="482"/>
      <c r="BV38" s="482"/>
      <c r="BW38" s="482"/>
      <c r="BX38" s="482"/>
      <c r="BY38" s="482"/>
      <c r="BZ38" s="482"/>
    </row>
    <row r="39" spans="1:78" ht="12.6" x14ac:dyDescent="0.2">
      <c r="A39" s="479"/>
      <c r="B39" s="513"/>
      <c r="C39" s="505"/>
      <c r="D39" s="482"/>
      <c r="E39" s="482"/>
      <c r="F39" s="482"/>
      <c r="G39" s="482"/>
      <c r="H39" s="482"/>
      <c r="I39" s="482"/>
      <c r="J39" s="482"/>
      <c r="K39" s="482"/>
      <c r="L39" s="482"/>
      <c r="M39" s="482"/>
      <c r="U39" s="482"/>
      <c r="V39" s="482" t="s">
        <v>744</v>
      </c>
      <c r="W39" s="573">
        <f>G25</f>
        <v>0</v>
      </c>
      <c r="X39" s="574">
        <f>F25</f>
        <v>0</v>
      </c>
      <c r="Y39" s="574">
        <f>H25</f>
        <v>0</v>
      </c>
      <c r="Z39" s="508"/>
      <c r="AA39" s="508"/>
      <c r="AB39" s="508"/>
      <c r="AC39" s="508"/>
      <c r="AD39" s="508"/>
      <c r="AE39" s="508"/>
      <c r="AF39" s="482"/>
      <c r="AG39" s="482"/>
      <c r="AH39" s="482"/>
      <c r="AI39" s="512"/>
      <c r="AJ39" s="512"/>
      <c r="AK39" s="512"/>
      <c r="AL39" s="512"/>
      <c r="AM39" s="482"/>
      <c r="AN39" s="482"/>
      <c r="AO39" s="482"/>
      <c r="AP39" s="482"/>
      <c r="AQ39" s="482"/>
      <c r="AR39" s="482"/>
      <c r="AS39" s="482"/>
      <c r="AT39" s="482"/>
      <c r="AU39" s="482"/>
      <c r="AV39" s="482"/>
      <c r="AW39" s="482"/>
      <c r="AX39" s="482"/>
      <c r="AY39" s="482"/>
      <c r="AZ39" s="482"/>
      <c r="BA39" s="482"/>
      <c r="BB39" s="482"/>
      <c r="BC39" s="482"/>
      <c r="BD39" s="482"/>
      <c r="BE39" s="482"/>
      <c r="BF39" s="482"/>
      <c r="BG39" s="482"/>
      <c r="BH39" s="482"/>
      <c r="BI39" s="482"/>
      <c r="BJ39" s="482"/>
      <c r="BK39" s="482"/>
      <c r="BL39" s="482"/>
      <c r="BM39" s="482"/>
      <c r="BN39" s="482"/>
      <c r="BO39" s="482"/>
      <c r="BP39" s="482"/>
      <c r="BQ39" s="482"/>
      <c r="BR39" s="482"/>
      <c r="BS39" s="482"/>
      <c r="BT39" s="482"/>
      <c r="BU39" s="482"/>
      <c r="BV39" s="482"/>
      <c r="BW39" s="482"/>
      <c r="BX39" s="482"/>
      <c r="BY39" s="482"/>
      <c r="BZ39" s="482"/>
    </row>
    <row r="40" spans="1:78" ht="12.6" x14ac:dyDescent="0.25">
      <c r="A40" s="479"/>
      <c r="B40" s="511"/>
      <c r="C40" s="505"/>
      <c r="D40" s="482"/>
      <c r="E40" s="482"/>
      <c r="F40" s="482"/>
      <c r="G40" s="482"/>
      <c r="H40" s="482"/>
      <c r="I40" s="482"/>
      <c r="J40" s="482"/>
      <c r="K40" s="482"/>
      <c r="L40" s="482"/>
      <c r="M40" s="482"/>
      <c r="U40" s="482"/>
      <c r="V40" s="482" t="s">
        <v>745</v>
      </c>
      <c r="W40" s="573">
        <f>G26</f>
        <v>26.148523809523812</v>
      </c>
      <c r="X40" s="574">
        <f>F26</f>
        <v>27.52476190476191</v>
      </c>
      <c r="Y40" s="574">
        <f>H26</f>
        <v>28.901000000000007</v>
      </c>
      <c r="Z40" s="508"/>
      <c r="AA40" s="508"/>
      <c r="AB40" s="508"/>
      <c r="AC40" s="508"/>
      <c r="AD40" s="508"/>
      <c r="AE40" s="508"/>
      <c r="AF40" s="482"/>
      <c r="AG40" s="482"/>
      <c r="AH40" s="482"/>
      <c r="AI40" s="512"/>
      <c r="AJ40" s="512"/>
      <c r="AK40" s="512"/>
      <c r="AL40" s="512"/>
      <c r="AM40" s="482"/>
      <c r="AN40" s="482"/>
      <c r="AO40" s="482"/>
      <c r="AP40" s="482"/>
      <c r="AQ40" s="482"/>
      <c r="AR40" s="482"/>
      <c r="AS40" s="482"/>
      <c r="AT40" s="482"/>
      <c r="AU40" s="482"/>
      <c r="AV40" s="482"/>
      <c r="AW40" s="482"/>
      <c r="AX40" s="482"/>
      <c r="AY40" s="482"/>
      <c r="AZ40" s="482"/>
      <c r="BA40" s="482"/>
      <c r="BB40" s="482"/>
      <c r="BC40" s="482"/>
      <c r="BD40" s="482"/>
      <c r="BE40" s="482"/>
      <c r="BF40" s="482"/>
      <c r="BG40" s="482"/>
      <c r="BH40" s="482"/>
      <c r="BI40" s="482"/>
      <c r="BJ40" s="482"/>
      <c r="BK40" s="482"/>
      <c r="BL40" s="482"/>
      <c r="BM40" s="482"/>
      <c r="BN40" s="482"/>
      <c r="BO40" s="482"/>
      <c r="BP40" s="482"/>
      <c r="BQ40" s="482"/>
      <c r="BR40" s="482"/>
      <c r="BS40" s="482"/>
      <c r="BT40" s="482"/>
      <c r="BU40" s="482"/>
      <c r="BV40" s="482"/>
      <c r="BW40" s="482"/>
      <c r="BX40" s="482"/>
      <c r="BY40" s="482"/>
      <c r="BZ40" s="482"/>
    </row>
    <row r="41" spans="1:78" ht="12.6" x14ac:dyDescent="0.2">
      <c r="A41" s="479"/>
      <c r="B41" s="513"/>
      <c r="C41" s="505"/>
      <c r="D41" s="482"/>
      <c r="E41" s="482"/>
      <c r="F41" s="482"/>
      <c r="G41" s="482"/>
      <c r="H41" s="482"/>
      <c r="I41" s="482"/>
      <c r="J41" s="482"/>
      <c r="K41" s="482"/>
      <c r="L41" s="482"/>
      <c r="M41" s="482"/>
      <c r="U41" s="482"/>
      <c r="V41" s="482" t="s">
        <v>742</v>
      </c>
      <c r="W41" s="573">
        <f>G20</f>
        <v>0</v>
      </c>
      <c r="X41" s="574">
        <f>F20</f>
        <v>0</v>
      </c>
      <c r="Y41" s="574">
        <f>H20</f>
        <v>0</v>
      </c>
      <c r="Z41" s="508"/>
      <c r="AA41" s="508"/>
      <c r="AB41" s="508"/>
      <c r="AC41" s="508"/>
      <c r="AD41" s="508"/>
      <c r="AE41" s="508"/>
      <c r="AF41" s="482"/>
      <c r="AG41" s="482"/>
      <c r="AH41" s="482"/>
      <c r="AI41" s="512"/>
      <c r="AJ41" s="512"/>
      <c r="AK41" s="512"/>
      <c r="AL41" s="512"/>
      <c r="AM41" s="482"/>
      <c r="AN41" s="482"/>
      <c r="AO41" s="482"/>
      <c r="AP41" s="482"/>
      <c r="AQ41" s="482"/>
      <c r="AR41" s="482"/>
      <c r="AS41" s="482"/>
      <c r="AT41" s="482"/>
      <c r="AU41" s="482"/>
      <c r="AV41" s="482"/>
      <c r="AW41" s="482"/>
      <c r="AX41" s="482"/>
      <c r="AY41" s="482"/>
      <c r="AZ41" s="482"/>
      <c r="BA41" s="482"/>
      <c r="BB41" s="482"/>
      <c r="BC41" s="482"/>
      <c r="BD41" s="482"/>
      <c r="BE41" s="482"/>
      <c r="BF41" s="482"/>
      <c r="BG41" s="482"/>
      <c r="BH41" s="482"/>
      <c r="BI41" s="482"/>
      <c r="BJ41" s="482"/>
      <c r="BK41" s="482"/>
      <c r="BL41" s="482"/>
      <c r="BM41" s="482"/>
      <c r="BN41" s="482"/>
      <c r="BO41" s="482"/>
      <c r="BP41" s="482"/>
      <c r="BQ41" s="482"/>
      <c r="BR41" s="482"/>
      <c r="BS41" s="482"/>
      <c r="BT41" s="482"/>
      <c r="BU41" s="482"/>
      <c r="BV41" s="482"/>
      <c r="BW41" s="482"/>
      <c r="BX41" s="482"/>
      <c r="BY41" s="482"/>
      <c r="BZ41" s="482"/>
    </row>
    <row r="42" spans="1:78" ht="12.6" x14ac:dyDescent="0.2">
      <c r="A42" s="482"/>
      <c r="B42" s="513"/>
      <c r="C42" s="505"/>
      <c r="D42" s="482"/>
      <c r="E42" s="482"/>
      <c r="F42" s="482"/>
      <c r="G42" s="482"/>
      <c r="H42" s="482"/>
      <c r="I42" s="482"/>
      <c r="J42" s="482"/>
      <c r="K42" s="482"/>
      <c r="L42" s="482"/>
      <c r="M42" s="482"/>
      <c r="U42" s="482"/>
      <c r="V42" s="482" t="s">
        <v>743</v>
      </c>
      <c r="W42" s="573">
        <f>G21</f>
        <v>43.43486363636363</v>
      </c>
      <c r="X42" s="574">
        <f>F21</f>
        <v>45.720909090909089</v>
      </c>
      <c r="Y42" s="574">
        <f>H21</f>
        <v>48.006954545454548</v>
      </c>
      <c r="Z42" s="508"/>
      <c r="AA42" s="508"/>
      <c r="AB42" s="508"/>
      <c r="AC42" s="508"/>
      <c r="AD42" s="508"/>
      <c r="AE42" s="508"/>
      <c r="AF42" s="482"/>
      <c r="AG42" s="482"/>
      <c r="AH42" s="482"/>
      <c r="AI42" s="512"/>
      <c r="AJ42" s="512"/>
      <c r="AK42" s="512"/>
      <c r="AL42" s="512"/>
      <c r="AM42" s="482"/>
      <c r="AN42" s="482"/>
      <c r="AO42" s="482"/>
      <c r="AP42" s="482"/>
      <c r="AQ42" s="482"/>
      <c r="AR42" s="482"/>
      <c r="AS42" s="482"/>
      <c r="AT42" s="482"/>
      <c r="AU42" s="482"/>
      <c r="AV42" s="482"/>
      <c r="AW42" s="482"/>
      <c r="AX42" s="482"/>
      <c r="AY42" s="482"/>
      <c r="AZ42" s="482"/>
      <c r="BA42" s="482"/>
      <c r="BB42" s="482"/>
      <c r="BC42" s="482"/>
      <c r="BD42" s="482"/>
      <c r="BE42" s="482"/>
      <c r="BF42" s="482"/>
      <c r="BG42" s="482"/>
      <c r="BH42" s="482"/>
      <c r="BI42" s="482"/>
      <c r="BJ42" s="482"/>
      <c r="BK42" s="482"/>
      <c r="BL42" s="482"/>
      <c r="BM42" s="482"/>
      <c r="BN42" s="482"/>
      <c r="BO42" s="482"/>
      <c r="BP42" s="482"/>
      <c r="BQ42" s="482"/>
      <c r="BR42" s="482"/>
      <c r="BS42" s="482"/>
      <c r="BT42" s="482"/>
      <c r="BU42" s="482"/>
      <c r="BV42" s="482"/>
      <c r="BW42" s="482"/>
      <c r="BX42" s="482"/>
      <c r="BY42" s="482"/>
      <c r="BZ42" s="482"/>
    </row>
    <row r="43" spans="1:78" x14ac:dyDescent="0.2">
      <c r="A43" s="482"/>
      <c r="B43" s="21"/>
      <c r="C43" s="21"/>
      <c r="D43" s="21"/>
      <c r="E43" s="101"/>
      <c r="F43" s="493"/>
      <c r="G43" s="514"/>
      <c r="H43" s="482"/>
      <c r="I43" s="482"/>
      <c r="J43" s="482"/>
      <c r="K43" s="101"/>
      <c r="L43" s="101"/>
      <c r="M43" s="101"/>
      <c r="N43" s="101"/>
      <c r="O43" s="101"/>
      <c r="P43" s="101"/>
      <c r="Q43" s="101"/>
      <c r="R43" s="101"/>
      <c r="S43" s="101"/>
      <c r="T43" s="101"/>
      <c r="U43" s="482"/>
      <c r="V43" s="482" t="s">
        <v>741</v>
      </c>
      <c r="W43" s="573">
        <f>G22</f>
        <v>0</v>
      </c>
      <c r="X43" s="574">
        <f>F22</f>
        <v>0</v>
      </c>
      <c r="Y43" s="574">
        <f>H22</f>
        <v>0</v>
      </c>
      <c r="Z43" s="508"/>
      <c r="AA43" s="508"/>
      <c r="AB43" s="508"/>
      <c r="AC43" s="508"/>
      <c r="AD43" s="508"/>
      <c r="AE43" s="508"/>
      <c r="AF43" s="482"/>
      <c r="AG43" s="482"/>
      <c r="AH43" s="482"/>
      <c r="AI43" s="512"/>
      <c r="AJ43" s="512"/>
      <c r="AK43" s="512"/>
      <c r="AL43" s="512"/>
      <c r="AM43" s="482"/>
      <c r="AN43" s="482"/>
      <c r="AO43" s="482"/>
      <c r="AP43" s="482"/>
      <c r="AQ43" s="482"/>
      <c r="AR43" s="482"/>
      <c r="AS43" s="482"/>
      <c r="AT43" s="482"/>
      <c r="AU43" s="482"/>
      <c r="AV43" s="482"/>
      <c r="AW43" s="482"/>
      <c r="AX43" s="482"/>
      <c r="AY43" s="482"/>
      <c r="AZ43" s="482"/>
      <c r="BA43" s="482"/>
      <c r="BB43" s="482"/>
      <c r="BC43" s="482"/>
      <c r="BD43" s="482"/>
      <c r="BE43" s="482"/>
      <c r="BF43" s="482"/>
      <c r="BG43" s="482"/>
      <c r="BH43" s="482"/>
      <c r="BI43" s="482"/>
      <c r="BJ43" s="482"/>
      <c r="BK43" s="482"/>
      <c r="BL43" s="482"/>
      <c r="BM43" s="482"/>
      <c r="BN43" s="482"/>
      <c r="BO43" s="482"/>
      <c r="BP43" s="482"/>
      <c r="BQ43" s="482"/>
      <c r="BR43" s="482"/>
      <c r="BS43" s="482"/>
      <c r="BT43" s="482"/>
      <c r="BU43" s="482"/>
      <c r="BV43" s="482"/>
      <c r="BW43" s="482"/>
      <c r="BX43" s="482"/>
      <c r="BY43" s="482"/>
      <c r="BZ43" s="482"/>
    </row>
    <row r="44" spans="1:78" x14ac:dyDescent="0.2">
      <c r="A44" s="482"/>
      <c r="B44" s="21"/>
      <c r="C44" s="21"/>
      <c r="D44" s="21"/>
      <c r="E44" s="101"/>
      <c r="F44" s="493"/>
      <c r="G44" s="514"/>
      <c r="H44" s="482"/>
      <c r="I44" s="482"/>
      <c r="J44" s="482"/>
      <c r="K44" s="101"/>
      <c r="L44" s="101"/>
      <c r="M44" s="101"/>
      <c r="N44" s="101"/>
      <c r="O44" s="101"/>
      <c r="P44" s="101"/>
      <c r="Q44" s="101"/>
      <c r="R44" s="101"/>
      <c r="S44" s="101"/>
      <c r="T44" s="101"/>
      <c r="U44" s="482"/>
      <c r="V44" s="482"/>
      <c r="W44" s="482"/>
      <c r="X44" s="482"/>
      <c r="Y44" s="482"/>
      <c r="Z44" s="508"/>
      <c r="AA44" s="508"/>
      <c r="AB44" s="508"/>
      <c r="AC44" s="508"/>
      <c r="AD44" s="508"/>
      <c r="AE44" s="508"/>
      <c r="AF44" s="482"/>
      <c r="AG44" s="515"/>
      <c r="AH44" s="482"/>
      <c r="AI44" s="512"/>
      <c r="AJ44" s="515"/>
      <c r="AK44" s="515"/>
      <c r="AL44" s="515"/>
      <c r="AM44" s="482"/>
      <c r="AN44" s="482"/>
      <c r="AO44" s="482"/>
      <c r="AP44" s="482"/>
      <c r="AQ44" s="482"/>
      <c r="AR44" s="482"/>
      <c r="AS44" s="482"/>
      <c r="AT44" s="482"/>
      <c r="AU44" s="482"/>
      <c r="AV44" s="482"/>
      <c r="AW44" s="482"/>
      <c r="AX44" s="482"/>
      <c r="AY44" s="482"/>
      <c r="AZ44" s="482"/>
      <c r="BA44" s="482"/>
      <c r="BB44" s="482"/>
      <c r="BC44" s="482"/>
      <c r="BD44" s="482"/>
      <c r="BE44" s="482"/>
      <c r="BF44" s="482"/>
      <c r="BG44" s="482"/>
      <c r="BH44" s="482"/>
      <c r="BI44" s="482"/>
      <c r="BJ44" s="482"/>
      <c r="BK44" s="482"/>
      <c r="BL44" s="482"/>
      <c r="BM44" s="482"/>
      <c r="BN44" s="482"/>
      <c r="BO44" s="482"/>
      <c r="BP44" s="482"/>
      <c r="BQ44" s="482"/>
      <c r="BR44" s="482"/>
      <c r="BS44" s="482"/>
      <c r="BT44" s="482"/>
      <c r="BU44" s="482"/>
      <c r="BV44" s="482"/>
      <c r="BW44" s="482"/>
      <c r="BX44" s="482"/>
      <c r="BY44" s="482"/>
      <c r="BZ44" s="482"/>
    </row>
    <row r="45" spans="1:78" ht="15.6" x14ac:dyDescent="0.2">
      <c r="A45" s="482"/>
      <c r="B45" s="21"/>
      <c r="C45" s="21"/>
      <c r="D45" s="21"/>
      <c r="E45" s="101"/>
      <c r="F45" s="493"/>
      <c r="G45" s="514"/>
      <c r="H45" s="482"/>
      <c r="I45" s="482"/>
      <c r="J45" s="482"/>
      <c r="K45" s="101"/>
      <c r="L45" s="101"/>
      <c r="M45" s="101"/>
      <c r="N45" s="101"/>
      <c r="O45" s="101"/>
      <c r="P45" s="101"/>
      <c r="Q45" s="101"/>
      <c r="R45" s="101"/>
      <c r="S45" s="101"/>
      <c r="T45" s="489" t="s">
        <v>733</v>
      </c>
      <c r="U45" s="482"/>
      <c r="V45" s="482"/>
      <c r="W45" s="482"/>
      <c r="X45" s="482"/>
      <c r="Y45" s="482"/>
      <c r="Z45" s="510"/>
      <c r="AA45" s="508"/>
      <c r="AB45" s="508"/>
      <c r="AC45" s="508"/>
      <c r="AD45" s="508"/>
      <c r="AE45" s="508"/>
      <c r="AF45" s="482"/>
      <c r="AG45" s="515"/>
      <c r="AH45" s="482"/>
      <c r="AI45" s="512"/>
      <c r="AJ45" s="515"/>
      <c r="AK45" s="515"/>
      <c r="AL45" s="515"/>
      <c r="AM45" s="482"/>
      <c r="AN45" s="482"/>
      <c r="AO45" s="482"/>
      <c r="AP45" s="482"/>
      <c r="AQ45" s="482"/>
      <c r="AR45" s="482"/>
      <c r="AS45" s="482"/>
      <c r="AT45" s="482"/>
      <c r="AU45" s="482"/>
      <c r="AV45" s="482"/>
      <c r="AW45" s="482"/>
      <c r="AX45" s="482"/>
      <c r="AY45" s="482"/>
      <c r="AZ45" s="482"/>
      <c r="BA45" s="482"/>
      <c r="BB45" s="482"/>
      <c r="BC45" s="482"/>
      <c r="BD45" s="482"/>
      <c r="BE45" s="482"/>
      <c r="BF45" s="482"/>
      <c r="BG45" s="482"/>
      <c r="BH45" s="482"/>
      <c r="BI45" s="482"/>
      <c r="BJ45" s="482"/>
      <c r="BK45" s="482"/>
      <c r="BL45" s="482"/>
      <c r="BM45" s="482"/>
      <c r="BN45" s="482"/>
      <c r="BO45" s="482"/>
      <c r="BP45" s="482"/>
      <c r="BQ45" s="482"/>
      <c r="BR45" s="482"/>
      <c r="BS45" s="482"/>
      <c r="BT45" s="482"/>
      <c r="BU45" s="482"/>
      <c r="BV45" s="482"/>
      <c r="BW45" s="482"/>
      <c r="BX45" s="482"/>
      <c r="BY45" s="482"/>
      <c r="BZ45" s="482"/>
    </row>
    <row r="46" spans="1:78" ht="12.6" x14ac:dyDescent="0.25">
      <c r="A46" s="482"/>
      <c r="B46" s="16"/>
      <c r="C46" s="21"/>
      <c r="D46" s="21"/>
      <c r="E46" s="101"/>
      <c r="F46" s="493"/>
      <c r="G46" s="514"/>
      <c r="H46" s="482"/>
      <c r="I46" s="482"/>
      <c r="J46" s="482"/>
      <c r="K46" s="101"/>
      <c r="L46" s="101"/>
      <c r="M46" s="101"/>
      <c r="N46" s="101"/>
      <c r="O46" s="101"/>
      <c r="P46" s="101"/>
      <c r="Q46" s="101"/>
      <c r="R46" s="101"/>
      <c r="S46" s="101"/>
      <c r="T46" s="101"/>
      <c r="U46" s="482"/>
      <c r="V46" s="482"/>
      <c r="W46" s="482"/>
      <c r="X46" s="482"/>
      <c r="Y46" s="482"/>
      <c r="Z46" s="508"/>
      <c r="AA46" s="508"/>
      <c r="AB46" s="508"/>
      <c r="AC46" s="508"/>
      <c r="AD46" s="508"/>
      <c r="AE46" s="508"/>
      <c r="AF46" s="482"/>
      <c r="AG46" s="515"/>
      <c r="AH46" s="482"/>
      <c r="AI46" s="512"/>
      <c r="AJ46" s="515"/>
      <c r="AK46" s="515"/>
      <c r="AL46" s="515"/>
      <c r="AM46" s="482"/>
      <c r="AN46" s="482"/>
      <c r="AO46" s="482"/>
      <c r="AP46" s="482"/>
      <c r="AQ46" s="482"/>
      <c r="AR46" s="482"/>
      <c r="AS46" s="482"/>
      <c r="AT46" s="482"/>
      <c r="AU46" s="482"/>
      <c r="AV46" s="482"/>
      <c r="AW46" s="482"/>
      <c r="AX46" s="482"/>
      <c r="AY46" s="482"/>
      <c r="AZ46" s="482"/>
      <c r="BA46" s="482"/>
      <c r="BB46" s="482"/>
      <c r="BC46" s="482"/>
      <c r="BD46" s="482"/>
      <c r="BE46" s="482"/>
      <c r="BF46" s="482"/>
      <c r="BG46" s="482"/>
      <c r="BH46" s="482"/>
      <c r="BI46" s="482"/>
      <c r="BJ46" s="482"/>
      <c r="BK46" s="482"/>
      <c r="BL46" s="482"/>
      <c r="BM46" s="482"/>
      <c r="BN46" s="482"/>
      <c r="BO46" s="482"/>
      <c r="BP46" s="482"/>
      <c r="BQ46" s="482"/>
      <c r="BR46" s="482"/>
      <c r="BS46" s="482"/>
      <c r="BT46" s="482"/>
      <c r="BU46" s="482"/>
      <c r="BV46" s="482"/>
      <c r="BW46" s="482"/>
      <c r="BX46" s="482"/>
      <c r="BY46" s="482"/>
      <c r="BZ46" s="482"/>
    </row>
    <row r="47" spans="1:78" ht="38.25" customHeight="1" x14ac:dyDescent="0.2">
      <c r="A47" s="482"/>
      <c r="B47" s="513"/>
      <c r="C47" s="21"/>
      <c r="D47" s="21"/>
      <c r="E47" s="101"/>
      <c r="F47" s="493"/>
      <c r="G47" s="514"/>
      <c r="H47" s="482"/>
      <c r="I47" s="482"/>
      <c r="J47" s="482"/>
      <c r="K47" s="101"/>
      <c r="L47" s="101"/>
      <c r="M47" s="101"/>
      <c r="N47" s="101"/>
      <c r="O47" s="101"/>
      <c r="P47" s="101"/>
      <c r="Q47" s="101"/>
      <c r="R47" s="101"/>
      <c r="S47" s="101"/>
      <c r="T47" s="101"/>
      <c r="U47" s="482"/>
      <c r="V47" s="482"/>
      <c r="W47" s="482"/>
      <c r="X47" s="482"/>
      <c r="Y47" s="482"/>
      <c r="Z47" s="508"/>
      <c r="AA47" s="508"/>
      <c r="AB47" s="508"/>
      <c r="AC47" s="508"/>
      <c r="AD47" s="508"/>
      <c r="AE47" s="508"/>
      <c r="AF47" s="482"/>
      <c r="AG47" s="515"/>
      <c r="AH47" s="482"/>
      <c r="AI47" s="512"/>
      <c r="AJ47" s="515"/>
      <c r="AK47" s="515"/>
      <c r="AL47" s="515"/>
      <c r="AM47" s="482"/>
      <c r="AN47" s="482"/>
      <c r="AO47" s="482"/>
      <c r="AP47" s="482"/>
      <c r="AQ47" s="482" t="s">
        <v>734</v>
      </c>
      <c r="AR47" s="482"/>
      <c r="AS47" s="482"/>
      <c r="AT47" s="482"/>
      <c r="AU47" s="482"/>
      <c r="AV47" s="482"/>
      <c r="AW47" s="482"/>
      <c r="AX47" s="482"/>
      <c r="AY47" s="482"/>
      <c r="AZ47" s="482"/>
      <c r="BA47" s="482"/>
      <c r="BB47" s="482"/>
      <c r="BC47" s="482"/>
      <c r="BD47" s="482"/>
      <c r="BE47" s="482"/>
      <c r="BF47" s="482"/>
      <c r="BG47" s="482"/>
      <c r="BH47" s="482"/>
      <c r="BI47" s="482"/>
      <c r="BJ47" s="482"/>
      <c r="BK47" s="482"/>
      <c r="BL47" s="482"/>
      <c r="BM47" s="482"/>
      <c r="BN47" s="482"/>
      <c r="BO47" s="482"/>
      <c r="BP47" s="482"/>
      <c r="BQ47" s="482"/>
      <c r="BR47" s="482"/>
      <c r="BS47" s="482"/>
      <c r="BT47" s="482"/>
      <c r="BU47" s="482"/>
      <c r="BV47" s="482"/>
      <c r="BW47" s="482"/>
      <c r="BX47" s="482"/>
      <c r="BY47" s="482"/>
      <c r="BZ47" s="482"/>
    </row>
    <row r="48" spans="1:78" x14ac:dyDescent="0.2">
      <c r="A48" s="482"/>
      <c r="B48" s="516"/>
      <c r="C48" s="21"/>
      <c r="D48" s="21"/>
      <c r="E48" s="101"/>
      <c r="F48" s="493"/>
      <c r="G48" s="514"/>
      <c r="H48" s="482"/>
      <c r="I48" s="482"/>
      <c r="J48" s="482"/>
      <c r="K48" s="101"/>
      <c r="L48" s="101"/>
      <c r="M48" s="101"/>
      <c r="N48" s="101"/>
      <c r="O48" s="101"/>
      <c r="P48" s="101"/>
      <c r="Q48" s="101"/>
      <c r="R48" s="101"/>
      <c r="S48" s="101"/>
      <c r="T48" s="101"/>
      <c r="U48" s="482"/>
      <c r="V48" s="482"/>
      <c r="W48" s="482"/>
      <c r="X48" s="482"/>
      <c r="Y48" s="482"/>
      <c r="Z48" s="508"/>
      <c r="AA48" s="508"/>
      <c r="AB48" s="508"/>
      <c r="AC48" s="508"/>
      <c r="AD48" s="508"/>
      <c r="AE48" s="508"/>
      <c r="AF48" s="482"/>
      <c r="AG48" s="515"/>
      <c r="AH48" s="482"/>
      <c r="AI48" s="512"/>
      <c r="AJ48" s="515"/>
      <c r="AK48" s="515"/>
      <c r="AL48" s="515"/>
      <c r="AM48" s="482"/>
      <c r="AN48" s="482"/>
      <c r="AO48" s="482"/>
      <c r="AP48" s="482"/>
      <c r="AQ48" s="482"/>
      <c r="AR48" s="482"/>
      <c r="AS48" s="482"/>
      <c r="AT48" s="482"/>
      <c r="AU48" s="482"/>
      <c r="AV48" s="482"/>
      <c r="AW48" s="482"/>
      <c r="AX48" s="482"/>
      <c r="AY48" s="482"/>
      <c r="AZ48" s="482"/>
      <c r="BA48" s="482"/>
      <c r="BB48" s="482"/>
      <c r="BC48" s="482"/>
      <c r="BD48" s="482"/>
      <c r="BE48" s="482"/>
      <c r="BF48" s="482"/>
      <c r="BG48" s="482"/>
      <c r="BH48" s="482"/>
      <c r="BI48" s="482"/>
      <c r="BJ48" s="482"/>
      <c r="BK48" s="482"/>
      <c r="BL48" s="482"/>
      <c r="BM48" s="482"/>
      <c r="BN48" s="482"/>
      <c r="BO48" s="482"/>
      <c r="BP48" s="482"/>
      <c r="BQ48" s="482"/>
      <c r="BR48" s="482"/>
      <c r="BS48" s="482"/>
      <c r="BT48" s="482"/>
      <c r="BU48" s="482"/>
      <c r="BV48" s="482"/>
      <c r="BW48" s="482"/>
      <c r="BX48" s="482"/>
      <c r="BY48" s="482"/>
      <c r="BZ48" s="482"/>
    </row>
    <row r="49" spans="1:78" x14ac:dyDescent="0.2">
      <c r="A49" s="482"/>
      <c r="B49" s="516"/>
      <c r="C49" s="505"/>
      <c r="D49" s="482"/>
      <c r="E49" s="482"/>
      <c r="F49" s="482"/>
      <c r="G49" s="482"/>
      <c r="H49" s="482"/>
      <c r="I49" s="482"/>
      <c r="J49" s="482"/>
      <c r="K49" s="482"/>
      <c r="L49" s="482"/>
      <c r="M49" s="482"/>
      <c r="U49" s="482"/>
      <c r="V49" s="482"/>
      <c r="W49" s="482"/>
      <c r="X49" s="482"/>
      <c r="Y49" s="482"/>
      <c r="Z49" s="508"/>
      <c r="AA49" s="508"/>
      <c r="AB49" s="508"/>
      <c r="AC49" s="508"/>
      <c r="AD49" s="508"/>
      <c r="AE49" s="508"/>
      <c r="AF49" s="482"/>
      <c r="AG49" s="515"/>
      <c r="AH49" s="482"/>
      <c r="AI49" s="512"/>
      <c r="AJ49" s="515"/>
      <c r="AK49" s="515"/>
      <c r="AL49" s="515"/>
      <c r="AM49" s="482"/>
      <c r="AN49" s="482"/>
      <c r="AO49" s="482"/>
      <c r="AP49" s="482"/>
      <c r="AQ49" s="482"/>
      <c r="AR49" s="482"/>
      <c r="AS49" s="482"/>
      <c r="AT49" s="482"/>
      <c r="AU49" s="482"/>
      <c r="AV49" s="482"/>
      <c r="AW49" s="482"/>
      <c r="AX49" s="482"/>
      <c r="AY49" s="482"/>
      <c r="AZ49" s="482"/>
      <c r="BA49" s="482"/>
      <c r="BB49" s="482"/>
      <c r="BC49" s="482"/>
      <c r="BD49" s="482"/>
      <c r="BE49" s="482"/>
      <c r="BF49" s="482"/>
      <c r="BG49" s="482"/>
      <c r="BH49" s="482"/>
      <c r="BI49" s="482"/>
      <c r="BJ49" s="482"/>
      <c r="BK49" s="482"/>
      <c r="BL49" s="482"/>
      <c r="BM49" s="482"/>
      <c r="BN49" s="482"/>
      <c r="BO49" s="482"/>
      <c r="BP49" s="482"/>
      <c r="BQ49" s="482"/>
      <c r="BR49" s="482"/>
      <c r="BS49" s="482"/>
      <c r="BT49" s="482"/>
      <c r="BU49" s="482"/>
      <c r="BV49" s="482"/>
      <c r="BW49" s="482"/>
      <c r="BX49" s="482"/>
      <c r="BY49" s="482"/>
      <c r="BZ49" s="482"/>
    </row>
    <row r="50" spans="1:78" x14ac:dyDescent="0.2">
      <c r="A50" s="482"/>
      <c r="B50" s="516"/>
      <c r="C50" s="505"/>
      <c r="D50" s="482"/>
      <c r="E50" s="482"/>
      <c r="F50" s="482"/>
      <c r="G50" s="482"/>
      <c r="H50" s="482"/>
      <c r="I50" s="482"/>
      <c r="J50" s="482"/>
      <c r="K50" s="482"/>
      <c r="L50" s="482"/>
      <c r="M50" s="482"/>
      <c r="U50" s="482"/>
      <c r="V50" s="482"/>
      <c r="W50" s="482"/>
      <c r="X50" s="482"/>
      <c r="Y50" s="482"/>
      <c r="Z50" s="482"/>
      <c r="AA50" s="482"/>
      <c r="AB50" s="482"/>
      <c r="AC50" s="482"/>
      <c r="AD50" s="482"/>
      <c r="AE50" s="482"/>
      <c r="AF50" s="482"/>
      <c r="AG50" s="482"/>
      <c r="AH50" s="482"/>
      <c r="AI50" s="482"/>
      <c r="AJ50" s="482"/>
      <c r="AK50" s="482"/>
      <c r="AL50" s="482"/>
      <c r="AM50" s="482"/>
      <c r="AN50" s="482"/>
      <c r="AO50" s="482"/>
      <c r="AP50" s="482"/>
      <c r="AQ50" s="482"/>
      <c r="AR50" s="482"/>
      <c r="AS50" s="482"/>
      <c r="AT50" s="482"/>
      <c r="AU50" s="482"/>
      <c r="AV50" s="482"/>
      <c r="AW50" s="482"/>
      <c r="AX50" s="482"/>
      <c r="AY50" s="482"/>
      <c r="AZ50" s="482"/>
      <c r="BA50" s="482"/>
      <c r="BB50" s="482"/>
      <c r="BC50" s="482"/>
      <c r="BD50" s="482"/>
      <c r="BE50" s="482"/>
      <c r="BF50" s="482"/>
      <c r="BG50" s="482"/>
      <c r="BH50" s="482"/>
      <c r="BI50" s="482"/>
      <c r="BJ50" s="482"/>
      <c r="BK50" s="482"/>
      <c r="BL50" s="482"/>
      <c r="BM50" s="482"/>
      <c r="BN50" s="482"/>
      <c r="BO50" s="482"/>
      <c r="BP50" s="482"/>
      <c r="BQ50" s="482"/>
      <c r="BR50" s="482"/>
      <c r="BS50" s="482"/>
      <c r="BT50" s="482"/>
      <c r="BU50" s="482"/>
      <c r="BV50" s="482"/>
      <c r="BW50" s="482"/>
      <c r="BX50" s="482"/>
      <c r="BY50" s="482"/>
      <c r="BZ50" s="482"/>
    </row>
    <row r="51" spans="1:78" ht="12.6" x14ac:dyDescent="0.2">
      <c r="A51" s="482"/>
      <c r="B51" s="513"/>
      <c r="C51" s="21"/>
      <c r="D51" s="21"/>
      <c r="E51" s="101"/>
      <c r="F51" s="493"/>
      <c r="G51" s="514"/>
      <c r="H51" s="482"/>
      <c r="I51" s="482"/>
      <c r="J51" s="482"/>
      <c r="K51" s="101"/>
      <c r="L51" s="101"/>
      <c r="M51" s="101"/>
      <c r="N51" s="101"/>
      <c r="O51" s="101"/>
      <c r="P51" s="101"/>
      <c r="Q51" s="101"/>
      <c r="R51" s="101"/>
      <c r="S51" s="101"/>
      <c r="T51" s="101"/>
      <c r="U51" s="482"/>
      <c r="V51" s="482"/>
      <c r="W51" s="482"/>
      <c r="X51" s="482"/>
      <c r="Y51" s="482"/>
      <c r="Z51" s="482"/>
      <c r="AA51" s="482"/>
      <c r="AB51" s="482"/>
      <c r="AC51" s="482"/>
      <c r="AD51" s="482"/>
      <c r="AE51" s="482"/>
      <c r="AF51" s="482"/>
      <c r="AG51" s="482"/>
      <c r="AH51" s="482"/>
      <c r="AI51" s="482"/>
      <c r="AJ51" s="482"/>
      <c r="AK51" s="482"/>
      <c r="AL51" s="482"/>
      <c r="AM51" s="482"/>
      <c r="AN51" s="482"/>
      <c r="AO51" s="482"/>
      <c r="AP51" s="482"/>
      <c r="AQ51" s="482"/>
      <c r="AR51" s="482"/>
      <c r="AS51" s="482"/>
      <c r="AT51" s="482"/>
      <c r="AU51" s="482"/>
      <c r="AV51" s="482"/>
      <c r="AW51" s="482"/>
      <c r="AX51" s="482"/>
      <c r="AY51" s="482"/>
      <c r="AZ51" s="482"/>
      <c r="BA51" s="482"/>
      <c r="BB51" s="482"/>
      <c r="BC51" s="482"/>
      <c r="BD51" s="482"/>
      <c r="BE51" s="482"/>
      <c r="BF51" s="482"/>
      <c r="BG51" s="482"/>
      <c r="BH51" s="482"/>
      <c r="BI51" s="482"/>
      <c r="BJ51" s="482"/>
      <c r="BK51" s="482"/>
      <c r="BL51" s="482"/>
      <c r="BM51" s="482"/>
      <c r="BN51" s="482"/>
      <c r="BO51" s="482"/>
      <c r="BP51" s="482"/>
      <c r="BQ51" s="482"/>
      <c r="BR51" s="482"/>
      <c r="BS51" s="482"/>
      <c r="BT51" s="482"/>
      <c r="BU51" s="482"/>
      <c r="BV51" s="482"/>
      <c r="BW51" s="482"/>
      <c r="BX51" s="482"/>
      <c r="BY51" s="482"/>
      <c r="BZ51" s="482"/>
    </row>
    <row r="52" spans="1:78" x14ac:dyDescent="0.2">
      <c r="A52" s="482"/>
      <c r="B52" s="516"/>
      <c r="C52" s="21"/>
      <c r="D52" s="21"/>
      <c r="E52" s="101"/>
      <c r="F52" s="493"/>
      <c r="G52" s="514"/>
      <c r="H52" s="482"/>
      <c r="I52" s="482"/>
      <c r="J52" s="482"/>
      <c r="K52" s="101"/>
      <c r="L52" s="101"/>
      <c r="M52" s="101"/>
      <c r="N52" s="101"/>
      <c r="O52" s="101"/>
      <c r="P52" s="101"/>
      <c r="Q52" s="101"/>
      <c r="R52" s="101"/>
      <c r="S52" s="101"/>
      <c r="T52" s="101"/>
      <c r="U52" s="482"/>
      <c r="V52" s="482"/>
      <c r="W52" s="482"/>
      <c r="X52" s="482"/>
      <c r="Y52" s="482"/>
      <c r="Z52" s="508"/>
      <c r="AA52" s="508"/>
      <c r="AB52" s="508"/>
      <c r="AC52" s="508"/>
      <c r="AD52" s="508"/>
      <c r="AE52" s="508"/>
      <c r="AF52" s="482"/>
      <c r="AG52" s="515"/>
      <c r="AH52" s="482"/>
      <c r="AI52" s="512"/>
      <c r="AJ52" s="515"/>
      <c r="AK52" s="515"/>
      <c r="AL52" s="515"/>
      <c r="AM52" s="482"/>
      <c r="AN52" s="482"/>
      <c r="AO52" s="482"/>
      <c r="AP52" s="482"/>
      <c r="AQ52" s="482"/>
      <c r="AR52" s="482"/>
      <c r="AS52" s="482"/>
      <c r="AT52" s="482"/>
      <c r="AU52" s="482"/>
      <c r="AV52" s="482"/>
      <c r="AW52" s="482"/>
      <c r="AX52" s="482"/>
      <c r="AY52" s="482"/>
      <c r="AZ52" s="482"/>
      <c r="BA52" s="482"/>
      <c r="BB52" s="482"/>
      <c r="BC52" s="482"/>
      <c r="BD52" s="482"/>
      <c r="BE52" s="482"/>
      <c r="BF52" s="482"/>
      <c r="BG52" s="482"/>
      <c r="BH52" s="482"/>
      <c r="BI52" s="482"/>
      <c r="BJ52" s="482"/>
      <c r="BK52" s="482"/>
      <c r="BL52" s="482"/>
      <c r="BM52" s="482"/>
      <c r="BN52" s="482"/>
      <c r="BO52" s="482"/>
      <c r="BP52" s="482"/>
      <c r="BQ52" s="482"/>
      <c r="BR52" s="482"/>
      <c r="BS52" s="482"/>
      <c r="BT52" s="482"/>
      <c r="BU52" s="482"/>
      <c r="BV52" s="482"/>
      <c r="BW52" s="482"/>
      <c r="BX52" s="482"/>
      <c r="BY52" s="482"/>
      <c r="BZ52" s="482"/>
    </row>
    <row r="53" spans="1:78" x14ac:dyDescent="0.2">
      <c r="A53" s="482"/>
      <c r="B53" s="516"/>
      <c r="C53" s="505"/>
      <c r="D53" s="482"/>
      <c r="E53" s="482"/>
      <c r="F53" s="482"/>
      <c r="G53" s="482"/>
      <c r="H53" s="482"/>
      <c r="I53" s="482"/>
      <c r="J53" s="482"/>
      <c r="K53" s="482"/>
      <c r="L53" s="482"/>
      <c r="M53" s="482"/>
      <c r="U53" s="482"/>
      <c r="V53" s="482"/>
      <c r="W53" s="482"/>
      <c r="X53" s="482"/>
      <c r="Y53" s="482"/>
      <c r="Z53" s="482"/>
      <c r="AA53" s="482"/>
      <c r="AB53" s="482"/>
      <c r="AC53" s="482"/>
      <c r="AD53" s="482"/>
      <c r="AE53" s="482"/>
      <c r="AF53" s="482"/>
      <c r="AG53" s="482"/>
      <c r="AH53" s="482"/>
      <c r="AI53" s="482"/>
      <c r="AJ53" s="482"/>
      <c r="AK53" s="482"/>
      <c r="AL53" s="482"/>
      <c r="AM53" s="482"/>
      <c r="AN53" s="482"/>
      <c r="AO53" s="482"/>
      <c r="AP53" s="482"/>
      <c r="AQ53" s="482"/>
      <c r="AR53" s="482"/>
      <c r="AS53" s="482"/>
      <c r="AT53" s="482"/>
      <c r="AU53" s="482"/>
      <c r="AV53" s="482"/>
      <c r="AW53" s="482"/>
      <c r="AX53" s="482"/>
      <c r="AY53" s="482"/>
      <c r="AZ53" s="482"/>
      <c r="BA53" s="482"/>
      <c r="BB53" s="482"/>
      <c r="BC53" s="482"/>
      <c r="BD53" s="482"/>
      <c r="BE53" s="482"/>
      <c r="BF53" s="482"/>
      <c r="BG53" s="482"/>
      <c r="BH53" s="482"/>
      <c r="BI53" s="482"/>
      <c r="BJ53" s="482"/>
      <c r="BK53" s="482"/>
      <c r="BL53" s="482"/>
      <c r="BM53" s="482"/>
      <c r="BN53" s="482"/>
      <c r="BO53" s="482"/>
      <c r="BP53" s="482"/>
      <c r="BQ53" s="482"/>
      <c r="BR53" s="482"/>
      <c r="BS53" s="482"/>
      <c r="BT53" s="482"/>
      <c r="BU53" s="482"/>
      <c r="BV53" s="482"/>
      <c r="BW53" s="482"/>
      <c r="BX53" s="482"/>
      <c r="BY53" s="482"/>
      <c r="BZ53" s="482"/>
    </row>
    <row r="54" spans="1:78" x14ac:dyDescent="0.2">
      <c r="A54" s="482"/>
      <c r="B54" s="516"/>
      <c r="C54" s="505"/>
      <c r="D54" s="482"/>
      <c r="E54" s="482"/>
      <c r="F54" s="482"/>
      <c r="G54" s="482"/>
      <c r="H54" s="482"/>
      <c r="I54" s="482"/>
      <c r="J54" s="482"/>
      <c r="K54" s="482"/>
      <c r="L54" s="482"/>
      <c r="M54" s="482"/>
      <c r="U54" s="482"/>
      <c r="V54" s="482"/>
      <c r="W54" s="482"/>
      <c r="X54" s="482"/>
      <c r="Y54" s="482"/>
      <c r="Z54" s="482"/>
      <c r="AA54" s="482"/>
      <c r="AB54" s="482"/>
      <c r="AC54" s="482"/>
      <c r="AD54" s="482"/>
      <c r="AE54" s="482"/>
      <c r="AF54" s="482"/>
      <c r="AG54" s="482"/>
      <c r="AH54" s="482"/>
      <c r="AI54" s="482"/>
      <c r="AJ54" s="482"/>
      <c r="AK54" s="482"/>
      <c r="AL54" s="482"/>
      <c r="AM54" s="482"/>
      <c r="AN54" s="482"/>
      <c r="AO54" s="482"/>
      <c r="AP54" s="482"/>
      <c r="AQ54" s="482"/>
      <c r="AR54" s="482"/>
      <c r="AS54" s="482"/>
      <c r="AT54" s="482"/>
      <c r="AU54" s="482"/>
      <c r="AV54" s="482"/>
      <c r="AW54" s="482"/>
      <c r="AX54" s="482"/>
      <c r="AY54" s="482"/>
      <c r="AZ54" s="482"/>
      <c r="BA54" s="482"/>
      <c r="BB54" s="482"/>
      <c r="BC54" s="482"/>
      <c r="BD54" s="482"/>
      <c r="BE54" s="482"/>
      <c r="BF54" s="482"/>
      <c r="BG54" s="482"/>
      <c r="BH54" s="482"/>
      <c r="BI54" s="482"/>
      <c r="BJ54" s="482"/>
      <c r="BK54" s="482"/>
      <c r="BL54" s="482"/>
      <c r="BM54" s="482"/>
      <c r="BN54" s="482"/>
      <c r="BO54" s="482"/>
      <c r="BP54" s="482"/>
      <c r="BQ54" s="482"/>
      <c r="BR54" s="482"/>
      <c r="BS54" s="482"/>
      <c r="BT54" s="482"/>
      <c r="BU54" s="482"/>
      <c r="BV54" s="482"/>
      <c r="BW54" s="482"/>
      <c r="BX54" s="482"/>
      <c r="BY54" s="482"/>
      <c r="BZ54" s="482"/>
    </row>
    <row r="55" spans="1:78" ht="12.6" x14ac:dyDescent="0.2">
      <c r="A55" s="482"/>
      <c r="B55" s="513"/>
      <c r="C55" s="21"/>
      <c r="D55" s="21"/>
      <c r="E55" s="101"/>
      <c r="F55" s="493"/>
      <c r="G55" s="514"/>
      <c r="H55" s="482"/>
      <c r="I55" s="482"/>
      <c r="J55" s="482"/>
      <c r="K55" s="101"/>
      <c r="L55" s="101"/>
      <c r="M55" s="101"/>
      <c r="N55" s="101"/>
      <c r="O55" s="101"/>
      <c r="P55" s="101"/>
      <c r="Q55" s="101"/>
      <c r="R55" s="101"/>
      <c r="S55" s="101"/>
      <c r="T55" s="101"/>
      <c r="U55" s="482"/>
      <c r="V55" s="482"/>
      <c r="W55" s="482"/>
      <c r="X55" s="482"/>
      <c r="Y55" s="482"/>
      <c r="Z55" s="482"/>
      <c r="AA55" s="482"/>
      <c r="AB55" s="482"/>
      <c r="AC55" s="482"/>
      <c r="AD55" s="482"/>
      <c r="AE55" s="482"/>
      <c r="AF55" s="482"/>
      <c r="AG55" s="482"/>
      <c r="AH55" s="482"/>
      <c r="AI55" s="482"/>
      <c r="AJ55" s="482"/>
      <c r="AK55" s="482"/>
      <c r="AL55" s="482"/>
      <c r="AM55" s="482"/>
      <c r="AN55" s="482"/>
      <c r="AO55" s="482"/>
      <c r="AP55" s="482"/>
      <c r="AQ55" s="482"/>
      <c r="AR55" s="482"/>
      <c r="AS55" s="482"/>
      <c r="AT55" s="482"/>
      <c r="AU55" s="482"/>
      <c r="AV55" s="482"/>
      <c r="AW55" s="482"/>
      <c r="AX55" s="482"/>
      <c r="AY55" s="482"/>
      <c r="AZ55" s="482"/>
      <c r="BA55" s="482"/>
      <c r="BB55" s="482"/>
      <c r="BC55" s="482"/>
      <c r="BD55" s="482"/>
      <c r="BE55" s="482"/>
      <c r="BF55" s="482"/>
      <c r="BG55" s="482"/>
      <c r="BH55" s="482"/>
      <c r="BI55" s="482"/>
      <c r="BJ55" s="482"/>
      <c r="BK55" s="482"/>
      <c r="BL55" s="482"/>
      <c r="BM55" s="482"/>
      <c r="BN55" s="482"/>
      <c r="BO55" s="482"/>
      <c r="BP55" s="482"/>
      <c r="BQ55" s="482"/>
      <c r="BR55" s="482"/>
      <c r="BS55" s="482"/>
      <c r="BT55" s="482"/>
      <c r="BU55" s="482"/>
      <c r="BV55" s="482"/>
      <c r="BW55" s="482"/>
      <c r="BX55" s="482"/>
      <c r="BY55" s="482"/>
      <c r="BZ55" s="482"/>
    </row>
    <row r="56" spans="1:78" x14ac:dyDescent="0.2">
      <c r="A56" s="482"/>
      <c r="B56" s="516"/>
      <c r="C56" s="505"/>
      <c r="D56" s="482"/>
      <c r="E56" s="482"/>
      <c r="F56" s="482"/>
      <c r="G56" s="482"/>
      <c r="H56" s="482"/>
      <c r="I56" s="482"/>
      <c r="J56" s="482"/>
      <c r="K56" s="482"/>
      <c r="L56" s="482"/>
      <c r="M56" s="482"/>
      <c r="U56" s="482"/>
      <c r="V56" s="482"/>
      <c r="W56" s="482"/>
      <c r="X56" s="482"/>
      <c r="Y56" s="482"/>
      <c r="Z56" s="482"/>
      <c r="AA56" s="482"/>
      <c r="AB56" s="482"/>
      <c r="AC56" s="482"/>
      <c r="AD56" s="482"/>
      <c r="AE56" s="482"/>
      <c r="AF56" s="482"/>
      <c r="AG56" s="482"/>
      <c r="AH56" s="482"/>
      <c r="AI56" s="482"/>
      <c r="AJ56" s="482"/>
      <c r="AK56" s="482"/>
      <c r="AL56" s="482"/>
      <c r="AM56" s="482"/>
      <c r="AN56" s="482"/>
      <c r="AO56" s="482"/>
      <c r="AP56" s="482"/>
      <c r="AQ56" s="482"/>
      <c r="AR56" s="482"/>
      <c r="AS56" s="482"/>
      <c r="AT56" s="482"/>
      <c r="AU56" s="482"/>
      <c r="AV56" s="482"/>
      <c r="AW56" s="482"/>
      <c r="AX56" s="482"/>
      <c r="AY56" s="482"/>
      <c r="AZ56" s="482"/>
      <c r="BA56" s="482"/>
      <c r="BB56" s="482"/>
      <c r="BC56" s="482"/>
      <c r="BD56" s="482"/>
      <c r="BE56" s="482"/>
      <c r="BF56" s="482"/>
      <c r="BG56" s="482"/>
      <c r="BH56" s="482"/>
      <c r="BI56" s="482"/>
      <c r="BJ56" s="482"/>
      <c r="BK56" s="482"/>
      <c r="BL56" s="482"/>
      <c r="BM56" s="482"/>
      <c r="BN56" s="482"/>
      <c r="BO56" s="482"/>
      <c r="BP56" s="482"/>
      <c r="BQ56" s="482"/>
      <c r="BR56" s="482"/>
      <c r="BS56" s="482"/>
      <c r="BT56" s="482"/>
      <c r="BU56" s="482"/>
      <c r="BV56" s="482"/>
      <c r="BW56" s="482"/>
      <c r="BX56" s="482"/>
      <c r="BY56" s="482"/>
      <c r="BZ56" s="482"/>
    </row>
    <row r="57" spans="1:78" x14ac:dyDescent="0.2">
      <c r="A57" s="482"/>
      <c r="B57" s="482"/>
      <c r="C57" s="505"/>
      <c r="D57" s="482"/>
      <c r="E57" s="482"/>
      <c r="F57" s="482"/>
      <c r="G57" s="482"/>
      <c r="H57" s="482"/>
      <c r="I57" s="482"/>
      <c r="J57" s="482"/>
      <c r="K57" s="482"/>
      <c r="L57" s="482"/>
      <c r="M57" s="482"/>
      <c r="U57" s="482"/>
      <c r="V57" s="482"/>
      <c r="W57" s="482"/>
      <c r="X57" s="482"/>
      <c r="Y57" s="482"/>
      <c r="Z57" s="482"/>
      <c r="AA57" s="482"/>
      <c r="AB57" s="482"/>
      <c r="AC57" s="482"/>
      <c r="AD57" s="482"/>
      <c r="AE57" s="482"/>
      <c r="AF57" s="482"/>
      <c r="AG57" s="482"/>
      <c r="AH57" s="482"/>
      <c r="AI57" s="482"/>
      <c r="AJ57" s="482"/>
      <c r="AK57" s="482"/>
      <c r="AL57" s="482"/>
      <c r="AM57" s="482"/>
      <c r="AN57" s="482"/>
      <c r="AO57" s="482"/>
      <c r="AP57" s="482"/>
      <c r="AQ57" s="482"/>
      <c r="AR57" s="482"/>
      <c r="AS57" s="482"/>
      <c r="AT57" s="482"/>
      <c r="AU57" s="482"/>
      <c r="AV57" s="482"/>
      <c r="AW57" s="482"/>
      <c r="AX57" s="482"/>
      <c r="AY57" s="482"/>
      <c r="AZ57" s="482"/>
      <c r="BA57" s="482"/>
      <c r="BB57" s="482"/>
      <c r="BC57" s="482"/>
      <c r="BD57" s="482"/>
      <c r="BE57" s="482"/>
      <c r="BF57" s="482"/>
      <c r="BG57" s="482"/>
      <c r="BH57" s="482"/>
      <c r="BI57" s="482"/>
      <c r="BJ57" s="482"/>
      <c r="BK57" s="482"/>
      <c r="BL57" s="482"/>
      <c r="BM57" s="482"/>
      <c r="BN57" s="482"/>
      <c r="BO57" s="482"/>
      <c r="BP57" s="482"/>
      <c r="BQ57" s="482"/>
      <c r="BR57" s="482"/>
      <c r="BS57" s="482"/>
      <c r="BT57" s="482"/>
      <c r="BU57" s="482"/>
      <c r="BV57" s="482"/>
      <c r="BW57" s="482"/>
      <c r="BX57" s="482"/>
      <c r="BY57" s="482"/>
      <c r="BZ57" s="482"/>
    </row>
    <row r="58" spans="1:78" x14ac:dyDescent="0.2">
      <c r="A58" s="482"/>
      <c r="B58" s="755"/>
      <c r="C58" s="755"/>
      <c r="D58" s="756"/>
      <c r="E58" s="756"/>
      <c r="F58" s="756"/>
      <c r="G58" s="756"/>
      <c r="H58" s="754"/>
      <c r="I58" s="755"/>
      <c r="J58" s="755"/>
      <c r="K58" s="755"/>
      <c r="L58" s="755"/>
      <c r="M58" s="755"/>
      <c r="N58" s="561"/>
      <c r="O58" s="561"/>
      <c r="P58" s="561"/>
      <c r="Q58" s="561"/>
      <c r="R58" s="561"/>
      <c r="S58" s="561"/>
      <c r="T58" s="561"/>
      <c r="U58" s="482"/>
      <c r="V58" s="482"/>
      <c r="W58" s="482"/>
      <c r="X58" s="482"/>
      <c r="Y58" s="482"/>
      <c r="Z58" s="482"/>
      <c r="AA58" s="482"/>
      <c r="AB58" s="482"/>
      <c r="AC58" s="482"/>
      <c r="AD58" s="482"/>
      <c r="AE58" s="482"/>
      <c r="AF58" s="482"/>
      <c r="AG58" s="482"/>
      <c r="AH58" s="482"/>
      <c r="AI58" s="482"/>
      <c r="AJ58" s="482"/>
      <c r="AK58" s="482"/>
      <c r="AL58" s="482"/>
      <c r="AM58" s="482"/>
      <c r="AN58" s="482"/>
      <c r="AO58" s="482"/>
      <c r="AP58" s="482"/>
      <c r="AQ58" s="482"/>
      <c r="AR58" s="482"/>
      <c r="AS58" s="482"/>
      <c r="AT58" s="482"/>
      <c r="AU58" s="482"/>
      <c r="AV58" s="482"/>
      <c r="AW58" s="482"/>
      <c r="AX58" s="482"/>
      <c r="AY58" s="482"/>
      <c r="AZ58" s="482"/>
      <c r="BA58" s="482"/>
      <c r="BB58" s="482"/>
      <c r="BC58" s="482"/>
      <c r="BD58" s="482"/>
      <c r="BE58" s="482"/>
      <c r="BF58" s="482"/>
      <c r="BG58" s="482"/>
      <c r="BH58" s="482"/>
      <c r="BI58" s="482"/>
      <c r="BJ58" s="482"/>
      <c r="BK58" s="482"/>
      <c r="BL58" s="482"/>
      <c r="BM58" s="482"/>
      <c r="BN58" s="482"/>
      <c r="BO58" s="482"/>
      <c r="BP58" s="482"/>
      <c r="BQ58" s="482"/>
      <c r="BR58" s="482"/>
      <c r="BS58" s="482"/>
      <c r="BT58" s="482"/>
      <c r="BU58" s="482"/>
      <c r="BV58" s="482"/>
      <c r="BW58" s="482"/>
      <c r="BX58" s="482"/>
      <c r="BY58" s="482"/>
      <c r="BZ58" s="482"/>
    </row>
    <row r="59" spans="1:78" s="482" customFormat="1" x14ac:dyDescent="0.2">
      <c r="B59" s="755"/>
      <c r="C59" s="755"/>
      <c r="D59" s="756"/>
      <c r="E59" s="756"/>
      <c r="F59" s="756"/>
      <c r="G59" s="756"/>
      <c r="H59" s="517"/>
      <c r="I59" s="517"/>
      <c r="J59" s="635"/>
      <c r="K59" s="517"/>
      <c r="L59" s="517"/>
      <c r="M59" s="517"/>
      <c r="N59" s="517"/>
      <c r="O59" s="517"/>
      <c r="P59" s="517"/>
      <c r="Q59" s="517"/>
      <c r="R59" s="517"/>
      <c r="S59" s="517"/>
      <c r="T59" s="517"/>
    </row>
    <row r="60" spans="1:78" s="482" customFormat="1" ht="30" customHeight="1" x14ac:dyDescent="0.2">
      <c r="B60" s="518"/>
      <c r="C60" s="518"/>
      <c r="D60" s="519"/>
      <c r="E60" s="519"/>
      <c r="F60" s="520"/>
      <c r="G60" s="519"/>
      <c r="H60" s="521"/>
      <c r="I60" s="521"/>
      <c r="J60" s="521"/>
      <c r="K60" s="521"/>
      <c r="L60" s="521"/>
      <c r="M60" s="522"/>
      <c r="N60" s="522"/>
      <c r="O60" s="522"/>
      <c r="P60" s="522"/>
      <c r="Q60" s="522"/>
      <c r="R60" s="522"/>
      <c r="S60" s="522"/>
      <c r="T60" s="522"/>
    </row>
    <row r="61" spans="1:78" s="482" customFormat="1" x14ac:dyDescent="0.2">
      <c r="B61" s="518"/>
      <c r="C61" s="518"/>
      <c r="D61" s="519"/>
      <c r="E61" s="519"/>
      <c r="F61" s="520"/>
      <c r="G61" s="519"/>
      <c r="H61" s="521"/>
      <c r="I61" s="521"/>
      <c r="J61" s="521"/>
      <c r="K61" s="521"/>
      <c r="L61" s="521"/>
      <c r="M61" s="522"/>
      <c r="N61" s="522"/>
      <c r="O61" s="522"/>
      <c r="P61" s="522"/>
      <c r="Q61" s="522"/>
      <c r="R61" s="522"/>
      <c r="S61" s="522"/>
      <c r="T61" s="522"/>
    </row>
    <row r="62" spans="1:78" s="482" customFormat="1" x14ac:dyDescent="0.2">
      <c r="B62" s="518"/>
      <c r="C62" s="518"/>
      <c r="D62" s="519"/>
      <c r="E62" s="519"/>
      <c r="F62" s="520"/>
      <c r="G62" s="519"/>
      <c r="H62" s="521"/>
      <c r="I62" s="521"/>
      <c r="J62" s="521"/>
      <c r="K62" s="521"/>
      <c r="L62" s="521"/>
      <c r="M62" s="522"/>
      <c r="N62" s="522"/>
      <c r="O62" s="522"/>
      <c r="P62" s="522"/>
      <c r="Q62" s="522"/>
      <c r="R62" s="522"/>
      <c r="S62" s="522"/>
      <c r="T62" s="522"/>
    </row>
    <row r="63" spans="1:78" s="482" customFormat="1" x14ac:dyDescent="0.2">
      <c r="B63" s="518"/>
      <c r="C63" s="518"/>
      <c r="D63" s="519"/>
      <c r="E63" s="519"/>
      <c r="F63" s="520"/>
      <c r="G63" s="519"/>
      <c r="H63" s="521"/>
      <c r="I63" s="521"/>
      <c r="J63" s="521"/>
      <c r="K63" s="521"/>
      <c r="L63" s="521"/>
      <c r="M63" s="522"/>
      <c r="N63" s="522"/>
      <c r="O63" s="522"/>
      <c r="P63" s="522"/>
      <c r="Q63" s="522"/>
      <c r="R63" s="522"/>
      <c r="S63" s="522"/>
      <c r="T63" s="522"/>
    </row>
    <row r="64" spans="1:78" s="482" customFormat="1" x14ac:dyDescent="0.2">
      <c r="B64" s="518"/>
      <c r="C64" s="518"/>
      <c r="D64" s="519"/>
      <c r="E64" s="519"/>
      <c r="F64" s="520"/>
      <c r="G64" s="519"/>
      <c r="H64" s="521"/>
      <c r="I64" s="521"/>
      <c r="J64" s="521"/>
      <c r="K64" s="521"/>
      <c r="L64" s="521"/>
      <c r="M64" s="522"/>
      <c r="N64" s="522"/>
      <c r="O64" s="522"/>
      <c r="P64" s="522"/>
      <c r="Q64" s="522"/>
      <c r="R64" s="522"/>
      <c r="S64" s="522"/>
      <c r="T64" s="522"/>
    </row>
    <row r="65" spans="1:43" s="482" customFormat="1" x14ac:dyDescent="0.2">
      <c r="B65" s="518"/>
      <c r="C65" s="518"/>
      <c r="D65" s="519"/>
      <c r="E65" s="519"/>
      <c r="F65" s="520"/>
      <c r="G65" s="519"/>
      <c r="H65" s="521"/>
      <c r="I65" s="521"/>
      <c r="J65" s="521"/>
      <c r="K65" s="521"/>
      <c r="L65" s="522"/>
      <c r="M65" s="522"/>
      <c r="N65" s="522"/>
      <c r="O65" s="522"/>
      <c r="P65" s="522"/>
      <c r="Q65" s="522"/>
      <c r="R65" s="522"/>
      <c r="S65" s="522"/>
      <c r="T65" s="522"/>
    </row>
    <row r="66" spans="1:43" s="482" customFormat="1" x14ac:dyDescent="0.2">
      <c r="B66" s="518"/>
      <c r="C66" s="518"/>
      <c r="D66" s="519"/>
      <c r="E66" s="519"/>
      <c r="F66" s="520"/>
      <c r="G66" s="519"/>
      <c r="H66" s="521"/>
      <c r="I66" s="521"/>
      <c r="J66" s="521"/>
      <c r="K66" s="522"/>
      <c r="L66" s="522"/>
      <c r="M66" s="522"/>
      <c r="N66" s="522"/>
      <c r="O66" s="522"/>
      <c r="P66" s="522"/>
      <c r="Q66" s="522"/>
      <c r="R66" s="522"/>
      <c r="S66" s="522"/>
      <c r="T66" s="522"/>
    </row>
    <row r="67" spans="1:43" s="482" customFormat="1" x14ac:dyDescent="0.2">
      <c r="B67" s="518"/>
      <c r="C67" s="518"/>
      <c r="D67" s="519"/>
      <c r="E67" s="519"/>
      <c r="F67" s="520"/>
      <c r="G67" s="519"/>
      <c r="H67" s="522"/>
      <c r="I67" s="521"/>
      <c r="J67" s="521"/>
      <c r="K67" s="521"/>
      <c r="L67" s="522"/>
      <c r="M67" s="522"/>
      <c r="N67" s="522"/>
      <c r="O67" s="522"/>
      <c r="P67" s="522"/>
      <c r="Q67" s="522"/>
      <c r="R67" s="522"/>
      <c r="S67" s="522"/>
      <c r="T67" s="522"/>
    </row>
    <row r="68" spans="1:43" s="482" customFormat="1" x14ac:dyDescent="0.2">
      <c r="B68" s="518"/>
      <c r="C68" s="518"/>
      <c r="D68" s="519"/>
      <c r="E68" s="519"/>
      <c r="F68" s="520"/>
      <c r="G68" s="519"/>
      <c r="H68" s="522"/>
      <c r="I68" s="521"/>
      <c r="J68" s="521"/>
      <c r="K68" s="521"/>
      <c r="L68" s="522"/>
      <c r="M68" s="522"/>
      <c r="N68" s="522"/>
      <c r="O68" s="522"/>
      <c r="P68" s="522"/>
      <c r="Q68" s="522"/>
      <c r="R68" s="522"/>
      <c r="S68" s="522"/>
      <c r="T68" s="522"/>
    </row>
    <row r="69" spans="1:43" s="482" customFormat="1" x14ac:dyDescent="0.2">
      <c r="B69" s="518"/>
      <c r="C69" s="518"/>
      <c r="D69" s="519"/>
      <c r="E69" s="519"/>
      <c r="F69" s="520"/>
      <c r="G69" s="519"/>
      <c r="H69" s="522"/>
      <c r="I69" s="521"/>
      <c r="J69" s="521"/>
      <c r="K69" s="521"/>
      <c r="L69" s="522"/>
      <c r="M69" s="522"/>
      <c r="N69" s="522"/>
      <c r="O69" s="522"/>
      <c r="P69" s="522"/>
      <c r="Q69" s="522"/>
      <c r="R69" s="522"/>
      <c r="S69" s="522"/>
      <c r="T69" s="522"/>
    </row>
    <row r="70" spans="1:43" s="482" customFormat="1" x14ac:dyDescent="0.2">
      <c r="B70" s="518"/>
      <c r="C70" s="518"/>
      <c r="D70" s="519"/>
      <c r="E70" s="519"/>
      <c r="F70" s="520"/>
      <c r="G70" s="519"/>
      <c r="H70" s="522"/>
      <c r="I70" s="522"/>
      <c r="J70" s="522"/>
      <c r="K70" s="522"/>
      <c r="L70" s="519"/>
      <c r="M70" s="522"/>
      <c r="N70" s="522"/>
      <c r="O70" s="522"/>
      <c r="P70" s="522"/>
      <c r="Q70" s="522"/>
      <c r="R70" s="522"/>
      <c r="S70" s="522"/>
      <c r="T70" s="522"/>
    </row>
    <row r="71" spans="1:43" s="482" customFormat="1" x14ac:dyDescent="0.2">
      <c r="C71" s="505"/>
    </row>
    <row r="72" spans="1:43" s="482" customFormat="1" x14ac:dyDescent="0.2">
      <c r="C72" s="505"/>
    </row>
    <row r="73" spans="1:43" s="482" customFormat="1" x14ac:dyDescent="0.2">
      <c r="C73" s="505"/>
    </row>
    <row r="74" spans="1:43" s="482" customFormat="1" x14ac:dyDescent="0.2">
      <c r="C74" s="505"/>
    </row>
    <row r="75" spans="1:43" s="482" customFormat="1" x14ac:dyDescent="0.2">
      <c r="C75" s="505"/>
      <c r="D75" s="492"/>
      <c r="E75" s="492"/>
    </row>
    <row r="76" spans="1:43" s="482" customFormat="1" x14ac:dyDescent="0.2">
      <c r="C76" s="505"/>
    </row>
    <row r="77" spans="1:43" s="482" customFormat="1" x14ac:dyDescent="0.2">
      <c r="C77" s="505"/>
    </row>
    <row r="78" spans="1:43" s="482" customFormat="1" x14ac:dyDescent="0.2">
      <c r="C78" s="505"/>
      <c r="D78" s="493"/>
      <c r="E78" s="493"/>
    </row>
    <row r="79" spans="1:43" x14ac:dyDescent="0.2">
      <c r="A79" s="482"/>
      <c r="B79" s="482"/>
      <c r="C79" s="505"/>
      <c r="D79" s="482"/>
      <c r="E79" s="482"/>
      <c r="F79" s="482"/>
      <c r="G79" s="482"/>
      <c r="H79" s="482"/>
      <c r="I79" s="482"/>
      <c r="J79" s="482"/>
      <c r="K79" s="482"/>
      <c r="L79" s="482"/>
      <c r="M79" s="482"/>
      <c r="U79" s="482"/>
      <c r="V79" s="482"/>
      <c r="W79" s="482"/>
      <c r="X79" s="482"/>
      <c r="Y79" s="482"/>
      <c r="Z79" s="482"/>
      <c r="AA79" s="482"/>
      <c r="AB79" s="482"/>
      <c r="AC79" s="482"/>
      <c r="AD79" s="482"/>
      <c r="AE79" s="482"/>
      <c r="AF79" s="482"/>
      <c r="AG79" s="482"/>
      <c r="AH79" s="482"/>
      <c r="AI79" s="482"/>
      <c r="AJ79" s="482"/>
      <c r="AK79" s="482"/>
      <c r="AL79" s="482"/>
      <c r="AM79" s="482"/>
      <c r="AN79" s="482"/>
      <c r="AO79" s="482"/>
      <c r="AP79" s="482"/>
      <c r="AQ79" s="482"/>
    </row>
    <row r="80" spans="1:43" x14ac:dyDescent="0.2">
      <c r="A80" s="482"/>
      <c r="B80" s="482"/>
      <c r="C80" s="505"/>
      <c r="D80" s="482"/>
      <c r="E80" s="482"/>
      <c r="F80" s="482"/>
      <c r="G80" s="482"/>
      <c r="H80" s="482"/>
      <c r="I80" s="482"/>
      <c r="J80" s="482"/>
      <c r="K80" s="482"/>
      <c r="L80" s="482"/>
      <c r="M80" s="482"/>
      <c r="U80" s="482"/>
      <c r="V80" s="482"/>
      <c r="W80" s="482"/>
      <c r="X80" s="482"/>
      <c r="Y80" s="482"/>
      <c r="Z80" s="482"/>
      <c r="AA80" s="482"/>
      <c r="AB80" s="482"/>
      <c r="AC80" s="482"/>
      <c r="AD80" s="482"/>
      <c r="AE80" s="482"/>
      <c r="AF80" s="482"/>
      <c r="AG80" s="482"/>
      <c r="AH80" s="482"/>
      <c r="AI80" s="482"/>
      <c r="AJ80" s="482"/>
      <c r="AK80" s="482"/>
      <c r="AL80" s="482"/>
      <c r="AM80" s="482"/>
      <c r="AN80" s="482"/>
      <c r="AO80" s="482"/>
      <c r="AP80" s="482"/>
      <c r="AQ80" s="482"/>
    </row>
    <row r="81" spans="1:43" x14ac:dyDescent="0.2">
      <c r="A81" s="482"/>
      <c r="B81" s="482"/>
      <c r="C81" s="505"/>
      <c r="D81" s="482"/>
      <c r="E81" s="482"/>
      <c r="F81" s="482"/>
      <c r="G81" s="482"/>
      <c r="H81" s="482"/>
      <c r="I81" s="482"/>
      <c r="J81" s="482"/>
      <c r="K81" s="482"/>
      <c r="L81" s="482"/>
      <c r="M81" s="482"/>
      <c r="U81" s="482"/>
      <c r="V81" s="482"/>
      <c r="W81" s="482"/>
      <c r="X81" s="482"/>
      <c r="Y81" s="482"/>
      <c r="Z81" s="482"/>
      <c r="AA81" s="482"/>
      <c r="AB81" s="482"/>
      <c r="AC81" s="482"/>
      <c r="AD81" s="482"/>
      <c r="AE81" s="482"/>
      <c r="AF81" s="482"/>
      <c r="AG81" s="482"/>
      <c r="AH81" s="482"/>
      <c r="AI81" s="482"/>
      <c r="AJ81" s="482"/>
      <c r="AK81" s="482"/>
      <c r="AL81" s="482"/>
      <c r="AM81" s="482"/>
      <c r="AN81" s="482"/>
      <c r="AO81" s="482"/>
      <c r="AP81" s="482"/>
      <c r="AQ81" s="482"/>
    </row>
    <row r="82" spans="1:43" x14ac:dyDescent="0.2">
      <c r="A82" s="482"/>
      <c r="B82" s="482"/>
      <c r="C82" s="505"/>
      <c r="D82" s="482"/>
      <c r="E82" s="482"/>
      <c r="F82" s="482"/>
      <c r="G82" s="482"/>
      <c r="H82" s="482"/>
      <c r="I82" s="482"/>
      <c r="J82" s="482"/>
      <c r="K82" s="482"/>
      <c r="L82" s="482"/>
      <c r="M82" s="482"/>
      <c r="U82" s="482"/>
      <c r="V82" s="482"/>
      <c r="W82" s="482"/>
      <c r="X82" s="482"/>
      <c r="Y82" s="482"/>
      <c r="Z82" s="482"/>
      <c r="AA82" s="482"/>
      <c r="AB82" s="482"/>
      <c r="AC82" s="482"/>
      <c r="AD82" s="482"/>
      <c r="AE82" s="482"/>
      <c r="AF82" s="482"/>
      <c r="AG82" s="482"/>
      <c r="AH82" s="482"/>
      <c r="AI82" s="482"/>
      <c r="AJ82" s="482"/>
      <c r="AK82" s="482"/>
      <c r="AL82" s="482"/>
      <c r="AM82" s="482"/>
      <c r="AN82" s="482"/>
      <c r="AO82" s="482"/>
      <c r="AP82" s="482"/>
      <c r="AQ82" s="482"/>
    </row>
    <row r="83" spans="1:43" x14ac:dyDescent="0.2">
      <c r="A83" s="482"/>
      <c r="B83" s="482"/>
      <c r="C83" s="505"/>
      <c r="D83" s="482"/>
      <c r="E83" s="482"/>
      <c r="F83" s="482"/>
      <c r="G83" s="482"/>
      <c r="H83" s="482"/>
      <c r="I83" s="482"/>
      <c r="J83" s="482"/>
      <c r="K83" s="482"/>
      <c r="L83" s="482"/>
      <c r="M83" s="482"/>
      <c r="U83" s="482"/>
      <c r="V83" s="482"/>
      <c r="W83" s="482"/>
      <c r="X83" s="482"/>
      <c r="Y83" s="482"/>
      <c r="Z83" s="482"/>
      <c r="AA83" s="482"/>
      <c r="AB83" s="482"/>
      <c r="AC83" s="482"/>
      <c r="AD83" s="482"/>
      <c r="AE83" s="482"/>
      <c r="AF83" s="482"/>
      <c r="AG83" s="482"/>
      <c r="AH83" s="482"/>
      <c r="AI83" s="482"/>
      <c r="AJ83" s="482"/>
      <c r="AK83" s="482"/>
      <c r="AL83" s="482"/>
      <c r="AM83" s="482"/>
      <c r="AN83" s="482"/>
      <c r="AO83" s="482"/>
      <c r="AP83" s="482"/>
      <c r="AQ83" s="482"/>
    </row>
    <row r="84" spans="1:43" x14ac:dyDescent="0.2">
      <c r="A84" s="482"/>
      <c r="B84" s="482"/>
      <c r="C84" s="505"/>
      <c r="D84" s="482"/>
      <c r="E84" s="482"/>
      <c r="F84" s="482"/>
      <c r="G84" s="482"/>
      <c r="H84" s="482"/>
      <c r="I84" s="482"/>
      <c r="J84" s="482"/>
      <c r="K84" s="482"/>
      <c r="L84" s="482"/>
      <c r="M84" s="482"/>
      <c r="U84" s="482"/>
      <c r="V84" s="482"/>
      <c r="W84" s="482"/>
      <c r="X84" s="482"/>
      <c r="Y84" s="482"/>
      <c r="Z84" s="482"/>
      <c r="AA84" s="482"/>
      <c r="AB84" s="482"/>
      <c r="AC84" s="482"/>
      <c r="AD84" s="482"/>
      <c r="AE84" s="482"/>
      <c r="AF84" s="482"/>
      <c r="AG84" s="482"/>
      <c r="AH84" s="482"/>
      <c r="AI84" s="482"/>
      <c r="AJ84" s="482"/>
      <c r="AK84" s="482"/>
      <c r="AL84" s="482"/>
      <c r="AM84" s="482"/>
      <c r="AN84" s="482"/>
      <c r="AO84" s="482"/>
      <c r="AP84" s="482"/>
      <c r="AQ84" s="482"/>
    </row>
    <row r="85" spans="1:43" x14ac:dyDescent="0.2">
      <c r="A85" s="482"/>
      <c r="B85" s="482"/>
      <c r="C85" s="505"/>
      <c r="D85" s="482"/>
      <c r="E85" s="482"/>
      <c r="F85" s="482"/>
      <c r="G85" s="482"/>
      <c r="H85" s="482"/>
      <c r="I85" s="482"/>
      <c r="J85" s="482"/>
      <c r="K85" s="482"/>
      <c r="L85" s="482"/>
      <c r="M85" s="482"/>
      <c r="U85" s="482"/>
      <c r="V85" s="482"/>
      <c r="W85" s="482"/>
      <c r="X85" s="482"/>
      <c r="Y85" s="482"/>
      <c r="Z85" s="482"/>
      <c r="AA85" s="482"/>
      <c r="AB85" s="482"/>
      <c r="AC85" s="482"/>
      <c r="AD85" s="482"/>
      <c r="AE85" s="482"/>
      <c r="AF85" s="482"/>
      <c r="AG85" s="482"/>
      <c r="AH85" s="482"/>
      <c r="AI85" s="482"/>
      <c r="AJ85" s="482"/>
      <c r="AK85" s="482"/>
      <c r="AL85" s="482"/>
      <c r="AM85" s="482"/>
      <c r="AN85" s="482"/>
      <c r="AO85" s="482"/>
      <c r="AP85" s="482"/>
      <c r="AQ85" s="482"/>
    </row>
    <row r="86" spans="1:43" x14ac:dyDescent="0.2">
      <c r="A86" s="482"/>
      <c r="B86" s="482"/>
      <c r="C86" s="505"/>
      <c r="D86" s="482"/>
      <c r="E86" s="482"/>
      <c r="F86" s="482"/>
      <c r="G86" s="482"/>
      <c r="H86" s="482"/>
      <c r="I86" s="482"/>
      <c r="J86" s="482"/>
      <c r="K86" s="482"/>
      <c r="L86" s="482"/>
      <c r="M86" s="482"/>
      <c r="U86" s="482"/>
      <c r="V86" s="482"/>
      <c r="W86" s="482"/>
      <c r="X86" s="482"/>
      <c r="Y86" s="482"/>
      <c r="Z86" s="482"/>
      <c r="AA86" s="482"/>
      <c r="AB86" s="482"/>
      <c r="AC86" s="482"/>
      <c r="AD86" s="482"/>
      <c r="AE86" s="482"/>
      <c r="AF86" s="482"/>
      <c r="AG86" s="482"/>
      <c r="AH86" s="482"/>
      <c r="AI86" s="482"/>
      <c r="AJ86" s="482"/>
      <c r="AK86" s="482"/>
      <c r="AL86" s="482"/>
      <c r="AM86" s="482"/>
      <c r="AN86" s="482"/>
      <c r="AO86" s="482"/>
      <c r="AP86" s="482"/>
      <c r="AQ86" s="482"/>
    </row>
    <row r="87" spans="1:43" x14ac:dyDescent="0.2">
      <c r="A87" s="482"/>
      <c r="B87" s="482"/>
      <c r="C87" s="505"/>
      <c r="D87" s="482"/>
      <c r="E87" s="482"/>
      <c r="F87" s="482"/>
      <c r="G87" s="482"/>
      <c r="H87" s="482"/>
      <c r="I87" s="482"/>
      <c r="J87" s="482"/>
      <c r="K87" s="482"/>
      <c r="L87" s="482"/>
      <c r="M87" s="482"/>
      <c r="U87" s="482"/>
      <c r="V87" s="482"/>
      <c r="W87" s="482"/>
      <c r="X87" s="482"/>
      <c r="Y87" s="482"/>
      <c r="Z87" s="482"/>
      <c r="AA87" s="482"/>
      <c r="AB87" s="482"/>
      <c r="AC87" s="482"/>
      <c r="AD87" s="482"/>
      <c r="AE87" s="482"/>
      <c r="AF87" s="482"/>
      <c r="AG87" s="482"/>
      <c r="AH87" s="482"/>
      <c r="AI87" s="482"/>
      <c r="AJ87" s="482"/>
      <c r="AK87" s="482"/>
      <c r="AL87" s="482"/>
      <c r="AM87" s="482"/>
      <c r="AN87" s="482"/>
      <c r="AO87" s="482"/>
      <c r="AP87" s="482"/>
      <c r="AQ87" s="482"/>
    </row>
    <row r="88" spans="1:43" x14ac:dyDescent="0.2">
      <c r="A88" s="482"/>
      <c r="B88" s="482"/>
      <c r="C88" s="505"/>
      <c r="D88" s="482"/>
      <c r="E88" s="482"/>
      <c r="F88" s="482"/>
      <c r="G88" s="482"/>
      <c r="H88" s="482"/>
      <c r="I88" s="482"/>
      <c r="J88" s="482"/>
      <c r="K88" s="482"/>
      <c r="L88" s="482"/>
      <c r="M88" s="482"/>
      <c r="U88" s="482"/>
      <c r="V88" s="482"/>
      <c r="W88" s="482"/>
      <c r="X88" s="482"/>
      <c r="Y88" s="482"/>
      <c r="Z88" s="482"/>
      <c r="AA88" s="482"/>
      <c r="AB88" s="482"/>
      <c r="AC88" s="482"/>
      <c r="AD88" s="482"/>
      <c r="AE88" s="482"/>
      <c r="AF88" s="482"/>
      <c r="AG88" s="482"/>
      <c r="AH88" s="482"/>
      <c r="AI88" s="482"/>
      <c r="AJ88" s="482"/>
      <c r="AK88" s="482"/>
      <c r="AL88" s="482"/>
      <c r="AM88" s="482"/>
      <c r="AN88" s="482"/>
      <c r="AO88" s="482"/>
      <c r="AP88" s="482"/>
      <c r="AQ88" s="482"/>
    </row>
    <row r="89" spans="1:43" x14ac:dyDescent="0.2">
      <c r="A89" s="482"/>
      <c r="B89" s="482"/>
      <c r="C89" s="505"/>
      <c r="D89" s="482"/>
      <c r="E89" s="482"/>
      <c r="F89" s="482"/>
      <c r="G89" s="482"/>
      <c r="H89" s="482"/>
      <c r="I89" s="482"/>
      <c r="J89" s="482"/>
      <c r="K89" s="482"/>
      <c r="L89" s="482"/>
      <c r="M89" s="482"/>
      <c r="U89" s="482"/>
      <c r="V89" s="482"/>
      <c r="W89" s="482"/>
      <c r="X89" s="482"/>
      <c r="Y89" s="482"/>
      <c r="Z89" s="482"/>
      <c r="AA89" s="482"/>
      <c r="AB89" s="482"/>
      <c r="AC89" s="482"/>
      <c r="AD89" s="482"/>
      <c r="AE89" s="482"/>
      <c r="AF89" s="482"/>
      <c r="AG89" s="482"/>
      <c r="AH89" s="482"/>
      <c r="AI89" s="482"/>
      <c r="AJ89" s="482"/>
      <c r="AK89" s="482"/>
      <c r="AL89" s="482"/>
      <c r="AM89" s="482"/>
      <c r="AN89" s="482"/>
      <c r="AO89" s="482"/>
      <c r="AP89" s="482"/>
      <c r="AQ89" s="482"/>
    </row>
    <row r="90" spans="1:43" x14ac:dyDescent="0.2">
      <c r="A90" s="482"/>
      <c r="B90" s="482"/>
      <c r="C90" s="505"/>
      <c r="D90" s="482"/>
      <c r="E90" s="482"/>
      <c r="F90" s="482"/>
      <c r="G90" s="482"/>
      <c r="H90" s="482"/>
      <c r="I90" s="482"/>
      <c r="J90" s="482"/>
      <c r="K90" s="482"/>
      <c r="L90" s="482"/>
      <c r="M90" s="482"/>
      <c r="U90" s="482"/>
      <c r="V90" s="482"/>
      <c r="W90" s="482"/>
      <c r="X90" s="482"/>
      <c r="Y90" s="482"/>
      <c r="Z90" s="482"/>
      <c r="AA90" s="482"/>
      <c r="AB90" s="482"/>
      <c r="AC90" s="482"/>
      <c r="AD90" s="482"/>
      <c r="AE90" s="482"/>
      <c r="AF90" s="482"/>
      <c r="AG90" s="482"/>
      <c r="AH90" s="482"/>
      <c r="AI90" s="482"/>
      <c r="AJ90" s="482"/>
      <c r="AK90" s="482"/>
      <c r="AL90" s="482"/>
      <c r="AM90" s="482"/>
      <c r="AN90" s="482"/>
      <c r="AO90" s="482"/>
      <c r="AP90" s="482"/>
      <c r="AQ90" s="482"/>
    </row>
    <row r="91" spans="1:43" x14ac:dyDescent="0.2">
      <c r="A91" s="482"/>
      <c r="B91" s="482"/>
      <c r="C91" s="505"/>
      <c r="D91" s="482"/>
      <c r="E91" s="482"/>
      <c r="F91" s="482"/>
      <c r="G91" s="482"/>
      <c r="H91" s="482"/>
      <c r="I91" s="482"/>
      <c r="J91" s="482"/>
      <c r="K91" s="482"/>
      <c r="L91" s="482"/>
      <c r="M91" s="482"/>
      <c r="U91" s="482"/>
      <c r="V91" s="482"/>
      <c r="W91" s="482"/>
      <c r="X91" s="482"/>
      <c r="Y91" s="482"/>
      <c r="Z91" s="482"/>
      <c r="AA91" s="482"/>
      <c r="AB91" s="482"/>
      <c r="AC91" s="482"/>
      <c r="AD91" s="482"/>
      <c r="AE91" s="482"/>
      <c r="AF91" s="482"/>
      <c r="AG91" s="482"/>
      <c r="AH91" s="482"/>
      <c r="AI91" s="482"/>
      <c r="AJ91" s="482"/>
      <c r="AK91" s="482"/>
      <c r="AL91" s="482"/>
      <c r="AM91" s="482"/>
      <c r="AN91" s="482"/>
      <c r="AO91" s="482"/>
      <c r="AP91" s="482"/>
      <c r="AQ91" s="482"/>
    </row>
    <row r="92" spans="1:43" x14ac:dyDescent="0.2">
      <c r="A92" s="482"/>
      <c r="B92" s="482"/>
      <c r="C92" s="505"/>
      <c r="D92" s="482"/>
      <c r="E92" s="482"/>
      <c r="F92" s="482"/>
      <c r="G92" s="482"/>
      <c r="H92" s="482"/>
      <c r="I92" s="482"/>
      <c r="J92" s="482"/>
      <c r="K92" s="482"/>
      <c r="L92" s="482"/>
      <c r="M92" s="482"/>
      <c r="U92" s="482"/>
      <c r="V92" s="482"/>
      <c r="W92" s="482"/>
      <c r="X92" s="482"/>
      <c r="Y92" s="482"/>
      <c r="Z92" s="482"/>
      <c r="AA92" s="482"/>
      <c r="AB92" s="482"/>
      <c r="AC92" s="482"/>
      <c r="AD92" s="482"/>
      <c r="AE92" s="482"/>
      <c r="AF92" s="482"/>
      <c r="AG92" s="482"/>
      <c r="AH92" s="482"/>
      <c r="AI92" s="482"/>
      <c r="AJ92" s="482"/>
      <c r="AK92" s="482"/>
      <c r="AL92" s="482"/>
      <c r="AM92" s="482"/>
      <c r="AN92" s="482"/>
      <c r="AO92" s="482"/>
      <c r="AP92" s="482"/>
      <c r="AQ92" s="482"/>
    </row>
    <row r="93" spans="1:43" x14ac:dyDescent="0.2">
      <c r="A93" s="482"/>
      <c r="B93" s="482"/>
      <c r="C93" s="505"/>
      <c r="D93" s="482"/>
      <c r="E93" s="482"/>
      <c r="F93" s="482"/>
      <c r="G93" s="482"/>
      <c r="H93" s="482"/>
      <c r="I93" s="482"/>
      <c r="J93" s="482"/>
      <c r="K93" s="482"/>
      <c r="L93" s="482"/>
      <c r="M93" s="482"/>
      <c r="U93" s="482"/>
      <c r="V93" s="482"/>
      <c r="W93" s="482"/>
      <c r="X93" s="482"/>
      <c r="Y93" s="482"/>
      <c r="Z93" s="482"/>
      <c r="AA93" s="482"/>
      <c r="AB93" s="482"/>
      <c r="AC93" s="482"/>
      <c r="AD93" s="482"/>
      <c r="AE93" s="482"/>
      <c r="AF93" s="482"/>
      <c r="AG93" s="482"/>
      <c r="AH93" s="482"/>
      <c r="AI93" s="482"/>
      <c r="AJ93" s="482"/>
      <c r="AK93" s="482"/>
      <c r="AL93" s="482"/>
      <c r="AM93" s="482"/>
      <c r="AN93" s="482"/>
      <c r="AO93" s="482"/>
      <c r="AP93" s="482"/>
      <c r="AQ93" s="482"/>
    </row>
    <row r="94" spans="1:43" x14ac:dyDescent="0.2">
      <c r="A94" s="482"/>
      <c r="B94" s="482"/>
      <c r="C94" s="505"/>
      <c r="D94" s="482"/>
      <c r="E94" s="482"/>
      <c r="F94" s="482"/>
      <c r="G94" s="482"/>
      <c r="H94" s="482"/>
      <c r="I94" s="482"/>
      <c r="J94" s="482"/>
      <c r="K94" s="482"/>
      <c r="L94" s="482"/>
      <c r="M94" s="482"/>
      <c r="U94" s="482"/>
      <c r="V94" s="482"/>
      <c r="W94" s="482"/>
      <c r="X94" s="482"/>
      <c r="Y94" s="482"/>
      <c r="Z94" s="482"/>
      <c r="AA94" s="482"/>
      <c r="AB94" s="482"/>
      <c r="AC94" s="482"/>
      <c r="AD94" s="482"/>
      <c r="AE94" s="482"/>
      <c r="AF94" s="482"/>
      <c r="AG94" s="482"/>
      <c r="AH94" s="482"/>
      <c r="AI94" s="482"/>
      <c r="AJ94" s="482"/>
      <c r="AK94" s="482"/>
      <c r="AL94" s="482"/>
      <c r="AM94" s="482"/>
      <c r="AN94" s="482"/>
      <c r="AO94" s="482"/>
      <c r="AP94" s="482"/>
      <c r="AQ94" s="482"/>
    </row>
    <row r="95" spans="1:43" x14ac:dyDescent="0.2">
      <c r="A95" s="482"/>
      <c r="B95" s="482"/>
      <c r="C95" s="505"/>
      <c r="D95" s="482"/>
      <c r="E95" s="482"/>
      <c r="F95" s="482"/>
      <c r="G95" s="482"/>
      <c r="H95" s="482"/>
      <c r="I95" s="482"/>
      <c r="J95" s="482"/>
      <c r="K95" s="482"/>
      <c r="L95" s="482"/>
      <c r="M95" s="482"/>
      <c r="U95" s="482"/>
      <c r="V95" s="482"/>
      <c r="W95" s="482"/>
      <c r="X95" s="482"/>
      <c r="Y95" s="482"/>
      <c r="Z95" s="482"/>
      <c r="AA95" s="482"/>
      <c r="AB95" s="482"/>
      <c r="AC95" s="482"/>
      <c r="AD95" s="482"/>
      <c r="AE95" s="482"/>
      <c r="AF95" s="482"/>
      <c r="AG95" s="482"/>
      <c r="AH95" s="482"/>
      <c r="AI95" s="482"/>
      <c r="AJ95" s="482"/>
      <c r="AK95" s="482"/>
      <c r="AL95" s="482"/>
      <c r="AM95" s="482"/>
      <c r="AN95" s="482"/>
      <c r="AO95" s="482"/>
      <c r="AP95" s="482"/>
      <c r="AQ95" s="482"/>
    </row>
    <row r="96" spans="1:43" x14ac:dyDescent="0.2">
      <c r="A96" s="482"/>
      <c r="B96" s="482"/>
      <c r="C96" s="505"/>
      <c r="D96" s="482"/>
      <c r="E96" s="482"/>
      <c r="F96" s="482"/>
      <c r="G96" s="482"/>
      <c r="H96" s="482"/>
      <c r="I96" s="482"/>
      <c r="J96" s="482"/>
      <c r="K96" s="482"/>
      <c r="L96" s="482"/>
      <c r="M96" s="482"/>
      <c r="U96" s="482"/>
      <c r="V96" s="482"/>
      <c r="W96" s="482"/>
      <c r="X96" s="482"/>
      <c r="Y96" s="482"/>
      <c r="Z96" s="482"/>
      <c r="AA96" s="482"/>
      <c r="AB96" s="482"/>
      <c r="AC96" s="482"/>
      <c r="AD96" s="482"/>
      <c r="AE96" s="482"/>
      <c r="AF96" s="482"/>
      <c r="AG96" s="482"/>
      <c r="AH96" s="482"/>
      <c r="AI96" s="482"/>
      <c r="AJ96" s="482"/>
      <c r="AK96" s="482"/>
      <c r="AL96" s="482"/>
      <c r="AM96" s="482"/>
      <c r="AN96" s="482"/>
      <c r="AO96" s="482"/>
      <c r="AP96" s="482"/>
      <c r="AQ96" s="482"/>
    </row>
    <row r="97" spans="1:43" x14ac:dyDescent="0.2">
      <c r="A97" s="482"/>
      <c r="B97" s="482"/>
      <c r="C97" s="505"/>
      <c r="D97" s="482"/>
      <c r="E97" s="482"/>
      <c r="F97" s="482"/>
      <c r="G97" s="482"/>
      <c r="H97" s="482"/>
      <c r="I97" s="482"/>
      <c r="J97" s="482"/>
      <c r="K97" s="482"/>
      <c r="L97" s="482"/>
      <c r="M97" s="482"/>
      <c r="U97" s="482"/>
      <c r="V97" s="482"/>
      <c r="W97" s="482"/>
      <c r="X97" s="482"/>
      <c r="Y97" s="482"/>
      <c r="Z97" s="482"/>
      <c r="AA97" s="482"/>
      <c r="AB97" s="482"/>
      <c r="AC97" s="482"/>
      <c r="AD97" s="482"/>
      <c r="AE97" s="482"/>
      <c r="AF97" s="482"/>
      <c r="AG97" s="482"/>
      <c r="AH97" s="482"/>
      <c r="AI97" s="482"/>
      <c r="AJ97" s="482"/>
      <c r="AK97" s="482"/>
      <c r="AL97" s="482"/>
      <c r="AM97" s="482"/>
      <c r="AN97" s="482"/>
      <c r="AO97" s="482"/>
      <c r="AP97" s="482"/>
      <c r="AQ97" s="482"/>
    </row>
    <row r="98" spans="1:43" x14ac:dyDescent="0.2">
      <c r="A98" s="482"/>
      <c r="B98" s="482"/>
      <c r="C98" s="505"/>
      <c r="D98" s="482"/>
      <c r="E98" s="482"/>
      <c r="F98" s="482"/>
      <c r="G98" s="482"/>
      <c r="H98" s="482"/>
      <c r="I98" s="482"/>
      <c r="J98" s="482"/>
      <c r="K98" s="482"/>
      <c r="L98" s="482"/>
      <c r="M98" s="482"/>
      <c r="U98" s="482"/>
      <c r="V98" s="482"/>
      <c r="W98" s="482"/>
      <c r="X98" s="482"/>
      <c r="Y98" s="482"/>
      <c r="Z98" s="482"/>
      <c r="AA98" s="482"/>
      <c r="AB98" s="482"/>
      <c r="AC98" s="482"/>
      <c r="AD98" s="482"/>
      <c r="AE98" s="482"/>
      <c r="AF98" s="482"/>
      <c r="AG98" s="482"/>
      <c r="AH98" s="482"/>
      <c r="AI98" s="482"/>
      <c r="AJ98" s="482"/>
      <c r="AK98" s="482"/>
      <c r="AL98" s="482"/>
      <c r="AM98" s="482"/>
      <c r="AN98" s="482"/>
      <c r="AO98" s="482"/>
      <c r="AP98" s="482"/>
      <c r="AQ98" s="482"/>
    </row>
    <row r="99" spans="1:43" x14ac:dyDescent="0.2">
      <c r="A99" s="482"/>
      <c r="B99" s="482"/>
      <c r="C99" s="505"/>
      <c r="D99" s="482"/>
      <c r="E99" s="482"/>
      <c r="F99" s="482"/>
      <c r="G99" s="482"/>
      <c r="H99" s="482"/>
      <c r="I99" s="482"/>
      <c r="J99" s="482"/>
      <c r="K99" s="482"/>
      <c r="L99" s="482"/>
      <c r="M99" s="482"/>
      <c r="U99" s="482"/>
      <c r="V99" s="482"/>
      <c r="W99" s="482"/>
      <c r="X99" s="482"/>
      <c r="Y99" s="482"/>
      <c r="Z99" s="482"/>
      <c r="AA99" s="482"/>
      <c r="AB99" s="482"/>
      <c r="AC99" s="482"/>
      <c r="AD99" s="482"/>
      <c r="AE99" s="482"/>
      <c r="AF99" s="482"/>
      <c r="AG99" s="482"/>
      <c r="AH99" s="482"/>
      <c r="AI99" s="482"/>
      <c r="AJ99" s="482"/>
      <c r="AK99" s="482"/>
      <c r="AL99" s="482"/>
      <c r="AM99" s="482"/>
      <c r="AN99" s="482"/>
      <c r="AO99" s="482"/>
      <c r="AP99" s="482"/>
      <c r="AQ99" s="482"/>
    </row>
    <row r="100" spans="1:43" x14ac:dyDescent="0.2">
      <c r="A100" s="482"/>
      <c r="B100" s="482"/>
      <c r="C100" s="505"/>
      <c r="D100" s="482"/>
      <c r="E100" s="482"/>
      <c r="F100" s="482"/>
      <c r="G100" s="482"/>
      <c r="H100" s="482"/>
      <c r="I100" s="482"/>
      <c r="J100" s="482"/>
      <c r="K100" s="482"/>
      <c r="L100" s="482"/>
      <c r="M100" s="482"/>
      <c r="U100" s="482"/>
      <c r="V100" s="482"/>
      <c r="W100" s="482"/>
      <c r="X100" s="482"/>
      <c r="Y100" s="482"/>
      <c r="Z100" s="482"/>
      <c r="AA100" s="482"/>
      <c r="AB100" s="482"/>
      <c r="AC100" s="482"/>
      <c r="AD100" s="482"/>
      <c r="AE100" s="482"/>
      <c r="AF100" s="482"/>
      <c r="AG100" s="482"/>
      <c r="AH100" s="482"/>
      <c r="AI100" s="482"/>
      <c r="AJ100" s="482"/>
      <c r="AK100" s="482"/>
      <c r="AL100" s="482"/>
      <c r="AM100" s="482"/>
      <c r="AN100" s="482"/>
      <c r="AO100" s="482"/>
      <c r="AP100" s="482"/>
      <c r="AQ100" s="482"/>
    </row>
    <row r="101" spans="1:43" x14ac:dyDescent="0.2">
      <c r="A101" s="482"/>
      <c r="B101" s="482"/>
      <c r="C101" s="505"/>
      <c r="D101" s="482"/>
      <c r="E101" s="482"/>
      <c r="F101" s="482"/>
      <c r="G101" s="482"/>
      <c r="H101" s="482"/>
      <c r="I101" s="482"/>
      <c r="J101" s="482"/>
      <c r="K101" s="482"/>
      <c r="L101" s="482"/>
      <c r="M101" s="482"/>
      <c r="U101" s="482"/>
      <c r="V101" s="482"/>
      <c r="W101" s="482"/>
      <c r="X101" s="482"/>
      <c r="Y101" s="482"/>
      <c r="Z101" s="482"/>
      <c r="AA101" s="482"/>
      <c r="AB101" s="482"/>
      <c r="AC101" s="482"/>
      <c r="AD101" s="482"/>
      <c r="AE101" s="482"/>
      <c r="AF101" s="482"/>
      <c r="AG101" s="482"/>
      <c r="AH101" s="482"/>
      <c r="AI101" s="482"/>
      <c r="AJ101" s="482"/>
      <c r="AK101" s="482"/>
      <c r="AL101" s="482"/>
      <c r="AM101" s="482"/>
      <c r="AN101" s="482"/>
      <c r="AO101" s="482"/>
      <c r="AP101" s="482"/>
      <c r="AQ101" s="482"/>
    </row>
    <row r="102" spans="1:43" x14ac:dyDescent="0.2">
      <c r="A102" s="482"/>
      <c r="B102" s="482"/>
      <c r="C102" s="505"/>
      <c r="D102" s="482"/>
      <c r="E102" s="482"/>
      <c r="F102" s="482"/>
      <c r="G102" s="482"/>
      <c r="H102" s="482"/>
      <c r="I102" s="482"/>
      <c r="J102" s="482"/>
      <c r="K102" s="482"/>
      <c r="L102" s="482"/>
      <c r="M102" s="482"/>
      <c r="U102" s="482"/>
      <c r="V102" s="482"/>
      <c r="W102" s="482"/>
      <c r="X102" s="482"/>
      <c r="Y102" s="482"/>
      <c r="Z102" s="482"/>
      <c r="AA102" s="482"/>
      <c r="AB102" s="482"/>
      <c r="AC102" s="482"/>
      <c r="AD102" s="482"/>
      <c r="AE102" s="482"/>
      <c r="AF102" s="482"/>
      <c r="AG102" s="482"/>
      <c r="AH102" s="482"/>
      <c r="AI102" s="482"/>
      <c r="AJ102" s="482"/>
      <c r="AK102" s="482"/>
      <c r="AL102" s="482"/>
      <c r="AM102" s="482"/>
      <c r="AN102" s="482"/>
      <c r="AO102" s="482"/>
      <c r="AP102" s="482"/>
      <c r="AQ102" s="482"/>
    </row>
    <row r="103" spans="1:43" x14ac:dyDescent="0.2">
      <c r="A103" s="482"/>
      <c r="B103" s="482"/>
      <c r="C103" s="505"/>
      <c r="D103" s="482"/>
      <c r="E103" s="482"/>
      <c r="F103" s="482"/>
      <c r="G103" s="482"/>
      <c r="H103" s="482"/>
      <c r="I103" s="482"/>
      <c r="J103" s="482"/>
      <c r="K103" s="482"/>
      <c r="L103" s="482"/>
      <c r="M103" s="482"/>
      <c r="U103" s="482"/>
      <c r="V103" s="482"/>
      <c r="W103" s="482"/>
      <c r="X103" s="482"/>
      <c r="Y103" s="482"/>
      <c r="Z103" s="482"/>
      <c r="AA103" s="482"/>
      <c r="AB103" s="482"/>
      <c r="AC103" s="482"/>
      <c r="AD103" s="482"/>
      <c r="AE103" s="482"/>
      <c r="AF103" s="482"/>
      <c r="AG103" s="482"/>
      <c r="AH103" s="482"/>
      <c r="AI103" s="482"/>
      <c r="AJ103" s="482"/>
      <c r="AK103" s="482"/>
      <c r="AL103" s="482"/>
      <c r="AM103" s="482"/>
      <c r="AN103" s="482"/>
      <c r="AO103" s="482"/>
      <c r="AP103" s="482"/>
      <c r="AQ103" s="482"/>
    </row>
    <row r="104" spans="1:43" x14ac:dyDescent="0.2">
      <c r="A104" s="482"/>
      <c r="B104" s="482"/>
      <c r="C104" s="505"/>
      <c r="D104" s="482"/>
      <c r="E104" s="482"/>
      <c r="F104" s="482"/>
      <c r="G104" s="482"/>
      <c r="H104" s="482"/>
      <c r="I104" s="482"/>
      <c r="J104" s="482"/>
      <c r="K104" s="482"/>
      <c r="L104" s="482"/>
      <c r="M104" s="482"/>
      <c r="U104" s="482"/>
      <c r="V104" s="482"/>
      <c r="W104" s="482"/>
      <c r="X104" s="482"/>
      <c r="Y104" s="482"/>
      <c r="Z104" s="482"/>
      <c r="AA104" s="482"/>
      <c r="AB104" s="482"/>
      <c r="AC104" s="482"/>
      <c r="AD104" s="482"/>
      <c r="AE104" s="482"/>
      <c r="AF104" s="482"/>
      <c r="AG104" s="482"/>
      <c r="AH104" s="482"/>
      <c r="AI104" s="482"/>
      <c r="AJ104" s="482"/>
      <c r="AK104" s="482"/>
      <c r="AL104" s="482"/>
      <c r="AM104" s="482"/>
      <c r="AN104" s="482"/>
      <c r="AO104" s="482"/>
      <c r="AP104" s="482"/>
      <c r="AQ104" s="482"/>
    </row>
    <row r="105" spans="1:43" x14ac:dyDescent="0.2">
      <c r="A105" s="482"/>
      <c r="B105" s="482"/>
      <c r="C105" s="505"/>
      <c r="D105" s="482"/>
      <c r="E105" s="482"/>
      <c r="F105" s="482"/>
      <c r="G105" s="482"/>
      <c r="H105" s="482"/>
      <c r="I105" s="482"/>
      <c r="J105" s="482"/>
      <c r="K105" s="482"/>
      <c r="L105" s="482"/>
      <c r="M105" s="482"/>
      <c r="U105" s="482"/>
      <c r="V105" s="482"/>
      <c r="W105" s="482"/>
      <c r="X105" s="482"/>
      <c r="Y105" s="482"/>
      <c r="Z105" s="482"/>
      <c r="AA105" s="482"/>
      <c r="AB105" s="482"/>
      <c r="AC105" s="482"/>
      <c r="AD105" s="482"/>
      <c r="AE105" s="482"/>
      <c r="AF105" s="482"/>
      <c r="AG105" s="482"/>
      <c r="AH105" s="482"/>
      <c r="AI105" s="482"/>
      <c r="AJ105" s="482"/>
      <c r="AK105" s="482"/>
      <c r="AL105" s="482"/>
      <c r="AM105" s="482"/>
      <c r="AN105" s="482"/>
      <c r="AO105" s="482"/>
      <c r="AP105" s="482"/>
      <c r="AQ105" s="482"/>
    </row>
    <row r="106" spans="1:43" x14ac:dyDescent="0.2">
      <c r="A106" s="482"/>
      <c r="B106" s="482"/>
      <c r="C106" s="505"/>
      <c r="D106" s="482"/>
      <c r="E106" s="482"/>
      <c r="F106" s="482"/>
      <c r="G106" s="482"/>
      <c r="H106" s="482"/>
      <c r="I106" s="482"/>
      <c r="J106" s="482"/>
      <c r="K106" s="482"/>
      <c r="L106" s="482"/>
      <c r="M106" s="482"/>
      <c r="U106" s="482"/>
      <c r="V106" s="482"/>
      <c r="W106" s="482"/>
      <c r="X106" s="482"/>
      <c r="Y106" s="482"/>
      <c r="Z106" s="482"/>
      <c r="AA106" s="482"/>
      <c r="AB106" s="482"/>
      <c r="AC106" s="482"/>
      <c r="AD106" s="482"/>
      <c r="AE106" s="482"/>
      <c r="AF106" s="482"/>
      <c r="AG106" s="482"/>
      <c r="AH106" s="482"/>
      <c r="AI106" s="482"/>
      <c r="AJ106" s="482"/>
      <c r="AK106" s="482"/>
      <c r="AL106" s="482"/>
      <c r="AM106" s="482"/>
      <c r="AN106" s="482"/>
      <c r="AO106" s="482"/>
      <c r="AP106" s="482"/>
      <c r="AQ106" s="482"/>
    </row>
    <row r="107" spans="1:43" x14ac:dyDescent="0.2">
      <c r="A107" s="482"/>
      <c r="B107" s="482"/>
      <c r="C107" s="505"/>
      <c r="D107" s="482"/>
      <c r="E107" s="482"/>
      <c r="F107" s="482"/>
      <c r="G107" s="482"/>
      <c r="H107" s="482"/>
      <c r="I107" s="482"/>
      <c r="J107" s="482"/>
      <c r="K107" s="482"/>
      <c r="L107" s="482"/>
      <c r="M107" s="482"/>
      <c r="U107" s="482"/>
      <c r="V107" s="482"/>
      <c r="W107" s="482"/>
      <c r="X107" s="482"/>
      <c r="Y107" s="482"/>
      <c r="Z107" s="482"/>
      <c r="AA107" s="482"/>
      <c r="AB107" s="482"/>
      <c r="AC107" s="482"/>
      <c r="AD107" s="482"/>
      <c r="AE107" s="482"/>
      <c r="AF107" s="482"/>
      <c r="AG107" s="482"/>
      <c r="AH107" s="482"/>
      <c r="AI107" s="482"/>
      <c r="AJ107" s="482"/>
      <c r="AK107" s="482"/>
      <c r="AL107" s="482"/>
      <c r="AM107" s="482"/>
      <c r="AN107" s="482"/>
      <c r="AO107" s="482"/>
      <c r="AP107" s="482"/>
      <c r="AQ107" s="482"/>
    </row>
    <row r="108" spans="1:43" x14ac:dyDescent="0.2">
      <c r="A108" s="482"/>
      <c r="B108" s="482"/>
      <c r="C108" s="505"/>
      <c r="D108" s="482"/>
      <c r="E108" s="482"/>
      <c r="F108" s="482"/>
      <c r="G108" s="482"/>
      <c r="H108" s="482"/>
      <c r="I108" s="482"/>
      <c r="J108" s="482"/>
      <c r="K108" s="482"/>
      <c r="L108" s="482"/>
      <c r="M108" s="482"/>
      <c r="U108" s="482"/>
      <c r="V108" s="482"/>
      <c r="W108" s="482"/>
      <c r="X108" s="482"/>
      <c r="Y108" s="482"/>
      <c r="Z108" s="482"/>
      <c r="AA108" s="482"/>
      <c r="AB108" s="482"/>
      <c r="AC108" s="482"/>
      <c r="AD108" s="482"/>
      <c r="AE108" s="482"/>
      <c r="AF108" s="482"/>
      <c r="AG108" s="482"/>
      <c r="AH108" s="482"/>
      <c r="AI108" s="482"/>
      <c r="AJ108" s="482"/>
      <c r="AK108" s="482"/>
      <c r="AL108" s="482"/>
      <c r="AM108" s="482"/>
      <c r="AN108" s="482"/>
      <c r="AO108" s="482"/>
      <c r="AP108" s="482"/>
      <c r="AQ108" s="482"/>
    </row>
  </sheetData>
  <mergeCells count="9">
    <mergeCell ref="O17:Q17"/>
    <mergeCell ref="S17:U17"/>
    <mergeCell ref="H58:M58"/>
    <mergeCell ref="B58:B59"/>
    <mergeCell ref="C58:C59"/>
    <mergeCell ref="D58:D59"/>
    <mergeCell ref="E58:E59"/>
    <mergeCell ref="F58:F59"/>
    <mergeCell ref="G58:G59"/>
  </mergeCells>
  <conditionalFormatting sqref="C12:C13">
    <cfRule type="cellIs" dxfId="8" priority="1" operator="lessThan">
      <formula>0</formula>
    </cfRule>
  </conditionalFormatting>
  <pageMargins left="0.75" right="0.75" top="1" bottom="1" header="0.5" footer="0.5"/>
  <pageSetup paperSize="9" scale="63"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1D41-1A7C-4BE7-AAC7-BB06ED0AAFB1}">
  <sheetPr>
    <tabColor rgb="FF0000FF"/>
  </sheetPr>
  <dimension ref="E3:R150"/>
  <sheetViews>
    <sheetView topLeftCell="D1" zoomScaleNormal="100" workbookViewId="0">
      <selection activeCell="P27" sqref="P27"/>
    </sheetView>
  </sheetViews>
  <sheetFormatPr defaultColWidth="9.109375" defaultRowHeight="11.4" x14ac:dyDescent="0.2"/>
  <cols>
    <col min="1" max="4" width="9.109375" style="590"/>
    <col min="5" max="5" width="3.109375" style="590" customWidth="1"/>
    <col min="6" max="6" width="33.44140625" style="590" customWidth="1"/>
    <col min="7" max="16" width="10.88671875" style="590" customWidth="1"/>
    <col min="17" max="17" width="10" style="590" bestFit="1" customWidth="1"/>
    <col min="18" max="16384" width="9.109375" style="590"/>
  </cols>
  <sheetData>
    <row r="3" spans="5:17" ht="12" x14ac:dyDescent="0.25">
      <c r="E3" s="591" t="s">
        <v>749</v>
      </c>
      <c r="F3" s="591"/>
      <c r="G3" s="591"/>
      <c r="H3" s="591"/>
      <c r="I3" s="591"/>
      <c r="J3" s="591"/>
      <c r="K3" s="591"/>
      <c r="L3" s="591"/>
      <c r="M3" s="591"/>
      <c r="N3" s="591"/>
      <c r="O3" s="591"/>
      <c r="P3" s="591"/>
      <c r="Q3" s="591"/>
    </row>
    <row r="4" spans="5:17" ht="12" x14ac:dyDescent="0.25">
      <c r="E4" s="592" t="s">
        <v>1205</v>
      </c>
      <c r="F4" s="592"/>
      <c r="G4" s="598">
        <v>2021</v>
      </c>
      <c r="H4" s="598">
        <v>2022</v>
      </c>
      <c r="I4" s="598">
        <v>2023</v>
      </c>
      <c r="J4" s="598">
        <v>2024</v>
      </c>
      <c r="K4" s="598">
        <v>2025</v>
      </c>
      <c r="L4" s="598">
        <v>2026</v>
      </c>
      <c r="M4" s="598">
        <v>2027</v>
      </c>
      <c r="N4" s="598">
        <v>2028</v>
      </c>
      <c r="O4" s="598">
        <v>2029</v>
      </c>
      <c r="P4" s="598">
        <v>2030</v>
      </c>
      <c r="Q4" s="598" t="s">
        <v>750</v>
      </c>
    </row>
    <row r="5" spans="5:17" x14ac:dyDescent="0.2">
      <c r="E5" s="593" t="s">
        <v>10</v>
      </c>
      <c r="F5" s="593"/>
      <c r="G5" s="599">
        <f>'Val - Income Approach'!S39</f>
        <v>583515.59155405359</v>
      </c>
      <c r="H5" s="599">
        <f>'Val - Income Approach'!T39</f>
        <v>685344.872080573</v>
      </c>
      <c r="I5" s="599">
        <f>'Val - Income Approach'!U39</f>
        <v>812190.4820599329</v>
      </c>
      <c r="J5" s="599">
        <f>'Val - Income Approach'!V39</f>
        <v>971824.79453884356</v>
      </c>
      <c r="K5" s="599">
        <f>'Val - Income Approach'!W39</f>
        <v>1174742.6343971477</v>
      </c>
      <c r="L5" s="599">
        <f>'Val - Income Approach'!X39</f>
        <v>1435162.002211099</v>
      </c>
      <c r="M5" s="599">
        <f>'Val - Income Approach'!Y39</f>
        <v>1772399.071436577</v>
      </c>
      <c r="N5" s="599">
        <f>'Val - Income Approach'!Z39</f>
        <v>2212758.2734427336</v>
      </c>
      <c r="O5" s="599">
        <f>'Val - Income Approach'!AA39</f>
        <v>2792131.3709527845</v>
      </c>
      <c r="P5" s="599">
        <f>'Val - Income Approach'!AB39</f>
        <v>3559572.5330697442</v>
      </c>
      <c r="Q5" s="599"/>
    </row>
    <row r="6" spans="5:17" x14ac:dyDescent="0.2">
      <c r="E6" s="593" t="s">
        <v>12</v>
      </c>
      <c r="F6" s="593"/>
      <c r="G6" s="599">
        <f>'Val - Income Approach'!S41</f>
        <v>80488.744347983229</v>
      </c>
      <c r="H6" s="599">
        <f>'Val - Income Approach'!T41</f>
        <v>94534.831626661995</v>
      </c>
      <c r="I6" s="599">
        <f>'Val - Income Approach'!U41</f>
        <v>112031.61152606754</v>
      </c>
      <c r="J6" s="599">
        <f>'Val - Income Approach'!V41</f>
        <v>111955.31961184702</v>
      </c>
      <c r="K6" s="599">
        <f>'Val - Income Approach'!W41</f>
        <v>158826.5378174677</v>
      </c>
      <c r="L6" s="599">
        <f>'Val - Income Approach'!X41</f>
        <v>194035.53199152311</v>
      </c>
      <c r="M6" s="599">
        <f>'Val - Income Approach'!Y41</f>
        <v>239630.36660504621</v>
      </c>
      <c r="N6" s="599">
        <f>'Val - Income Approach'!Z41</f>
        <v>321295.01337613614</v>
      </c>
      <c r="O6" s="599">
        <f>'Val - Income Approach'!AA41</f>
        <v>405420.6448779644</v>
      </c>
      <c r="P6" s="599">
        <f>'Val - Income Approach'!AB41</f>
        <v>516853.97286825185</v>
      </c>
      <c r="Q6" s="599"/>
    </row>
    <row r="7" spans="5:17" ht="12" x14ac:dyDescent="0.25">
      <c r="E7" s="594" t="s">
        <v>558</v>
      </c>
      <c r="F7" s="593"/>
      <c r="G7" s="599"/>
      <c r="H7" s="599"/>
      <c r="I7" s="599"/>
      <c r="J7" s="599"/>
      <c r="K7" s="599"/>
      <c r="L7" s="599"/>
      <c r="M7" s="599"/>
      <c r="N7" s="599"/>
      <c r="O7" s="599"/>
      <c r="P7" s="599"/>
      <c r="Q7" s="599"/>
    </row>
    <row r="8" spans="5:17" x14ac:dyDescent="0.2">
      <c r="E8" s="593"/>
      <c r="F8" s="593" t="s">
        <v>456</v>
      </c>
      <c r="G8" s="599">
        <f>'Val - Income Approach'!S44</f>
        <v>-20763.707431892821</v>
      </c>
      <c r="H8" s="599">
        <f>'Val - Income Approach'!T44</f>
        <v>-17410.632798677063</v>
      </c>
      <c r="I8" s="599">
        <f>'Val - Income Approach'!U44</f>
        <v>-21687.891007927654</v>
      </c>
      <c r="J8" s="599">
        <f>'Val - Income Approach'!V44</f>
        <v>-27294.059059130464</v>
      </c>
      <c r="K8" s="599">
        <f>'Val - Income Approach'!W44</f>
        <v>-34694.6180882974</v>
      </c>
      <c r="L8" s="599">
        <f>'Val - Income Approach'!X44</f>
        <v>-44526.151645464299</v>
      </c>
      <c r="M8" s="599">
        <f>'Val - Income Approach'!Y44</f>
        <v>-57660.338441237633</v>
      </c>
      <c r="N8" s="599">
        <f>'Val - Income Approach'!Z44</f>
        <v>-75292.021371504699</v>
      </c>
      <c r="O8" s="599">
        <f>'Val - Income Approach'!AA44</f>
        <v>-99060.429397344065</v>
      </c>
      <c r="P8" s="599">
        <f>'Val - Income Approach'!AB44</f>
        <v>-131216.05297730264</v>
      </c>
      <c r="Q8" s="599"/>
    </row>
    <row r="9" spans="5:17" x14ac:dyDescent="0.2">
      <c r="E9" s="593"/>
      <c r="F9" s="593" t="s">
        <v>1002</v>
      </c>
      <c r="G9" s="599">
        <f>'Val - Income Approach'!S45</f>
        <v>-3170.469480253847</v>
      </c>
      <c r="H9" s="599">
        <f>'Val - Income Approach'!T45</f>
        <v>-2923.9962509215184</v>
      </c>
      <c r="I9" s="599">
        <f>'Val - Income Approach'!U45</f>
        <v>-3642.3324028976931</v>
      </c>
      <c r="J9" s="599">
        <f>'Val - Income Approach'!V45</f>
        <v>-4583.8498395872302</v>
      </c>
      <c r="K9" s="599">
        <f>'Val - Income Approach'!W45</f>
        <v>-5826.722922158453</v>
      </c>
      <c r="L9" s="599">
        <f>'Val - Income Approach'!X45</f>
        <v>-7477.8614875613857</v>
      </c>
      <c r="M9" s="599">
        <f>'Val - Income Approach'!Y45</f>
        <v>-9683.6579909867141</v>
      </c>
      <c r="N9" s="599">
        <f>'Val - Income Approach'!Z45</f>
        <v>-12644.778093953639</v>
      </c>
      <c r="O9" s="599">
        <f>'Val - Income Approach'!AA45</f>
        <v>-16636.519046827438</v>
      </c>
      <c r="P9" s="599">
        <f>'Val - Income Approach'!AB45</f>
        <v>-22036.835272035911</v>
      </c>
      <c r="Q9" s="599"/>
    </row>
    <row r="10" spans="5:17" x14ac:dyDescent="0.2">
      <c r="E10" s="593"/>
      <c r="F10" s="593" t="s">
        <v>837</v>
      </c>
      <c r="G10" s="599">
        <f>'Val - Income Approach'!S46</f>
        <v>-2219.3277417490972</v>
      </c>
      <c r="H10" s="599">
        <f>'Val - Income Approach'!T46</f>
        <v>-2587.3418099622977</v>
      </c>
      <c r="I10" s="599">
        <f>'Val - Income Approach'!U46</f>
        <v>-3222.9722965026485</v>
      </c>
      <c r="J10" s="599">
        <f>'Val - Income Approach'!V46</f>
        <v>-4056.0880804191329</v>
      </c>
      <c r="K10" s="599">
        <f>'Val - Income Approach'!W46</f>
        <v>-5155.8629142616192</v>
      </c>
      <c r="L10" s="599">
        <f>'Val - Income Approach'!X46</f>
        <v>-6616.8975660542928</v>
      </c>
      <c r="M10" s="599">
        <f>'Val - Income Approach'!Y46</f>
        <v>-8568.7295890202367</v>
      </c>
      <c r="N10" s="599">
        <f>'Val - Income Approach'!Z46</f>
        <v>-11188.920994639047</v>
      </c>
      <c r="O10" s="599">
        <f>'Val - Income Approach'!AA46</f>
        <v>-14721.072671869901</v>
      </c>
      <c r="P10" s="599">
        <f>'Val - Income Approach'!AB46</f>
        <v>-19499.623243573296</v>
      </c>
      <c r="Q10" s="599"/>
    </row>
    <row r="11" spans="5:17" x14ac:dyDescent="0.2">
      <c r="E11" s="593"/>
      <c r="F11" s="593" t="s">
        <v>842</v>
      </c>
      <c r="G11" s="599">
        <f>'Val - Income Approach'!S47</f>
        <v>98.820465714514285</v>
      </c>
      <c r="H11" s="599">
        <f>'Val - Income Approach'!T47</f>
        <v>-5288.5555636732715</v>
      </c>
      <c r="I11" s="599">
        <f>'Val - Income Approach'!U47</f>
        <v>-6587.7913790146995</v>
      </c>
      <c r="J11" s="599">
        <f>'Val - Income Approach'!V47</f>
        <v>-8290.6893483710446</v>
      </c>
      <c r="K11" s="599">
        <f>'Val - Income Approach'!W47</f>
        <v>-10538.641394718659</v>
      </c>
      <c r="L11" s="599">
        <f>'Val - Income Approach'!X47</f>
        <v>-13525.012544717669</v>
      </c>
      <c r="M11" s="599">
        <f>'Val - Income Approach'!Y47</f>
        <v>-17514.579004265805</v>
      </c>
      <c r="N11" s="599">
        <f>'Val - Income Approach'!Z47</f>
        <v>-22870.279508435458</v>
      </c>
      <c r="O11" s="599">
        <f>'Val - Income Approach'!AA47</f>
        <v>-30090.036995610804</v>
      </c>
      <c r="P11" s="599">
        <f>'Val - Income Approach'!AB47</f>
        <v>-39857.447747050843</v>
      </c>
      <c r="Q11" s="599"/>
    </row>
    <row r="12" spans="5:17" x14ac:dyDescent="0.2">
      <c r="E12" s="593"/>
      <c r="F12" s="593" t="s">
        <v>450</v>
      </c>
      <c r="G12" s="599">
        <f>'Val - Income Approach'!S48</f>
        <v>8143.759258446029</v>
      </c>
      <c r="H12" s="599">
        <f>'Val - Income Approach'!T48</f>
        <v>8846.3912154323916</v>
      </c>
      <c r="I12" s="599">
        <f>'Val - Income Approach'!U48</f>
        <v>11019.678073295792</v>
      </c>
      <c r="J12" s="599">
        <f>'Val - Income Approach'!V48</f>
        <v>13868.187738272871</v>
      </c>
      <c r="K12" s="599">
        <f>'Val - Income Approach'!W48</f>
        <v>17628.432477331735</v>
      </c>
      <c r="L12" s="599">
        <f>'Val - Income Approach'!X48</f>
        <v>22623.862172509631</v>
      </c>
      <c r="M12" s="599">
        <f>'Val - Income Approach'!Y48</f>
        <v>29297.379214394852</v>
      </c>
      <c r="N12" s="599">
        <f>'Val - Income Approach'!Z48</f>
        <v>38256.086619875045</v>
      </c>
      <c r="O12" s="599">
        <f>'Val - Income Approach'!AA48</f>
        <v>50332.881208327599</v>
      </c>
      <c r="P12" s="599">
        <f>'Val - Income Approach'!AB48</f>
        <v>66671.243475442374</v>
      </c>
      <c r="Q12" s="599"/>
    </row>
    <row r="13" spans="5:17" x14ac:dyDescent="0.2">
      <c r="E13" s="593"/>
      <c r="F13" s="593" t="s">
        <v>862</v>
      </c>
      <c r="G13" s="599">
        <f>'Val - Income Approach'!S49</f>
        <v>81411.767197021429</v>
      </c>
      <c r="H13" s="599">
        <f>'Val - Income Approach'!T49</f>
        <v>-29019.981939485333</v>
      </c>
      <c r="I13" s="599">
        <f>'Val - Income Approach'!U49</f>
        <v>26153.2831933079</v>
      </c>
      <c r="J13" s="599">
        <f>'Val - Income Approach'!V49</f>
        <v>32913.72387510533</v>
      </c>
      <c r="K13" s="599">
        <f>'Val - Income Approach'!W49</f>
        <v>41838.00867568118</v>
      </c>
      <c r="L13" s="599">
        <f>'Val - Income Approach'!X49</f>
        <v>53693.789454508747</v>
      </c>
      <c r="M13" s="599">
        <f>'Val - Income Approach'!Y49</f>
        <v>69532.217758030878</v>
      </c>
      <c r="N13" s="599">
        <f>'Val - Income Approach'!Z49</f>
        <v>90794.146669483482</v>
      </c>
      <c r="O13" s="599">
        <f>'Val - Income Approach'!AA49</f>
        <v>119456.31146580435</v>
      </c>
      <c r="P13" s="599">
        <f>'Val - Income Approach'!AB49</f>
        <v>158232.56358901275</v>
      </c>
      <c r="Q13" s="599"/>
    </row>
    <row r="14" spans="5:17" x14ac:dyDescent="0.2">
      <c r="E14" s="593"/>
      <c r="F14" s="593" t="s">
        <v>882</v>
      </c>
      <c r="G14" s="599">
        <f>'Val - Income Approach'!S50</f>
        <v>31.895232956409018</v>
      </c>
      <c r="H14" s="599">
        <f>'Val - Income Approach'!T50</f>
        <v>3503.2690947862029</v>
      </c>
      <c r="I14" s="599">
        <f>'Val - Income Approach'!U50</f>
        <v>4363.914808710324</v>
      </c>
      <c r="J14" s="599">
        <f>'Val - Income Approach'!V50</f>
        <v>5491.9562475860512</v>
      </c>
      <c r="K14" s="599">
        <f>'Val - Income Approach'!W50</f>
        <v>6981.0548938449938</v>
      </c>
      <c r="L14" s="599">
        <f>'Val - Income Approach'!X50</f>
        <v>8959.3004902826651</v>
      </c>
      <c r="M14" s="599">
        <f>'Val - Income Approach'!Y50</f>
        <v>11602.087298713777</v>
      </c>
      <c r="N14" s="599">
        <f>'Val - Income Approach'!Z50</f>
        <v>15149.834851196043</v>
      </c>
      <c r="O14" s="599">
        <f>'Val - Income Approach'!AA50</f>
        <v>19932.379531336468</v>
      </c>
      <c r="P14" s="599">
        <f>'Val - Income Approach'!AB50</f>
        <v>26402.552305286823</v>
      </c>
      <c r="Q14" s="599"/>
    </row>
    <row r="15" spans="5:17" x14ac:dyDescent="0.2">
      <c r="E15" s="593"/>
      <c r="F15" s="593" t="s">
        <v>931</v>
      </c>
      <c r="G15" s="599" t="e">
        <f>'Val - Income Approach'!S51</f>
        <v>#NAME?</v>
      </c>
      <c r="H15" s="599" t="e">
        <f>'Val - Income Approach'!T51</f>
        <v>#NAME?</v>
      </c>
      <c r="I15" s="599" t="e">
        <f>'Val - Income Approach'!U51</f>
        <v>#NAME?</v>
      </c>
      <c r="J15" s="599" t="e">
        <f>'Val - Income Approach'!V51</f>
        <v>#NAME?</v>
      </c>
      <c r="K15" s="599" t="e">
        <f>'Val - Income Approach'!W51</f>
        <v>#NAME?</v>
      </c>
      <c r="L15" s="599" t="e">
        <f>'Val - Income Approach'!X51</f>
        <v>#NAME?</v>
      </c>
      <c r="M15" s="599" t="e">
        <f>'Val - Income Approach'!Y51</f>
        <v>#NAME?</v>
      </c>
      <c r="N15" s="599" t="e">
        <f>'Val - Income Approach'!Z51</f>
        <v>#NAME?</v>
      </c>
      <c r="O15" s="599" t="e">
        <f>'Val - Income Approach'!AA51</f>
        <v>#NAME?</v>
      </c>
      <c r="P15" s="599" t="e">
        <f>'Val - Income Approach'!AB51</f>
        <v>#NAME?</v>
      </c>
      <c r="Q15" s="599"/>
    </row>
    <row r="16" spans="5:17" x14ac:dyDescent="0.2">
      <c r="E16" s="593" t="s">
        <v>559</v>
      </c>
      <c r="F16" s="593"/>
      <c r="G16" s="599" t="e">
        <f>'Val - Income Approach'!S52</f>
        <v>#NAME?</v>
      </c>
      <c r="H16" s="599" t="e">
        <f>'Val - Income Approach'!T52</f>
        <v>#NAME?</v>
      </c>
      <c r="I16" s="599" t="e">
        <f>'Val - Income Approach'!U52</f>
        <v>#NAME?</v>
      </c>
      <c r="J16" s="599" t="e">
        <f>'Val - Income Approach'!V52</f>
        <v>#NAME?</v>
      </c>
      <c r="K16" s="599" t="e">
        <f>'Val - Income Approach'!W52</f>
        <v>#NAME?</v>
      </c>
      <c r="L16" s="599" t="e">
        <f>'Val - Income Approach'!X52</f>
        <v>#NAME?</v>
      </c>
      <c r="M16" s="599" t="e">
        <f>'Val - Income Approach'!Y52</f>
        <v>#NAME?</v>
      </c>
      <c r="N16" s="599" t="e">
        <f>'Val - Income Approach'!Z52</f>
        <v>#NAME?</v>
      </c>
      <c r="O16" s="599" t="e">
        <f>'Val - Income Approach'!AA52</f>
        <v>#NAME?</v>
      </c>
      <c r="P16" s="599" t="e">
        <f>'Val - Income Approach'!AB52</f>
        <v>#NAME?</v>
      </c>
      <c r="Q16" s="599"/>
    </row>
    <row r="17" spans="5:18" ht="12" x14ac:dyDescent="0.25">
      <c r="E17" s="594" t="s">
        <v>560</v>
      </c>
      <c r="F17" s="594"/>
      <c r="G17" s="600" t="e">
        <f>'Val - Income Approach'!S54</f>
        <v>#NAME?</v>
      </c>
      <c r="H17" s="600" t="e">
        <f>'Val - Income Approach'!T54</f>
        <v>#NAME?</v>
      </c>
      <c r="I17" s="600" t="e">
        <f>'Val - Income Approach'!U54</f>
        <v>#NAME?</v>
      </c>
      <c r="J17" s="600" t="e">
        <f>'Val - Income Approach'!V54</f>
        <v>#NAME?</v>
      </c>
      <c r="K17" s="600" t="e">
        <f>'Val - Income Approach'!W54</f>
        <v>#NAME?</v>
      </c>
      <c r="L17" s="600" t="e">
        <f>'Val - Income Approach'!X54</f>
        <v>#NAME?</v>
      </c>
      <c r="M17" s="600" t="e">
        <f>'Val - Income Approach'!Y54</f>
        <v>#NAME?</v>
      </c>
      <c r="N17" s="600" t="e">
        <f>'Val - Income Approach'!Z54</f>
        <v>#NAME?</v>
      </c>
      <c r="O17" s="600" t="e">
        <f>'Val - Income Approach'!AA54</f>
        <v>#NAME?</v>
      </c>
      <c r="P17" s="600" t="e">
        <f>'Val - Income Approach'!AB54</f>
        <v>#NAME?</v>
      </c>
      <c r="Q17" s="600"/>
    </row>
    <row r="18" spans="5:18" x14ac:dyDescent="0.2">
      <c r="E18" s="593" t="s">
        <v>561</v>
      </c>
      <c r="F18" s="593"/>
      <c r="G18" s="599">
        <f>'Val - Income Approach'!S56</f>
        <v>-50000</v>
      </c>
      <c r="H18" s="599">
        <f>'Val - Income Approach'!T56</f>
        <v>-50000</v>
      </c>
      <c r="I18" s="599">
        <f>'Val - Income Approach'!U56</f>
        <v>-50000</v>
      </c>
      <c r="J18" s="599">
        <f>'Val - Income Approach'!V56</f>
        <v>-50000</v>
      </c>
      <c r="K18" s="599">
        <f>'Val - Income Approach'!W56</f>
        <v>-50000</v>
      </c>
      <c r="L18" s="599">
        <f>'Val - Income Approach'!X56</f>
        <v>-50000</v>
      </c>
      <c r="M18" s="599">
        <f>'Val - Income Approach'!Y56</f>
        <v>-50000</v>
      </c>
      <c r="N18" s="599">
        <f>'Val - Income Approach'!Z56</f>
        <v>-50000</v>
      </c>
      <c r="O18" s="599">
        <f>'Val - Income Approach'!AA56</f>
        <v>-50000</v>
      </c>
      <c r="P18" s="599">
        <f>'Val - Income Approach'!AB56</f>
        <v>-50000</v>
      </c>
      <c r="Q18" s="599"/>
    </row>
    <row r="19" spans="5:18" x14ac:dyDescent="0.2">
      <c r="E19" s="593" t="s">
        <v>1144</v>
      </c>
      <c r="F19" s="593"/>
      <c r="G19" s="599">
        <f>'Val - Income Approach'!S57</f>
        <v>-10000</v>
      </c>
      <c r="H19" s="599">
        <f>'Val - Income Approach'!T57</f>
        <v>-5000</v>
      </c>
      <c r="I19" s="599">
        <f>'Val - Income Approach'!U57</f>
        <v>-5000</v>
      </c>
      <c r="J19" s="599">
        <f>'Val - Income Approach'!V57</f>
        <v>-5000</v>
      </c>
      <c r="K19" s="599">
        <f>'Val - Income Approach'!W57</f>
        <v>-5000</v>
      </c>
      <c r="L19" s="599">
        <f>'Val - Income Approach'!X57</f>
        <v>-5000</v>
      </c>
      <c r="M19" s="599">
        <f>'Val - Income Approach'!Y57</f>
        <v>-5000</v>
      </c>
      <c r="N19" s="599">
        <f>'Val - Income Approach'!Z57</f>
        <v>-5000</v>
      </c>
      <c r="O19" s="599">
        <f>'Val - Income Approach'!AA57</f>
        <v>-5000</v>
      </c>
      <c r="P19" s="599">
        <f>'Val - Income Approach'!AB57</f>
        <v>-5000</v>
      </c>
      <c r="Q19" s="599"/>
    </row>
    <row r="20" spans="5:18" ht="12" x14ac:dyDescent="0.25">
      <c r="E20" s="596" t="s">
        <v>562</v>
      </c>
      <c r="F20" s="596"/>
      <c r="G20" s="601" t="e">
        <f>'Val - Income Approach'!S59</f>
        <v>#NAME?</v>
      </c>
      <c r="H20" s="601" t="e">
        <f>'Val - Income Approach'!T59</f>
        <v>#NAME?</v>
      </c>
      <c r="I20" s="601" t="e">
        <f>'Val - Income Approach'!U59</f>
        <v>#NAME?</v>
      </c>
      <c r="J20" s="601" t="e">
        <f>'Val - Income Approach'!V59</f>
        <v>#NAME?</v>
      </c>
      <c r="K20" s="601" t="e">
        <f>'Val - Income Approach'!W59</f>
        <v>#NAME?</v>
      </c>
      <c r="L20" s="601" t="e">
        <f>'Val - Income Approach'!X59</f>
        <v>#NAME?</v>
      </c>
      <c r="M20" s="601" t="e">
        <f>'Val - Income Approach'!Y59</f>
        <v>#NAME?</v>
      </c>
      <c r="N20" s="601" t="e">
        <f>'Val - Income Approach'!Z59</f>
        <v>#NAME?</v>
      </c>
      <c r="O20" s="601" t="e">
        <f>'Val - Income Approach'!AA59</f>
        <v>#NAME?</v>
      </c>
      <c r="P20" s="601" t="e">
        <f>'Val - Income Approach'!AB59</f>
        <v>#NAME?</v>
      </c>
      <c r="Q20" s="601">
        <f>'Val - Income Approach'!W69</f>
        <v>0</v>
      </c>
    </row>
    <row r="21" spans="5:18" x14ac:dyDescent="0.2">
      <c r="E21" s="593"/>
      <c r="F21" s="593"/>
      <c r="G21" s="599"/>
      <c r="H21" s="599"/>
      <c r="I21" s="599"/>
      <c r="J21" s="599"/>
      <c r="K21" s="599"/>
      <c r="L21" s="599"/>
      <c r="M21" s="599"/>
      <c r="N21" s="599"/>
      <c r="O21" s="599"/>
      <c r="P21" s="599"/>
      <c r="Q21" s="599"/>
    </row>
    <row r="22" spans="5:18" x14ac:dyDescent="0.2">
      <c r="E22" s="593" t="s">
        <v>563</v>
      </c>
      <c r="F22" s="593"/>
      <c r="G22" s="602">
        <f>'Val - Income Approach'!S61</f>
        <v>0.92466014963167875</v>
      </c>
      <c r="H22" s="602">
        <f>'Val - Income Approach'!T61</f>
        <v>0.85499639231687863</v>
      </c>
      <c r="I22" s="602">
        <f>'Val - Income Approach'!U61</f>
        <v>0.79058109205427052</v>
      </c>
      <c r="J22" s="602">
        <f>'Val - Income Approach'!V61</f>
        <v>0.73101883087487785</v>
      </c>
      <c r="K22" s="602">
        <f>'Val - Income Approach'!W61</f>
        <v>0.6759439815403393</v>
      </c>
      <c r="L22" s="602">
        <f>'Val - Income Approach'!X61</f>
        <v>0.625018463113723</v>
      </c>
      <c r="M22" s="602">
        <f>'Val - Income Approach'!Y61</f>
        <v>0.57792966562529691</v>
      </c>
      <c r="N22" s="602">
        <f>'Val - Income Approach'!Z61</f>
        <v>0.53438853109367312</v>
      </c>
      <c r="O22" s="602">
        <f>'Val - Income Approach'!AA61</f>
        <v>0.49412777912252887</v>
      </c>
      <c r="P22" s="602">
        <f>'Val - Income Approach'!AB61</f>
        <v>0.4569002661806067</v>
      </c>
      <c r="Q22" s="602">
        <f>P22</f>
        <v>0.4569002661806067</v>
      </c>
    </row>
    <row r="23" spans="5:18" ht="12.6" thickBot="1" x14ac:dyDescent="0.3">
      <c r="E23" s="595" t="s">
        <v>564</v>
      </c>
      <c r="F23" s="595"/>
      <c r="G23" s="603" t="e">
        <f>'Val - Income Approach'!S62</f>
        <v>#NAME?</v>
      </c>
      <c r="H23" s="603" t="e">
        <f>'Val - Income Approach'!T62</f>
        <v>#NAME?</v>
      </c>
      <c r="I23" s="603" t="e">
        <f>'Val - Income Approach'!U62</f>
        <v>#NAME?</v>
      </c>
      <c r="J23" s="603" t="e">
        <f>'Val - Income Approach'!V62</f>
        <v>#NAME?</v>
      </c>
      <c r="K23" s="603" t="e">
        <f>'Val - Income Approach'!W62</f>
        <v>#NAME?</v>
      </c>
      <c r="L23" s="603" t="e">
        <f>'Val - Income Approach'!X62</f>
        <v>#NAME?</v>
      </c>
      <c r="M23" s="603" t="e">
        <f>'Val - Income Approach'!Y62</f>
        <v>#NAME?</v>
      </c>
      <c r="N23" s="603" t="e">
        <f>'Val - Income Approach'!Z62</f>
        <v>#NAME?</v>
      </c>
      <c r="O23" s="603" t="e">
        <f>'Val - Income Approach'!AA62</f>
        <v>#NAME?</v>
      </c>
      <c r="P23" s="603" t="e">
        <f>'Val - Income Approach'!AB62</f>
        <v>#NAME?</v>
      </c>
      <c r="Q23" s="603" t="e">
        <f>'Val - Income Approach'!AB71</f>
        <v>#NAME?</v>
      </c>
    </row>
    <row r="24" spans="5:18" ht="12" thickTop="1" x14ac:dyDescent="0.2"/>
    <row r="25" spans="5:18" x14ac:dyDescent="0.2">
      <c r="E25" s="593" t="s">
        <v>549</v>
      </c>
      <c r="F25" s="593"/>
      <c r="G25" s="608">
        <f>'Val - Income Approach'!Q25</f>
        <v>8.1478422529976599E-2</v>
      </c>
      <c r="H25" s="604"/>
      <c r="I25" s="604"/>
      <c r="J25" s="604"/>
      <c r="K25" s="604"/>
      <c r="L25" s="604"/>
      <c r="M25" s="604"/>
      <c r="N25" s="604"/>
      <c r="O25" s="604"/>
      <c r="P25" s="604"/>
      <c r="Q25" s="604"/>
      <c r="R25" s="605"/>
    </row>
    <row r="26" spans="5:18" x14ac:dyDescent="0.2">
      <c r="E26" s="593" t="s">
        <v>751</v>
      </c>
      <c r="F26" s="593"/>
      <c r="G26" s="608">
        <f>'Val - Income Approach'!Q32</f>
        <v>0.01</v>
      </c>
      <c r="H26" s="604"/>
      <c r="I26" s="604"/>
      <c r="J26" s="604"/>
      <c r="K26" s="604"/>
      <c r="L26" s="604"/>
      <c r="M26" s="604"/>
      <c r="N26" s="604"/>
      <c r="O26" s="604"/>
      <c r="P26" s="604"/>
      <c r="Q26" s="604"/>
      <c r="R26" s="605"/>
    </row>
    <row r="27" spans="5:18" ht="12" x14ac:dyDescent="0.25">
      <c r="E27" s="594" t="s">
        <v>590</v>
      </c>
      <c r="F27" s="594"/>
      <c r="G27" s="609" t="e">
        <f>'Val - Income Approach'!R78</f>
        <v>#NAME?</v>
      </c>
      <c r="H27" s="600"/>
      <c r="I27" s="600"/>
      <c r="J27" s="600"/>
      <c r="K27" s="600"/>
      <c r="L27" s="600"/>
      <c r="M27" s="600"/>
      <c r="N27" s="600"/>
      <c r="O27" s="600"/>
      <c r="P27" s="600"/>
      <c r="Q27" s="600"/>
      <c r="R27" s="605"/>
    </row>
    <row r="28" spans="5:18" x14ac:dyDescent="0.2">
      <c r="E28" s="593" t="s">
        <v>63</v>
      </c>
      <c r="F28" s="593"/>
      <c r="G28" s="610">
        <f>'Val - Income Approach'!R84</f>
        <v>-69385</v>
      </c>
      <c r="H28" s="599"/>
      <c r="I28" s="599"/>
      <c r="J28" s="599"/>
      <c r="K28" s="599"/>
      <c r="L28" s="599"/>
      <c r="M28" s="599"/>
      <c r="N28" s="599"/>
      <c r="O28" s="599"/>
      <c r="P28" s="599"/>
      <c r="Q28" s="599"/>
      <c r="R28" s="605"/>
    </row>
    <row r="29" spans="5:18" x14ac:dyDescent="0.2">
      <c r="E29" s="593" t="s">
        <v>296</v>
      </c>
      <c r="F29" s="593"/>
      <c r="G29" s="610">
        <f>'Val - Income Approach'!R86</f>
        <v>129258</v>
      </c>
      <c r="H29" s="599"/>
      <c r="I29" s="599"/>
      <c r="J29" s="599"/>
      <c r="K29" s="599"/>
      <c r="L29" s="599"/>
      <c r="M29" s="599"/>
      <c r="N29" s="599"/>
      <c r="O29" s="599"/>
      <c r="P29" s="599"/>
      <c r="Q29" s="599"/>
      <c r="R29" s="605"/>
    </row>
    <row r="30" spans="5:18" ht="12.6" thickBot="1" x14ac:dyDescent="0.3">
      <c r="E30" s="606" t="s">
        <v>699</v>
      </c>
      <c r="F30" s="606"/>
      <c r="G30" s="611" t="e">
        <f>'Val - Income Approach'!R88</f>
        <v>#NAME?</v>
      </c>
      <c r="H30" s="607"/>
      <c r="I30" s="607"/>
      <c r="J30" s="607"/>
      <c r="K30" s="607"/>
      <c r="L30" s="607"/>
      <c r="M30" s="607"/>
      <c r="N30" s="607"/>
      <c r="O30" s="607"/>
      <c r="P30" s="607"/>
      <c r="Q30" s="607"/>
      <c r="R30" s="605"/>
    </row>
    <row r="31" spans="5:18" x14ac:dyDescent="0.2">
      <c r="H31" s="605"/>
      <c r="I31" s="605"/>
      <c r="J31" s="605"/>
      <c r="K31" s="605"/>
      <c r="L31" s="605"/>
      <c r="M31" s="605"/>
      <c r="N31" s="605"/>
      <c r="O31" s="605"/>
      <c r="P31" s="605"/>
      <c r="Q31" s="605"/>
      <c r="R31" s="605"/>
    </row>
    <row r="32" spans="5:18" x14ac:dyDescent="0.2">
      <c r="H32" s="605"/>
      <c r="I32" s="605"/>
      <c r="J32" s="605"/>
      <c r="K32" s="605"/>
      <c r="L32" s="605"/>
      <c r="M32" s="605"/>
      <c r="N32" s="605"/>
      <c r="O32" s="605"/>
      <c r="P32" s="605"/>
      <c r="Q32" s="605"/>
      <c r="R32" s="605"/>
    </row>
    <row r="34" spans="5:18" ht="12" x14ac:dyDescent="0.25">
      <c r="E34" s="591" t="s">
        <v>47</v>
      </c>
      <c r="F34" s="591"/>
      <c r="G34" s="591"/>
      <c r="H34" s="591"/>
      <c r="I34" s="591"/>
      <c r="J34" s="591"/>
      <c r="K34" s="591"/>
      <c r="L34" s="591"/>
      <c r="M34" s="591"/>
      <c r="N34" s="591"/>
      <c r="O34" s="591"/>
      <c r="P34" s="591"/>
      <c r="Q34" s="591"/>
      <c r="R34" s="591"/>
    </row>
    <row r="35" spans="5:18" ht="12" x14ac:dyDescent="0.25">
      <c r="E35" s="592" t="s">
        <v>49</v>
      </c>
      <c r="F35" s="592"/>
      <c r="G35" s="597">
        <v>2019</v>
      </c>
      <c r="H35" s="597">
        <v>2020</v>
      </c>
      <c r="I35" s="597">
        <v>2021</v>
      </c>
      <c r="J35" s="597">
        <v>2022</v>
      </c>
      <c r="K35" s="597">
        <v>2023</v>
      </c>
      <c r="L35" s="597">
        <v>2024</v>
      </c>
      <c r="M35" s="597">
        <v>2025</v>
      </c>
      <c r="N35" s="597">
        <v>2026</v>
      </c>
      <c r="O35" s="597">
        <v>2027</v>
      </c>
      <c r="P35" s="597">
        <v>2028</v>
      </c>
      <c r="Q35" s="597">
        <v>2029</v>
      </c>
      <c r="R35" s="597">
        <v>2030</v>
      </c>
    </row>
    <row r="36" spans="5:18" x14ac:dyDescent="0.2">
      <c r="E36" s="593" t="s">
        <v>50</v>
      </c>
      <c r="F36" s="593"/>
      <c r="G36" s="613">
        <f>Highlights!Q23</f>
        <v>0.27622710483226076</v>
      </c>
      <c r="H36" s="613">
        <f>Highlights!R23</f>
        <v>0.21525221390869673</v>
      </c>
      <c r="I36" s="613">
        <f>Highlights!S23</f>
        <v>0.13793760700313215</v>
      </c>
      <c r="J36" s="613">
        <f>Highlights!T23</f>
        <v>0.13793760700313221</v>
      </c>
      <c r="K36" s="613">
        <f>Highlights!U23</f>
        <v>0.13793760700313223</v>
      </c>
      <c r="L36" s="613">
        <f>Highlights!V23</f>
        <v>0.11520113526736346</v>
      </c>
      <c r="M36" s="613">
        <f>Highlights!W23</f>
        <v>0.13520113526736349</v>
      </c>
      <c r="N36" s="613">
        <f>Highlights!X23</f>
        <v>0.13520113526736355</v>
      </c>
      <c r="O36" s="613">
        <f>Highlights!Y23</f>
        <v>0.13520113526736355</v>
      </c>
      <c r="P36" s="613">
        <f>Highlights!Z23</f>
        <v>0.14520113526736353</v>
      </c>
      <c r="Q36" s="613">
        <f>Highlights!AA23</f>
        <v>0.1452011352673635</v>
      </c>
      <c r="R36" s="613">
        <f>Highlights!AB23</f>
        <v>0.14520113526736356</v>
      </c>
    </row>
    <row r="37" spans="5:18" x14ac:dyDescent="0.2">
      <c r="E37" s="593" t="s">
        <v>51</v>
      </c>
      <c r="F37" s="593"/>
      <c r="G37" s="613">
        <f>Highlights!Q24</f>
        <v>8.3389145612930829E-2</v>
      </c>
      <c r="H37" s="613">
        <f>Highlights!R24</f>
        <v>1.2480935231691833E-2</v>
      </c>
      <c r="I37" s="613" t="e">
        <f>Highlights!S24</f>
        <v>#NAME?</v>
      </c>
      <c r="J37" s="613" t="e">
        <f>Highlights!T24</f>
        <v>#NAME?</v>
      </c>
      <c r="K37" s="613" t="e">
        <f>Highlights!U24</f>
        <v>#NAME?</v>
      </c>
      <c r="L37" s="613" t="e">
        <f>Highlights!V24</f>
        <v>#NAME?</v>
      </c>
      <c r="M37" s="613" t="e">
        <f>Highlights!W24</f>
        <v>#NAME?</v>
      </c>
      <c r="N37" s="613" t="e">
        <f>Highlights!X24</f>
        <v>#NAME?</v>
      </c>
      <c r="O37" s="613" t="e">
        <f>Highlights!Y24</f>
        <v>#NAME?</v>
      </c>
      <c r="P37" s="613" t="e">
        <f>Highlights!Z24</f>
        <v>#NAME?</v>
      </c>
      <c r="Q37" s="613" t="e">
        <f>Highlights!AA24</f>
        <v>#NAME?</v>
      </c>
      <c r="R37" s="613" t="e">
        <f>Highlights!AB24</f>
        <v>#NAME?</v>
      </c>
    </row>
    <row r="38" spans="5:18" x14ac:dyDescent="0.2">
      <c r="E38" s="593" t="s">
        <v>55</v>
      </c>
      <c r="F38" s="593"/>
      <c r="G38" s="613">
        <f>Highlights!Q28</f>
        <v>0.6943582046374539</v>
      </c>
      <c r="H38" s="613">
        <f>Highlights!R28</f>
        <v>0.47923209092946489</v>
      </c>
      <c r="I38" s="613" t="e">
        <f>Highlights!S28</f>
        <v>#NAME?</v>
      </c>
      <c r="J38" s="613" t="e">
        <f>Highlights!T28</f>
        <v>#NAME?</v>
      </c>
      <c r="K38" s="613" t="e">
        <f>Highlights!U28</f>
        <v>#NAME?</v>
      </c>
      <c r="L38" s="613" t="e">
        <f>Highlights!V28</f>
        <v>#NAME?</v>
      </c>
      <c r="M38" s="613" t="e">
        <f>Highlights!W28</f>
        <v>#NAME?</v>
      </c>
      <c r="N38" s="613" t="e">
        <f>Highlights!X28</f>
        <v>#NAME?</v>
      </c>
      <c r="O38" s="613" t="e">
        <f>Highlights!Y28</f>
        <v>#NAME?</v>
      </c>
      <c r="P38" s="613" t="e">
        <f>Highlights!Z28</f>
        <v>#NAME?</v>
      </c>
      <c r="Q38" s="613" t="e">
        <f>Highlights!AA28</f>
        <v>#NAME?</v>
      </c>
      <c r="R38" s="613" t="e">
        <f>Highlights!AB28</f>
        <v>#NAME?</v>
      </c>
    </row>
    <row r="39" spans="5:18" ht="12" thickBot="1" x14ac:dyDescent="0.25">
      <c r="E39" s="614" t="s">
        <v>57</v>
      </c>
      <c r="F39" s="614"/>
      <c r="G39" s="615">
        <f>Highlights!Q31</f>
        <v>2.6859744725019867</v>
      </c>
      <c r="H39" s="615">
        <f>Highlights!R31</f>
        <v>3.2127150475307209</v>
      </c>
      <c r="I39" s="615">
        <f>Highlights!S31</f>
        <v>4.083564760048783</v>
      </c>
      <c r="J39" s="615">
        <f>Highlights!T31</f>
        <v>3.1356894585762003</v>
      </c>
      <c r="K39" s="615">
        <f>Highlights!U31</f>
        <v>2.3581089872881984</v>
      </c>
      <c r="L39" s="615">
        <f>Highlights!V31</f>
        <v>1.9041848635608833</v>
      </c>
      <c r="M39" s="615">
        <f>Highlights!W31</f>
        <v>1.0211423243790119</v>
      </c>
      <c r="N39" s="615">
        <f>Highlights!X31</f>
        <v>0.57857122274339157</v>
      </c>
      <c r="O39" s="615">
        <f>Highlights!Y31</f>
        <v>0.26016005768897899</v>
      </c>
      <c r="P39" s="615">
        <f>Highlights!Z31</f>
        <v>9.7017145309716793E-2</v>
      </c>
      <c r="Q39" s="615">
        <f>Highlights!AA31</f>
        <v>0</v>
      </c>
      <c r="R39" s="615">
        <f>Highlights!AB31</f>
        <v>0</v>
      </c>
    </row>
    <row r="42" spans="5:18" ht="12" x14ac:dyDescent="0.25">
      <c r="E42" s="591" t="s">
        <v>61</v>
      </c>
      <c r="F42" s="591"/>
      <c r="G42" s="591"/>
      <c r="H42" s="591"/>
      <c r="I42" s="591"/>
      <c r="J42" s="591"/>
      <c r="K42" s="591"/>
      <c r="L42" s="591"/>
      <c r="M42" s="591"/>
      <c r="N42" s="591"/>
      <c r="O42" s="591"/>
      <c r="P42" s="591"/>
      <c r="Q42" s="739"/>
    </row>
    <row r="43" spans="5:18" ht="12" x14ac:dyDescent="0.25">
      <c r="E43" s="592" t="s">
        <v>1205</v>
      </c>
      <c r="F43" s="592"/>
      <c r="G43" s="598">
        <v>2021</v>
      </c>
      <c r="H43" s="598">
        <v>2022</v>
      </c>
      <c r="I43" s="598">
        <v>2023</v>
      </c>
      <c r="J43" s="598">
        <v>2024</v>
      </c>
      <c r="K43" s="598">
        <v>2025</v>
      </c>
      <c r="L43" s="598">
        <v>2026</v>
      </c>
      <c r="M43" s="598">
        <v>2027</v>
      </c>
      <c r="N43" s="598">
        <v>2028</v>
      </c>
      <c r="O43" s="598">
        <v>2029</v>
      </c>
      <c r="P43" s="598">
        <v>2030</v>
      </c>
      <c r="Q43" s="740"/>
    </row>
    <row r="44" spans="5:18" x14ac:dyDescent="0.2">
      <c r="E44" s="593" t="s">
        <v>62</v>
      </c>
      <c r="F44" s="593"/>
      <c r="G44" s="599">
        <f>IS!S13</f>
        <v>583515.59155405359</v>
      </c>
      <c r="H44" s="599">
        <f>IS!T13</f>
        <v>685344.872080573</v>
      </c>
      <c r="I44" s="599">
        <f>IS!U13</f>
        <v>812190.4820599329</v>
      </c>
      <c r="J44" s="599">
        <f>IS!V13</f>
        <v>971824.79453884356</v>
      </c>
      <c r="K44" s="599">
        <f>IS!W13</f>
        <v>1174742.6343971477</v>
      </c>
      <c r="L44" s="599">
        <f>IS!X13</f>
        <v>1435162.002211099</v>
      </c>
      <c r="M44" s="599">
        <f>IS!Y13</f>
        <v>1772399.071436577</v>
      </c>
      <c r="N44" s="599">
        <f>IS!Z13</f>
        <v>2212758.2734427336</v>
      </c>
      <c r="O44" s="599">
        <f>IS!AA13</f>
        <v>2792131.3709527845</v>
      </c>
      <c r="P44" s="599">
        <f>IS!AB13</f>
        <v>3559572.5330697442</v>
      </c>
      <c r="Q44" s="737"/>
    </row>
    <row r="45" spans="5:18" x14ac:dyDescent="0.2">
      <c r="E45" s="593" t="s">
        <v>438</v>
      </c>
      <c r="F45" s="593"/>
      <c r="G45" s="599">
        <f>IS!S14</f>
        <v>-402912.56504650402</v>
      </c>
      <c r="H45" s="599">
        <f>IS!T14</f>
        <v>-473224.81926495762</v>
      </c>
      <c r="I45" s="599">
        <f>IS!U14</f>
        <v>-560810.63671596907</v>
      </c>
      <c r="J45" s="599">
        <f>IS!V14</f>
        <v>-671036.77504248021</v>
      </c>
      <c r="K45" s="599">
        <f>IS!W14</f>
        <v>-811149.82177917811</v>
      </c>
      <c r="L45" s="599">
        <f>IS!X14</f>
        <v>-990967.18568930472</v>
      </c>
      <c r="M45" s="599">
        <f>IS!Y14</f>
        <v>-1223826.520653306</v>
      </c>
      <c r="N45" s="599">
        <f>IS!Z14</f>
        <v>-1527890.8133478679</v>
      </c>
      <c r="O45" s="599">
        <f>IS!AA14</f>
        <v>-1927943.0214045718</v>
      </c>
      <c r="P45" s="599">
        <f>IS!AB14</f>
        <v>-2457854.6323819291</v>
      </c>
      <c r="Q45" s="737"/>
    </row>
    <row r="46" spans="5:18" ht="12" x14ac:dyDescent="0.25">
      <c r="E46" s="594" t="s">
        <v>693</v>
      </c>
      <c r="F46" s="593"/>
      <c r="G46" s="600">
        <f>IS!S15</f>
        <v>180603.02650754957</v>
      </c>
      <c r="H46" s="600">
        <f>IS!T15</f>
        <v>212120.05281561537</v>
      </c>
      <c r="I46" s="600">
        <f>IS!U15</f>
        <v>251379.84534396383</v>
      </c>
      <c r="J46" s="600">
        <f>IS!V15</f>
        <v>300788.01949636335</v>
      </c>
      <c r="K46" s="600">
        <f>IS!W15</f>
        <v>363592.81261796958</v>
      </c>
      <c r="L46" s="600">
        <f>IS!X15</f>
        <v>444194.8165217943</v>
      </c>
      <c r="M46" s="600">
        <f>IS!Y15</f>
        <v>548572.55078327097</v>
      </c>
      <c r="N46" s="600">
        <f>IS!Z15</f>
        <v>684867.46009486564</v>
      </c>
      <c r="O46" s="600">
        <f>IS!AA15</f>
        <v>864188.34954821272</v>
      </c>
      <c r="P46" s="600">
        <f>IS!AB15</f>
        <v>1101717.9006878152</v>
      </c>
      <c r="Q46" s="737"/>
    </row>
    <row r="47" spans="5:18" x14ac:dyDescent="0.2">
      <c r="E47" s="593"/>
      <c r="F47" s="593"/>
      <c r="G47" s="599"/>
      <c r="H47" s="599"/>
      <c r="I47" s="599"/>
      <c r="J47" s="599"/>
      <c r="K47" s="599"/>
      <c r="L47" s="599"/>
      <c r="M47" s="599"/>
      <c r="N47" s="599"/>
      <c r="O47" s="599"/>
      <c r="P47" s="599"/>
      <c r="Q47" s="737"/>
    </row>
    <row r="48" spans="5:18" x14ac:dyDescent="0.2">
      <c r="E48" s="593" t="s">
        <v>779</v>
      </c>
      <c r="F48" s="593"/>
      <c r="H48" s="599"/>
      <c r="I48" s="599"/>
      <c r="J48" s="599"/>
      <c r="K48" s="599"/>
      <c r="L48" s="599"/>
      <c r="M48" s="599"/>
      <c r="N48" s="599"/>
      <c r="O48" s="599"/>
      <c r="P48" s="599"/>
      <c r="Q48" s="737"/>
    </row>
    <row r="49" spans="5:17" x14ac:dyDescent="0.2">
      <c r="E49" s="593" t="s">
        <v>783</v>
      </c>
      <c r="F49" s="593"/>
      <c r="G49" s="599">
        <f>IS!S18</f>
        <v>-50287.238327709238</v>
      </c>
      <c r="H49" s="599">
        <f>IS!T18</f>
        <v>-59062.862103139902</v>
      </c>
      <c r="I49" s="599">
        <f>IS!U18</f>
        <v>-69994.387348022472</v>
      </c>
      <c r="J49" s="599">
        <f>IS!V18</f>
        <v>-87464.231508495912</v>
      </c>
      <c r="K49" s="599">
        <f>IS!W18</f>
        <v>-105726.83709574329</v>
      </c>
      <c r="L49" s="599">
        <f>IS!X18</f>
        <v>-129164.58019899891</v>
      </c>
      <c r="M49" s="599">
        <f>IS!Y18</f>
        <v>-159515.91642929192</v>
      </c>
      <c r="N49" s="599">
        <f>IS!Z18</f>
        <v>-177020.66187541868</v>
      </c>
      <c r="O49" s="599">
        <f>IS!AA18</f>
        <v>-223370.50967622278</v>
      </c>
      <c r="P49" s="599">
        <f>IS!AB18</f>
        <v>-284765.80264557956</v>
      </c>
      <c r="Q49" s="737"/>
    </row>
    <row r="50" spans="5:17" x14ac:dyDescent="0.2">
      <c r="E50" s="593" t="s">
        <v>780</v>
      </c>
      <c r="F50" s="593"/>
      <c r="G50" s="599">
        <f>IS!S19</f>
        <v>-58983.950143892922</v>
      </c>
      <c r="H50" s="599">
        <f>IS!T19</f>
        <v>-69277.236720466462</v>
      </c>
      <c r="I50" s="599">
        <f>IS!U19</f>
        <v>-82099.267945147411</v>
      </c>
      <c r="J50" s="599">
        <f>IS!V19</f>
        <v>-116618.97534466123</v>
      </c>
      <c r="K50" s="599">
        <f>IS!W19</f>
        <v>-117474.26343971478</v>
      </c>
      <c r="L50" s="599">
        <f>IS!X19</f>
        <v>-143516.2002211099</v>
      </c>
      <c r="M50" s="599">
        <f>IS!Y19</f>
        <v>-177239.90714365771</v>
      </c>
      <c r="N50" s="599">
        <f>IS!Z19</f>
        <v>-221275.82734427336</v>
      </c>
      <c r="O50" s="599">
        <f>IS!AA19</f>
        <v>-279213.13709527848</v>
      </c>
      <c r="P50" s="599">
        <f>IS!AB19</f>
        <v>-355957.25330697442</v>
      </c>
      <c r="Q50" s="737"/>
    </row>
    <row r="51" spans="5:17" x14ac:dyDescent="0.2">
      <c r="E51" s="593"/>
      <c r="F51" s="593"/>
      <c r="G51" s="599"/>
      <c r="H51" s="599"/>
      <c r="I51" s="599"/>
      <c r="J51" s="599"/>
      <c r="K51" s="599"/>
      <c r="L51" s="599"/>
      <c r="M51" s="599"/>
      <c r="N51" s="599"/>
      <c r="O51" s="599"/>
      <c r="P51" s="599"/>
      <c r="Q51" s="737"/>
    </row>
    <row r="52" spans="5:17" x14ac:dyDescent="0.2">
      <c r="E52" s="593" t="s">
        <v>776</v>
      </c>
      <c r="F52" s="593"/>
      <c r="G52" s="599">
        <f>IS!S21</f>
        <v>29175.77957770268</v>
      </c>
      <c r="H52" s="599">
        <f>IS!T21</f>
        <v>34267.243604028648</v>
      </c>
      <c r="I52" s="599">
        <f>IS!U21</f>
        <v>40609.524102996649</v>
      </c>
      <c r="J52" s="599">
        <f>IS!V21</f>
        <v>48591.239726942178</v>
      </c>
      <c r="K52" s="599">
        <f>IS!W21</f>
        <v>58737.131719857389</v>
      </c>
      <c r="L52" s="599">
        <f>IS!X21</f>
        <v>71758.100110554951</v>
      </c>
      <c r="M52" s="599">
        <f>IS!Y21</f>
        <v>88619.953571828853</v>
      </c>
      <c r="N52" s="599">
        <f>IS!Z21</f>
        <v>110637.91367213668</v>
      </c>
      <c r="O52" s="599">
        <f>IS!AA21</f>
        <v>139606.56854763924</v>
      </c>
      <c r="P52" s="599">
        <f>IS!AB21</f>
        <v>177978.62665348721</v>
      </c>
      <c r="Q52" s="737"/>
    </row>
    <row r="53" spans="5:17" x14ac:dyDescent="0.2">
      <c r="E53" s="593" t="s">
        <v>782</v>
      </c>
      <c r="F53" s="593"/>
      <c r="G53" s="599">
        <f>IS!S22</f>
        <v>-20018.873265666854</v>
      </c>
      <c r="H53" s="599">
        <f>IS!T22</f>
        <v>-23512.365969375685</v>
      </c>
      <c r="I53" s="599">
        <f>IS!U22</f>
        <v>-27864.102627723034</v>
      </c>
      <c r="J53" s="599">
        <f>IS!V22</f>
        <v>-33340.732758301376</v>
      </c>
      <c r="K53" s="599">
        <f>IS!W22</f>
        <v>-40302.305984901221</v>
      </c>
      <c r="L53" s="599">
        <f>IS!X22</f>
        <v>-49236.60422071733</v>
      </c>
      <c r="M53" s="599">
        <f>IS!Y22</f>
        <v>-60806.314177103952</v>
      </c>
      <c r="N53" s="599">
        <f>IS!Z22</f>
        <v>-75913.87117117412</v>
      </c>
      <c r="O53" s="599">
        <f>IS!AA22</f>
        <v>-95790.626446386246</v>
      </c>
      <c r="P53" s="599">
        <f>IS!AB22</f>
        <v>-122119.49852049659</v>
      </c>
      <c r="Q53" s="737"/>
    </row>
    <row r="54" spans="5:17" x14ac:dyDescent="0.2">
      <c r="E54" s="593"/>
      <c r="F54" s="593"/>
      <c r="G54" s="599"/>
      <c r="H54" s="599"/>
      <c r="I54" s="599"/>
      <c r="J54" s="599"/>
      <c r="K54" s="599"/>
      <c r="L54" s="599"/>
      <c r="M54" s="599"/>
      <c r="N54" s="599"/>
      <c r="O54" s="599"/>
      <c r="P54" s="599"/>
      <c r="Q54" s="737"/>
    </row>
    <row r="55" spans="5:17" ht="12" x14ac:dyDescent="0.25">
      <c r="E55" s="596" t="s">
        <v>12</v>
      </c>
      <c r="F55" s="596"/>
      <c r="G55" s="601">
        <f>IS!S24</f>
        <v>80488.744347983229</v>
      </c>
      <c r="H55" s="601">
        <f>IS!T24</f>
        <v>94534.831626661995</v>
      </c>
      <c r="I55" s="601">
        <f>IS!U24</f>
        <v>112031.61152606754</v>
      </c>
      <c r="J55" s="601">
        <f>IS!V24</f>
        <v>111955.31961184702</v>
      </c>
      <c r="K55" s="601">
        <f>IS!W24</f>
        <v>158826.5378174677</v>
      </c>
      <c r="L55" s="601">
        <f>IS!X24</f>
        <v>194035.53199152311</v>
      </c>
      <c r="M55" s="601">
        <f>IS!Y24</f>
        <v>239630.36660504621</v>
      </c>
      <c r="N55" s="601">
        <f>IS!Z24</f>
        <v>321295.01337613614</v>
      </c>
      <c r="O55" s="601">
        <f>IS!AA24</f>
        <v>405420.6448779644</v>
      </c>
      <c r="P55" s="601">
        <f>IS!AB24</f>
        <v>516853.97286825185</v>
      </c>
      <c r="Q55" s="737"/>
    </row>
    <row r="56" spans="5:17" ht="12" x14ac:dyDescent="0.25">
      <c r="E56" s="594"/>
      <c r="F56" s="594"/>
      <c r="G56" s="600"/>
      <c r="H56" s="600"/>
      <c r="I56" s="600"/>
      <c r="J56" s="600"/>
      <c r="K56" s="600"/>
      <c r="L56" s="600"/>
      <c r="M56" s="600"/>
      <c r="N56" s="600"/>
      <c r="O56" s="600"/>
      <c r="P56" s="600"/>
      <c r="Q56" s="738"/>
    </row>
    <row r="57" spans="5:17" x14ac:dyDescent="0.2">
      <c r="E57" s="593" t="s">
        <v>792</v>
      </c>
      <c r="F57" s="593"/>
      <c r="G57" s="599">
        <f>IS!S26</f>
        <v>-44307.299629160021</v>
      </c>
      <c r="H57" s="599">
        <f>IS!T26</f>
        <v>-48677.898887480056</v>
      </c>
      <c r="I57" s="599">
        <f>IS!U26</f>
        <v>-53048.498145800091</v>
      </c>
      <c r="J57" s="599">
        <f>IS!V26</f>
        <v>-57419.097404120126</v>
      </c>
      <c r="K57" s="599">
        <f>IS!W26</f>
        <v>-61789.696662440161</v>
      </c>
      <c r="L57" s="599">
        <f>IS!X26</f>
        <v>-66160.295920760196</v>
      </c>
      <c r="M57" s="599">
        <f>IS!Y26</f>
        <v>-70530.895179080224</v>
      </c>
      <c r="N57" s="599">
        <f>IS!Z26</f>
        <v>-74901.494437400266</v>
      </c>
      <c r="O57" s="599">
        <f>IS!AA26</f>
        <v>-79272.093695720294</v>
      </c>
      <c r="P57" s="599">
        <f>IS!AB26</f>
        <v>-83642.692954040336</v>
      </c>
      <c r="Q57" s="737"/>
    </row>
    <row r="58" spans="5:17" x14ac:dyDescent="0.2">
      <c r="E58" s="593" t="s">
        <v>793</v>
      </c>
      <c r="F58" s="593"/>
      <c r="G58" s="599">
        <f>IS!S27</f>
        <v>-14219.440993182448</v>
      </c>
      <c r="H58" s="599">
        <f>IS!T27</f>
        <v>-14644.602482956117</v>
      </c>
      <c r="I58" s="599">
        <f>IS!U27</f>
        <v>-14928.043476138564</v>
      </c>
      <c r="J58" s="599">
        <f>IS!V27</f>
        <v>-15211.484469321013</v>
      </c>
      <c r="K58" s="599">
        <f>IS!W27</f>
        <v>-15494.925462503459</v>
      </c>
      <c r="L58" s="599">
        <f>IS!X27</f>
        <v>-15778.366455685906</v>
      </c>
      <c r="M58" s="599">
        <f>IS!Y27</f>
        <v>-16061.807448868352</v>
      </c>
      <c r="N58" s="599">
        <f>IS!Z27</f>
        <v>-16345.248442050799</v>
      </c>
      <c r="O58" s="599">
        <f>IS!AA27</f>
        <v>-16628.689435233246</v>
      </c>
      <c r="P58" s="599">
        <f>IS!AB27</f>
        <v>-13723.391334060114</v>
      </c>
      <c r="Q58" s="737"/>
    </row>
    <row r="59" spans="5:17" ht="12" x14ac:dyDescent="0.25">
      <c r="E59" s="741" t="s">
        <v>788</v>
      </c>
      <c r="F59" s="596"/>
      <c r="G59" s="742" t="e">
        <f>IS!S31</f>
        <v>#NAME?</v>
      </c>
      <c r="H59" s="742" t="e">
        <f>IS!T31</f>
        <v>#NAME?</v>
      </c>
      <c r="I59" s="742" t="e">
        <f>IS!U31</f>
        <v>#NAME?</v>
      </c>
      <c r="J59" s="742" t="e">
        <f>IS!V31</f>
        <v>#NAME?</v>
      </c>
      <c r="K59" s="742" t="e">
        <f>IS!W31</f>
        <v>#NAME?</v>
      </c>
      <c r="L59" s="742" t="e">
        <f>IS!X31</f>
        <v>#NAME?</v>
      </c>
      <c r="M59" s="742" t="e">
        <f>IS!Y31</f>
        <v>#NAME?</v>
      </c>
      <c r="N59" s="742" t="e">
        <f>IS!Z31</f>
        <v>#NAME?</v>
      </c>
      <c r="O59" s="742" t="e">
        <f>IS!AA31</f>
        <v>#NAME?</v>
      </c>
      <c r="P59" s="742" t="e">
        <f>IS!AB31</f>
        <v>#NAME?</v>
      </c>
      <c r="Q59" s="738"/>
    </row>
    <row r="60" spans="5:17" x14ac:dyDescent="0.2">
      <c r="E60" s="593" t="s">
        <v>777</v>
      </c>
      <c r="F60" s="593"/>
      <c r="G60" s="599" t="e">
        <f>IS!S41</f>
        <v>#NAME?</v>
      </c>
      <c r="H60" s="599" t="e">
        <f>IS!T41</f>
        <v>#NAME?</v>
      </c>
      <c r="I60" s="599" t="e">
        <f>IS!U41</f>
        <v>#NAME?</v>
      </c>
      <c r="J60" s="599" t="e">
        <f>IS!V41</f>
        <v>#NAME?</v>
      </c>
      <c r="K60" s="599" t="e">
        <f>IS!W41</f>
        <v>#NAME?</v>
      </c>
      <c r="L60" s="599" t="e">
        <f>IS!X41</f>
        <v>#NAME?</v>
      </c>
      <c r="M60" s="599" t="e">
        <f>IS!Y41</f>
        <v>#NAME?</v>
      </c>
      <c r="N60" s="599" t="e">
        <f>IS!Z41</f>
        <v>#NAME?</v>
      </c>
      <c r="O60" s="599" t="e">
        <f>IS!AA41</f>
        <v>#NAME?</v>
      </c>
      <c r="P60" s="599" t="e">
        <f>IS!AB41</f>
        <v>#NAME?</v>
      </c>
      <c r="Q60" s="737"/>
    </row>
    <row r="61" spans="5:17" x14ac:dyDescent="0.2">
      <c r="E61" s="743"/>
      <c r="F61" s="743"/>
      <c r="G61" s="744"/>
      <c r="H61" s="744"/>
      <c r="I61" s="744"/>
      <c r="J61" s="744"/>
      <c r="K61" s="744"/>
      <c r="L61" s="744"/>
      <c r="M61" s="744"/>
      <c r="N61" s="744"/>
      <c r="O61" s="744"/>
      <c r="P61" s="744"/>
      <c r="Q61" s="737"/>
    </row>
    <row r="62" spans="5:17" ht="12.6" thickBot="1" x14ac:dyDescent="0.3">
      <c r="E62" s="595" t="s">
        <v>40</v>
      </c>
      <c r="F62" s="595"/>
      <c r="G62" s="603" t="e">
        <f>IS!S43</f>
        <v>#NAME?</v>
      </c>
      <c r="H62" s="603" t="e">
        <f>IS!T43</f>
        <v>#NAME?</v>
      </c>
      <c r="I62" s="603" t="e">
        <f>IS!U43</f>
        <v>#NAME?</v>
      </c>
      <c r="J62" s="603" t="e">
        <f>IS!V43</f>
        <v>#NAME?</v>
      </c>
      <c r="K62" s="603" t="e">
        <f>IS!W43</f>
        <v>#NAME?</v>
      </c>
      <c r="L62" s="603" t="e">
        <f>IS!X43</f>
        <v>#NAME?</v>
      </c>
      <c r="M62" s="603" t="e">
        <f>IS!Y43</f>
        <v>#NAME?</v>
      </c>
      <c r="N62" s="603" t="e">
        <f>IS!Z43</f>
        <v>#NAME?</v>
      </c>
      <c r="O62" s="603" t="e">
        <f>IS!AA43</f>
        <v>#NAME?</v>
      </c>
      <c r="P62" s="603" t="e">
        <f>IS!AB43</f>
        <v>#NAME?</v>
      </c>
      <c r="Q62" s="738"/>
    </row>
    <row r="63" spans="5:17" ht="12" thickTop="1" x14ac:dyDescent="0.2"/>
    <row r="65" spans="5:16" ht="12" x14ac:dyDescent="0.25">
      <c r="E65" s="591" t="s">
        <v>21</v>
      </c>
      <c r="F65" s="591"/>
      <c r="G65" s="591"/>
      <c r="H65" s="591"/>
      <c r="I65" s="591"/>
      <c r="J65" s="591"/>
      <c r="K65" s="591"/>
      <c r="L65" s="591"/>
      <c r="M65" s="591"/>
      <c r="N65" s="591"/>
      <c r="O65" s="591"/>
      <c r="P65" s="591"/>
    </row>
    <row r="66" spans="5:16" ht="12" x14ac:dyDescent="0.25">
      <c r="E66" s="592" t="s">
        <v>1205</v>
      </c>
      <c r="F66" s="592"/>
      <c r="G66" s="598">
        <v>2021</v>
      </c>
      <c r="H66" s="598">
        <v>2022</v>
      </c>
      <c r="I66" s="598">
        <v>2023</v>
      </c>
      <c r="J66" s="598">
        <v>2024</v>
      </c>
      <c r="K66" s="598">
        <v>2025</v>
      </c>
      <c r="L66" s="598">
        <v>2026</v>
      </c>
      <c r="M66" s="598">
        <v>2027</v>
      </c>
      <c r="N66" s="598">
        <v>2028</v>
      </c>
      <c r="O66" s="598">
        <v>2029</v>
      </c>
      <c r="P66" s="598">
        <v>2030</v>
      </c>
    </row>
    <row r="67" spans="5:16" ht="12" x14ac:dyDescent="0.25">
      <c r="E67" s="594" t="s">
        <v>22</v>
      </c>
      <c r="F67" s="593"/>
      <c r="G67" s="599"/>
      <c r="H67" s="599"/>
      <c r="I67" s="599"/>
      <c r="J67" s="599"/>
      <c r="K67" s="599"/>
      <c r="L67" s="599"/>
      <c r="M67" s="599"/>
      <c r="N67" s="599"/>
      <c r="O67" s="599"/>
      <c r="P67" s="599"/>
    </row>
    <row r="68" spans="5:16" x14ac:dyDescent="0.2">
      <c r="E68" s="593"/>
      <c r="F68" s="593" t="s">
        <v>451</v>
      </c>
      <c r="G68" s="599" t="e">
        <f>BS!S14</f>
        <v>#NAME?</v>
      </c>
      <c r="H68" s="599" t="e">
        <f>BS!T14</f>
        <v>#NAME?</v>
      </c>
      <c r="I68" s="599" t="e">
        <f>BS!U14</f>
        <v>#NAME?</v>
      </c>
      <c r="J68" s="599" t="e">
        <f>BS!V14</f>
        <v>#NAME?</v>
      </c>
      <c r="K68" s="599" t="e">
        <f>BS!W14</f>
        <v>#NAME?</v>
      </c>
      <c r="L68" s="599" t="e">
        <f>BS!X14</f>
        <v>#NAME?</v>
      </c>
      <c r="M68" s="599" t="e">
        <f>BS!Y14</f>
        <v>#NAME?</v>
      </c>
      <c r="N68" s="599" t="e">
        <f>BS!Z14</f>
        <v>#NAME?</v>
      </c>
      <c r="O68" s="599" t="e">
        <f>BS!AA14</f>
        <v>#NAME?</v>
      </c>
      <c r="P68" s="599" t="e">
        <f>BS!AB14</f>
        <v>#NAME?</v>
      </c>
    </row>
    <row r="69" spans="5:16" ht="12" x14ac:dyDescent="0.25">
      <c r="E69" s="594"/>
      <c r="F69" s="593" t="s">
        <v>827</v>
      </c>
      <c r="G69" s="599">
        <f>BS!S15</f>
        <v>59350</v>
      </c>
      <c r="H69" s="599">
        <f>BS!T15</f>
        <v>59350</v>
      </c>
      <c r="I69" s="599">
        <f>BS!U15</f>
        <v>59350</v>
      </c>
      <c r="J69" s="599">
        <f>BS!V15</f>
        <v>59350</v>
      </c>
      <c r="K69" s="599">
        <f>BS!W15</f>
        <v>59350</v>
      </c>
      <c r="L69" s="599">
        <f>BS!X15</f>
        <v>59350</v>
      </c>
      <c r="M69" s="599">
        <f>BS!Y15</f>
        <v>59350</v>
      </c>
      <c r="N69" s="599">
        <f>BS!Z15</f>
        <v>59350</v>
      </c>
      <c r="O69" s="599">
        <f>BS!AA15</f>
        <v>59350</v>
      </c>
      <c r="P69" s="599">
        <f>BS!AB15</f>
        <v>59350</v>
      </c>
    </row>
    <row r="70" spans="5:16" x14ac:dyDescent="0.2">
      <c r="E70" s="593"/>
      <c r="F70" s="593" t="s">
        <v>829</v>
      </c>
      <c r="G70" s="599">
        <f>BS!S16</f>
        <v>99768.707431892821</v>
      </c>
      <c r="H70" s="599">
        <f>BS!T16</f>
        <v>117179.34023056988</v>
      </c>
      <c r="I70" s="599">
        <f>BS!U16</f>
        <v>138867.23123849754</v>
      </c>
      <c r="J70" s="599">
        <f>BS!V16</f>
        <v>166161.290297628</v>
      </c>
      <c r="K70" s="599">
        <f>BS!W16</f>
        <v>200855.9083859254</v>
      </c>
      <c r="L70" s="599">
        <f>BS!X16</f>
        <v>245382.0600313897</v>
      </c>
      <c r="M70" s="599">
        <f>BS!Y16</f>
        <v>303042.39847262733</v>
      </c>
      <c r="N70" s="599">
        <f>BS!Z16</f>
        <v>378334.41984413203</v>
      </c>
      <c r="O70" s="599">
        <f>BS!AA16</f>
        <v>477394.8492414761</v>
      </c>
      <c r="P70" s="599">
        <f>BS!AB16</f>
        <v>608610.90221877873</v>
      </c>
    </row>
    <row r="71" spans="5:16" x14ac:dyDescent="0.2">
      <c r="E71" s="593"/>
      <c r="F71" s="593" t="s">
        <v>830</v>
      </c>
      <c r="G71" s="590">
        <f>BS!S17</f>
        <v>8891</v>
      </c>
      <c r="H71" s="599">
        <f>BS!T17</f>
        <v>8891</v>
      </c>
      <c r="I71" s="599">
        <f>BS!U17</f>
        <v>8891</v>
      </c>
      <c r="J71" s="599">
        <f>BS!V17</f>
        <v>8891</v>
      </c>
      <c r="K71" s="599">
        <f>BS!W17</f>
        <v>8891</v>
      </c>
      <c r="L71" s="599">
        <f>BS!X17</f>
        <v>8891</v>
      </c>
      <c r="M71" s="599">
        <f>BS!Y17</f>
        <v>8891</v>
      </c>
      <c r="N71" s="599">
        <f>BS!Z17</f>
        <v>8891</v>
      </c>
      <c r="O71" s="599">
        <f>BS!AA17</f>
        <v>8891</v>
      </c>
      <c r="P71" s="599">
        <f>BS!AB17</f>
        <v>8891</v>
      </c>
    </row>
    <row r="72" spans="5:16" x14ac:dyDescent="0.2">
      <c r="E72" s="593"/>
      <c r="F72" s="593" t="s">
        <v>833</v>
      </c>
      <c r="G72" s="599">
        <f>BS!S18</f>
        <v>16755.469480253847</v>
      </c>
      <c r="H72" s="599">
        <f>BS!T18</f>
        <v>19679.465731175365</v>
      </c>
      <c r="I72" s="599">
        <f>BS!U18</f>
        <v>23321.798134073058</v>
      </c>
      <c r="J72" s="599">
        <f>BS!V18</f>
        <v>27905.647973660289</v>
      </c>
      <c r="K72" s="599">
        <f>BS!W18</f>
        <v>33732.370895818742</v>
      </c>
      <c r="L72" s="599">
        <f>BS!X18</f>
        <v>41210.232383380127</v>
      </c>
      <c r="M72" s="599">
        <f>BS!Y18</f>
        <v>50893.890374366842</v>
      </c>
      <c r="N72" s="599">
        <f>BS!Z18</f>
        <v>63538.66846832048</v>
      </c>
      <c r="O72" s="599">
        <f>BS!AA18</f>
        <v>80175.187515147918</v>
      </c>
      <c r="P72" s="599">
        <f>BS!AB18</f>
        <v>102212.02278718383</v>
      </c>
    </row>
    <row r="73" spans="5:16" x14ac:dyDescent="0.2">
      <c r="E73" s="593"/>
      <c r="F73" s="593" t="s">
        <v>835</v>
      </c>
      <c r="G73" s="599">
        <f>BS!S19</f>
        <v>21718</v>
      </c>
      <c r="H73" s="599">
        <f>BS!T19</f>
        <v>21718</v>
      </c>
      <c r="I73" s="599">
        <f>BS!U19</f>
        <v>21718</v>
      </c>
      <c r="J73" s="599">
        <f>BS!V19</f>
        <v>21718</v>
      </c>
      <c r="K73" s="599">
        <f>BS!W19</f>
        <v>21718</v>
      </c>
      <c r="L73" s="599">
        <f>BS!X19</f>
        <v>21718</v>
      </c>
      <c r="M73" s="599">
        <f>BS!Y19</f>
        <v>21718</v>
      </c>
      <c r="N73" s="599">
        <f>BS!Z19</f>
        <v>21718</v>
      </c>
      <c r="O73" s="599">
        <f>BS!AA19</f>
        <v>21718</v>
      </c>
      <c r="P73" s="599">
        <f>BS!AB19</f>
        <v>21718</v>
      </c>
    </row>
    <row r="74" spans="5:16" x14ac:dyDescent="0.2">
      <c r="E74" s="593"/>
      <c r="F74" s="593" t="s">
        <v>838</v>
      </c>
      <c r="G74" s="599">
        <f>BS!S20</f>
        <v>14826.327741749097</v>
      </c>
      <c r="H74" s="599">
        <f>BS!T20</f>
        <v>17413.669551711395</v>
      </c>
      <c r="I74" s="599">
        <f>BS!U20</f>
        <v>20636.641848214043</v>
      </c>
      <c r="J74" s="599">
        <f>BS!V20</f>
        <v>24692.729928633176</v>
      </c>
      <c r="K74" s="599">
        <f>BS!W20</f>
        <v>29848.592842894795</v>
      </c>
      <c r="L74" s="599">
        <f>BS!X20</f>
        <v>36465.490408949088</v>
      </c>
      <c r="M74" s="599">
        <f>BS!Y20</f>
        <v>45034.219997969325</v>
      </c>
      <c r="N74" s="599">
        <f>BS!Z20</f>
        <v>56223.140992608372</v>
      </c>
      <c r="O74" s="599">
        <f>BS!AA20</f>
        <v>70944.213664478273</v>
      </c>
      <c r="P74" s="599">
        <f>BS!AB20</f>
        <v>90443.836908051569</v>
      </c>
    </row>
    <row r="75" spans="5:16" x14ac:dyDescent="0.2">
      <c r="E75" s="593"/>
      <c r="F75" s="593" t="s">
        <v>840</v>
      </c>
      <c r="G75" s="599">
        <f>BS!S21</f>
        <v>10704</v>
      </c>
      <c r="H75" s="599">
        <f>BS!T21</f>
        <v>10704</v>
      </c>
      <c r="I75" s="599">
        <f>BS!U21</f>
        <v>10704</v>
      </c>
      <c r="J75" s="599">
        <f>BS!V21</f>
        <v>10704</v>
      </c>
      <c r="K75" s="599">
        <f>BS!W21</f>
        <v>10704</v>
      </c>
      <c r="L75" s="599">
        <f>BS!X21</f>
        <v>10704</v>
      </c>
      <c r="M75" s="599">
        <f>BS!Y21</f>
        <v>10704</v>
      </c>
      <c r="N75" s="599">
        <f>BS!Z21</f>
        <v>10704</v>
      </c>
      <c r="O75" s="599">
        <f>BS!AA21</f>
        <v>10704</v>
      </c>
      <c r="P75" s="599">
        <f>BS!AB21</f>
        <v>10704</v>
      </c>
    </row>
    <row r="76" spans="5:16" x14ac:dyDescent="0.2">
      <c r="E76" s="593"/>
      <c r="F76" s="593" t="s">
        <v>842</v>
      </c>
      <c r="G76" s="599">
        <f>BS!S22</f>
        <v>30305.179534285486</v>
      </c>
      <c r="H76" s="599">
        <f>BS!T22</f>
        <v>35593.735097958757</v>
      </c>
      <c r="I76" s="599">
        <f>BS!U22</f>
        <v>42181.526476973457</v>
      </c>
      <c r="J76" s="599">
        <f>BS!V22</f>
        <v>50472.215825344501</v>
      </c>
      <c r="K76" s="599">
        <f>BS!W22</f>
        <v>61010.857220063161</v>
      </c>
      <c r="L76" s="599">
        <f>BS!X22</f>
        <v>74535.869764780829</v>
      </c>
      <c r="M76" s="599">
        <f>BS!Y22</f>
        <v>92050.448769046634</v>
      </c>
      <c r="N76" s="599">
        <f>BS!Z22</f>
        <v>114920.72827748209</v>
      </c>
      <c r="O76" s="599">
        <f>BS!AA22</f>
        <v>145010.7652730929</v>
      </c>
      <c r="P76" s="599">
        <f>BS!AB22</f>
        <v>184868.21302014374</v>
      </c>
    </row>
    <row r="77" spans="5:16" x14ac:dyDescent="0.2">
      <c r="E77" s="593"/>
      <c r="F77" s="593" t="s">
        <v>844</v>
      </c>
      <c r="G77" s="599" t="e">
        <f>BS!S23</f>
        <v>#NAME?</v>
      </c>
      <c r="H77" s="599" t="e">
        <f>BS!T23</f>
        <v>#NAME?</v>
      </c>
      <c r="I77" s="599" t="e">
        <f>BS!U23</f>
        <v>#NAME?</v>
      </c>
      <c r="J77" s="599" t="e">
        <f>BS!V23</f>
        <v>#NAME?</v>
      </c>
      <c r="K77" s="599" t="e">
        <f>BS!W23</f>
        <v>#NAME?</v>
      </c>
      <c r="L77" s="599" t="e">
        <f>BS!X23</f>
        <v>#NAME?</v>
      </c>
      <c r="M77" s="599" t="e">
        <f>BS!Y23</f>
        <v>#NAME?</v>
      </c>
      <c r="N77" s="599" t="e">
        <f>BS!Z23</f>
        <v>#NAME?</v>
      </c>
      <c r="O77" s="599" t="e">
        <f>BS!AA23</f>
        <v>#NAME?</v>
      </c>
      <c r="P77" s="599" t="e">
        <f>BS!AB23</f>
        <v>#NAME?</v>
      </c>
    </row>
    <row r="78" spans="5:16" x14ac:dyDescent="0.2">
      <c r="E78" s="593"/>
      <c r="F78" s="593"/>
      <c r="G78" s="599"/>
      <c r="H78" s="599"/>
      <c r="I78" s="599"/>
      <c r="J78" s="599"/>
      <c r="K78" s="599"/>
      <c r="L78" s="599"/>
      <c r="M78" s="599"/>
      <c r="N78" s="599"/>
      <c r="O78" s="599"/>
      <c r="P78" s="599"/>
    </row>
    <row r="79" spans="5:16" ht="12" x14ac:dyDescent="0.25">
      <c r="E79" s="594" t="s">
        <v>90</v>
      </c>
      <c r="F79" s="593"/>
      <c r="G79" s="599"/>
      <c r="H79" s="599"/>
      <c r="I79" s="599"/>
      <c r="J79" s="599"/>
      <c r="K79" s="599"/>
      <c r="L79" s="599"/>
      <c r="M79" s="599"/>
      <c r="N79" s="599"/>
      <c r="O79" s="599"/>
      <c r="P79" s="599"/>
    </row>
    <row r="80" spans="5:16" x14ac:dyDescent="0.2">
      <c r="E80" s="593"/>
      <c r="F80" s="593" t="s">
        <v>449</v>
      </c>
      <c r="G80" s="599">
        <f>BS!S26</f>
        <v>58999</v>
      </c>
      <c r="H80" s="599">
        <f>BS!T26</f>
        <v>58999</v>
      </c>
      <c r="I80" s="599">
        <f>BS!U26</f>
        <v>58999</v>
      </c>
      <c r="J80" s="599">
        <f>BS!V26</f>
        <v>58999</v>
      </c>
      <c r="K80" s="599">
        <f>BS!W26</f>
        <v>58999</v>
      </c>
      <c r="L80" s="599">
        <f>BS!X26</f>
        <v>58999</v>
      </c>
      <c r="M80" s="599">
        <f>BS!Y26</f>
        <v>58999</v>
      </c>
      <c r="N80" s="599">
        <f>BS!Z26</f>
        <v>58999</v>
      </c>
      <c r="O80" s="599">
        <f>BS!AA26</f>
        <v>58999</v>
      </c>
      <c r="P80" s="599">
        <f>BS!AB26</f>
        <v>58999</v>
      </c>
    </row>
    <row r="81" spans="5:16" x14ac:dyDescent="0.2">
      <c r="E81" s="593"/>
      <c r="F81" s="593" t="s">
        <v>447</v>
      </c>
      <c r="G81" s="599">
        <f>BS!S27</f>
        <v>342989.70037083997</v>
      </c>
      <c r="H81" s="599">
        <f>BS!T27</f>
        <v>344311.80148335989</v>
      </c>
      <c r="I81" s="599">
        <f>BS!U27</f>
        <v>341263.3033375598</v>
      </c>
      <c r="J81" s="599">
        <f>BS!V27</f>
        <v>333844.20593343966</v>
      </c>
      <c r="K81" s="599">
        <f>BS!W27</f>
        <v>322054.50927099952</v>
      </c>
      <c r="L81" s="599">
        <f>BS!X27</f>
        <v>305894.21335023933</v>
      </c>
      <c r="M81" s="599">
        <f>BS!Y27</f>
        <v>285363.31817115913</v>
      </c>
      <c r="N81" s="599">
        <f>BS!Z27</f>
        <v>260461.82373375888</v>
      </c>
      <c r="O81" s="599">
        <f>BS!AA27</f>
        <v>231189.73003803857</v>
      </c>
      <c r="P81" s="599">
        <f>BS!AB27</f>
        <v>197547.03708399821</v>
      </c>
    </row>
    <row r="82" spans="5:16" x14ac:dyDescent="0.2">
      <c r="E82" s="593"/>
      <c r="F82" s="593" t="s">
        <v>448</v>
      </c>
      <c r="G82" s="599">
        <f>BS!S28</f>
        <v>93816.559006817552</v>
      </c>
      <c r="H82" s="599">
        <f>BS!T28</f>
        <v>84171.956523861445</v>
      </c>
      <c r="I82" s="599">
        <f>BS!U28</f>
        <v>74243.91304772289</v>
      </c>
      <c r="J82" s="599">
        <f>BS!V28</f>
        <v>64032.428578401887</v>
      </c>
      <c r="K82" s="599">
        <f>BS!W28</f>
        <v>53537.503115898435</v>
      </c>
      <c r="L82" s="599">
        <f>BS!X28</f>
        <v>42759.136660212534</v>
      </c>
      <c r="M82" s="599">
        <f>BS!Y28</f>
        <v>31697.329211344186</v>
      </c>
      <c r="N82" s="599">
        <f>BS!Z28</f>
        <v>20352.080769293359</v>
      </c>
      <c r="O82" s="599">
        <f>BS!AA28</f>
        <v>8723.3913340601139</v>
      </c>
      <c r="P82" s="599">
        <f>BS!AB28</f>
        <v>0</v>
      </c>
    </row>
    <row r="83" spans="5:16" x14ac:dyDescent="0.2">
      <c r="E83" s="593"/>
      <c r="F83" s="593" t="s">
        <v>848</v>
      </c>
      <c r="G83" s="599">
        <f>BS!S29</f>
        <v>247370</v>
      </c>
      <c r="H83" s="599">
        <f>BS!T29</f>
        <v>247370</v>
      </c>
      <c r="I83" s="599">
        <f>BS!U29</f>
        <v>247370</v>
      </c>
      <c r="J83" s="599">
        <f>BS!V29</f>
        <v>247370</v>
      </c>
      <c r="K83" s="599">
        <f>BS!W29</f>
        <v>247370</v>
      </c>
      <c r="L83" s="599">
        <f>BS!X29</f>
        <v>247370</v>
      </c>
      <c r="M83" s="599">
        <f>BS!Y29</f>
        <v>247370</v>
      </c>
      <c r="N83" s="599">
        <f>BS!Z29</f>
        <v>247370</v>
      </c>
      <c r="O83" s="599">
        <f>BS!AA29</f>
        <v>247370</v>
      </c>
      <c r="P83" s="599">
        <f>BS!AB29</f>
        <v>247370</v>
      </c>
    </row>
    <row r="84" spans="5:16" x14ac:dyDescent="0.2">
      <c r="E84" s="593"/>
      <c r="F84" s="593" t="s">
        <v>850</v>
      </c>
      <c r="G84" s="599">
        <f>BS!S30</f>
        <v>24950</v>
      </c>
      <c r="H84" s="599">
        <f>BS!T30</f>
        <v>24950</v>
      </c>
      <c r="I84" s="599">
        <f>BS!U30</f>
        <v>24950</v>
      </c>
      <c r="J84" s="599">
        <f>BS!V30</f>
        <v>24950</v>
      </c>
      <c r="K84" s="599">
        <f>BS!W30</f>
        <v>24950</v>
      </c>
      <c r="L84" s="599">
        <f>BS!X30</f>
        <v>24950</v>
      </c>
      <c r="M84" s="599">
        <f>BS!Y30</f>
        <v>24950</v>
      </c>
      <c r="N84" s="599">
        <f>BS!Z30</f>
        <v>24950</v>
      </c>
      <c r="O84" s="599">
        <f>BS!AA30</f>
        <v>24950</v>
      </c>
      <c r="P84" s="599">
        <f>BS!AB30</f>
        <v>24950</v>
      </c>
    </row>
    <row r="85" spans="5:16" ht="12" x14ac:dyDescent="0.25">
      <c r="E85" s="594"/>
      <c r="F85" s="593" t="s">
        <v>851</v>
      </c>
      <c r="G85" s="599">
        <f>BS!S31</f>
        <v>36485</v>
      </c>
      <c r="H85" s="599">
        <f>BS!T31</f>
        <v>36485</v>
      </c>
      <c r="I85" s="599">
        <f>BS!U31</f>
        <v>36485</v>
      </c>
      <c r="J85" s="599">
        <f>BS!V31</f>
        <v>36485</v>
      </c>
      <c r="K85" s="599">
        <f>BS!W31</f>
        <v>36485</v>
      </c>
      <c r="L85" s="599">
        <f>BS!X31</f>
        <v>36485</v>
      </c>
      <c r="M85" s="599">
        <f>BS!Y31</f>
        <v>36485</v>
      </c>
      <c r="N85" s="599">
        <f>BS!Z31</f>
        <v>36485</v>
      </c>
      <c r="O85" s="599">
        <f>BS!AA31</f>
        <v>36485</v>
      </c>
      <c r="P85" s="599">
        <f>BS!AB31</f>
        <v>36485</v>
      </c>
    </row>
    <row r="86" spans="5:16" ht="12" x14ac:dyDescent="0.25">
      <c r="E86" s="594"/>
      <c r="F86" s="593" t="s">
        <v>852</v>
      </c>
      <c r="G86" s="599">
        <f>BS!S32</f>
        <v>22</v>
      </c>
      <c r="H86" s="599">
        <f>BS!T32</f>
        <v>22</v>
      </c>
      <c r="I86" s="599">
        <f>BS!U32</f>
        <v>22</v>
      </c>
      <c r="J86" s="599">
        <f>BS!V32</f>
        <v>22</v>
      </c>
      <c r="K86" s="599">
        <f>BS!W32</f>
        <v>22</v>
      </c>
      <c r="L86" s="599">
        <f>BS!X32</f>
        <v>22</v>
      </c>
      <c r="M86" s="599">
        <f>BS!Y32</f>
        <v>22</v>
      </c>
      <c r="N86" s="599">
        <f>BS!Z32</f>
        <v>22</v>
      </c>
      <c r="O86" s="599">
        <f>BS!AA32</f>
        <v>22</v>
      </c>
      <c r="P86" s="599">
        <f>BS!AB32</f>
        <v>22</v>
      </c>
    </row>
    <row r="87" spans="5:16" x14ac:dyDescent="0.2">
      <c r="E87" s="593"/>
      <c r="F87" s="593" t="s">
        <v>853</v>
      </c>
      <c r="G87" s="599">
        <f>BS!S33</f>
        <v>892</v>
      </c>
      <c r="H87" s="599">
        <f>BS!T33</f>
        <v>892</v>
      </c>
      <c r="I87" s="599">
        <f>BS!U33</f>
        <v>892</v>
      </c>
      <c r="J87" s="599">
        <f>BS!V33</f>
        <v>892</v>
      </c>
      <c r="K87" s="599">
        <f>BS!W33</f>
        <v>892</v>
      </c>
      <c r="L87" s="599">
        <f>BS!X33</f>
        <v>892</v>
      </c>
      <c r="M87" s="599">
        <f>BS!Y33</f>
        <v>892</v>
      </c>
      <c r="N87" s="599">
        <f>BS!Z33</f>
        <v>892</v>
      </c>
      <c r="O87" s="599">
        <f>BS!AA33</f>
        <v>892</v>
      </c>
      <c r="P87" s="599">
        <f>BS!AB33</f>
        <v>892</v>
      </c>
    </row>
    <row r="88" spans="5:16" x14ac:dyDescent="0.2">
      <c r="E88" s="593"/>
      <c r="F88" s="593" t="s">
        <v>858</v>
      </c>
      <c r="G88" s="599">
        <f>BS!S34</f>
        <v>805524.25937765755</v>
      </c>
      <c r="H88" s="599">
        <f>BS!T34</f>
        <v>797201.75800722139</v>
      </c>
      <c r="I88" s="599">
        <f>BS!U34</f>
        <v>784225.21638528269</v>
      </c>
      <c r="J88" s="599">
        <f>BS!V34</f>
        <v>766594.63451184158</v>
      </c>
      <c r="K88" s="599">
        <f>BS!W34</f>
        <v>744310.01238689793</v>
      </c>
      <c r="L88" s="599">
        <f>BS!X34</f>
        <v>717371.35001045186</v>
      </c>
      <c r="M88" s="599">
        <f>BS!Y34</f>
        <v>685778.64738250338</v>
      </c>
      <c r="N88" s="599">
        <f>BS!Z34</f>
        <v>649531.90450305224</v>
      </c>
      <c r="O88" s="599">
        <f>BS!AA34</f>
        <v>608631.12137209869</v>
      </c>
      <c r="P88" s="599">
        <f>BS!AB34</f>
        <v>566265.03708399821</v>
      </c>
    </row>
    <row r="89" spans="5:16" ht="12" x14ac:dyDescent="0.25">
      <c r="E89" s="593"/>
      <c r="F89" s="594"/>
      <c r="G89" s="599"/>
      <c r="H89" s="599"/>
      <c r="I89" s="599"/>
      <c r="J89" s="599"/>
      <c r="K89" s="599"/>
      <c r="L89" s="599"/>
      <c r="M89" s="599"/>
      <c r="N89" s="599"/>
      <c r="O89" s="599"/>
      <c r="P89" s="599"/>
    </row>
    <row r="90" spans="5:16" ht="12" x14ac:dyDescent="0.25">
      <c r="E90" s="741"/>
      <c r="F90" s="596" t="s">
        <v>859</v>
      </c>
      <c r="G90" s="601" t="e">
        <f>BS!S36</f>
        <v>#NAME?</v>
      </c>
      <c r="H90" s="601" t="e">
        <f>BS!T36</f>
        <v>#NAME?</v>
      </c>
      <c r="I90" s="601" t="e">
        <f>BS!U36</f>
        <v>#NAME?</v>
      </c>
      <c r="J90" s="601" t="e">
        <f>BS!V36</f>
        <v>#NAME?</v>
      </c>
      <c r="K90" s="601" t="e">
        <f>BS!W36</f>
        <v>#NAME?</v>
      </c>
      <c r="L90" s="601" t="e">
        <f>BS!X36</f>
        <v>#NAME?</v>
      </c>
      <c r="M90" s="601" t="e">
        <f>BS!Y36</f>
        <v>#NAME?</v>
      </c>
      <c r="N90" s="601" t="e">
        <f>BS!Z36</f>
        <v>#NAME?</v>
      </c>
      <c r="O90" s="601" t="e">
        <f>BS!AA36</f>
        <v>#NAME?</v>
      </c>
      <c r="P90" s="601" t="e">
        <f>BS!AB36</f>
        <v>#NAME?</v>
      </c>
    </row>
    <row r="91" spans="5:16" x14ac:dyDescent="0.2">
      <c r="E91" s="593"/>
      <c r="F91" s="593"/>
      <c r="G91" s="599"/>
      <c r="H91" s="599"/>
      <c r="I91" s="599"/>
      <c r="J91" s="599"/>
      <c r="K91" s="599"/>
      <c r="L91" s="599"/>
      <c r="M91" s="599"/>
      <c r="N91" s="599"/>
      <c r="O91" s="599"/>
      <c r="P91" s="599"/>
    </row>
    <row r="92" spans="5:16" ht="12" x14ac:dyDescent="0.25">
      <c r="E92" s="594" t="s">
        <v>27</v>
      </c>
      <c r="F92" s="594"/>
      <c r="G92" s="599"/>
      <c r="H92" s="599"/>
      <c r="I92" s="599"/>
      <c r="J92" s="599"/>
      <c r="K92" s="599"/>
      <c r="L92" s="599"/>
      <c r="M92" s="599"/>
      <c r="N92" s="599"/>
      <c r="O92" s="599"/>
      <c r="P92" s="599"/>
    </row>
    <row r="93" spans="5:16" x14ac:dyDescent="0.2">
      <c r="E93" s="593"/>
      <c r="F93" s="593" t="s">
        <v>860</v>
      </c>
      <c r="G93" s="745">
        <f>BS!S39</f>
        <v>32249.125</v>
      </c>
      <c r="H93" s="745">
        <f>BS!T39</f>
        <v>32249.125</v>
      </c>
      <c r="I93" s="745">
        <f>BS!U39</f>
        <v>50999.125</v>
      </c>
      <c r="J93" s="745">
        <f>BS!V39</f>
        <v>50999.125</v>
      </c>
      <c r="K93" s="745">
        <f>BS!W39</f>
        <v>49921.125</v>
      </c>
      <c r="L93" s="745">
        <f>BS!X39</f>
        <v>49921.125</v>
      </c>
      <c r="M93" s="745">
        <f>BS!Y39</f>
        <v>31171.125</v>
      </c>
      <c r="N93" s="745">
        <f>BS!Z39</f>
        <v>31171.125</v>
      </c>
      <c r="O93" s="745">
        <f>BS!AA39</f>
        <v>0</v>
      </c>
      <c r="P93" s="745">
        <f>BS!AB39</f>
        <v>0</v>
      </c>
    </row>
    <row r="94" spans="5:16" x14ac:dyDescent="0.2">
      <c r="E94" s="593"/>
      <c r="F94" s="593" t="s">
        <v>861</v>
      </c>
      <c r="G94" s="745">
        <f>BS!S40</f>
        <v>14616</v>
      </c>
      <c r="H94" s="745">
        <f>BS!T40</f>
        <v>14616</v>
      </c>
      <c r="I94" s="745">
        <f>BS!U40</f>
        <v>14616</v>
      </c>
      <c r="J94" s="745">
        <f>BS!V40</f>
        <v>14616</v>
      </c>
      <c r="K94" s="745">
        <f>BS!W40</f>
        <v>14616</v>
      </c>
      <c r="L94" s="745">
        <f>BS!X40</f>
        <v>14616</v>
      </c>
      <c r="M94" s="745">
        <f>BS!Y40</f>
        <v>14616</v>
      </c>
      <c r="N94" s="745">
        <f>BS!Z40</f>
        <v>14616</v>
      </c>
      <c r="O94" s="745">
        <f>BS!AA40</f>
        <v>14616</v>
      </c>
      <c r="P94" s="745">
        <f>BS!AB40</f>
        <v>14616</v>
      </c>
    </row>
    <row r="95" spans="5:16" x14ac:dyDescent="0.2">
      <c r="E95" s="593"/>
      <c r="F95" s="593" t="s">
        <v>450</v>
      </c>
      <c r="G95" s="745">
        <f>BS!S41</f>
        <v>50692.759258446029</v>
      </c>
      <c r="H95" s="745">
        <f>BS!T41</f>
        <v>59539.150473878421</v>
      </c>
      <c r="I95" s="745">
        <f>BS!U41</f>
        <v>70558.828547174213</v>
      </c>
      <c r="J95" s="745">
        <f>BS!V41</f>
        <v>84427.016285447084</v>
      </c>
      <c r="K95" s="745">
        <f>BS!W41</f>
        <v>102055.44876277882</v>
      </c>
      <c r="L95" s="745">
        <f>BS!X41</f>
        <v>124679.31093528845</v>
      </c>
      <c r="M95" s="745">
        <f>BS!Y41</f>
        <v>153976.6901496833</v>
      </c>
      <c r="N95" s="745">
        <f>BS!Z41</f>
        <v>192232.77676955835</v>
      </c>
      <c r="O95" s="745">
        <f>BS!AA41</f>
        <v>242565.65797788595</v>
      </c>
      <c r="P95" s="745">
        <f>BS!AB41</f>
        <v>309236.90145332832</v>
      </c>
    </row>
    <row r="96" spans="5:16" x14ac:dyDescent="0.2">
      <c r="E96" s="593"/>
      <c r="F96" s="593" t="s">
        <v>511</v>
      </c>
      <c r="G96" s="745">
        <f>BS!S42</f>
        <v>41848</v>
      </c>
      <c r="H96" s="745">
        <f>BS!T42</f>
        <v>41848</v>
      </c>
      <c r="I96" s="745">
        <f>BS!U42</f>
        <v>41848</v>
      </c>
      <c r="J96" s="745">
        <f>BS!V42</f>
        <v>41848</v>
      </c>
      <c r="K96" s="745">
        <f>BS!W42</f>
        <v>41848</v>
      </c>
      <c r="L96" s="745">
        <f>BS!X42</f>
        <v>41848</v>
      </c>
      <c r="M96" s="745">
        <f>BS!Y42</f>
        <v>41848</v>
      </c>
      <c r="N96" s="745">
        <f>BS!Z42</f>
        <v>41848</v>
      </c>
      <c r="O96" s="745">
        <f>BS!AA42</f>
        <v>41848</v>
      </c>
      <c r="P96" s="745">
        <f>BS!AB42</f>
        <v>41848</v>
      </c>
    </row>
    <row r="97" spans="5:16" x14ac:dyDescent="0.2">
      <c r="E97" s="593"/>
      <c r="F97" s="593" t="s">
        <v>862</v>
      </c>
      <c r="G97" s="745">
        <f>BS!S43</f>
        <v>85162.883598510714</v>
      </c>
      <c r="H97" s="745">
        <f>BS!T43</f>
        <v>100024.65471469302</v>
      </c>
      <c r="I97" s="745">
        <f>BS!U43</f>
        <v>118537.50694008832</v>
      </c>
      <c r="J97" s="745">
        <f>BS!V43</f>
        <v>141835.80191068706</v>
      </c>
      <c r="K97" s="745">
        <f>BS!W43</f>
        <v>171451.23742953929</v>
      </c>
      <c r="L97" s="745">
        <f>BS!X43</f>
        <v>209458.90102747563</v>
      </c>
      <c r="M97" s="745">
        <f>BS!Y43</f>
        <v>258677.94793428277</v>
      </c>
      <c r="N97" s="745">
        <f>BS!Z43</f>
        <v>322947.45504737488</v>
      </c>
      <c r="O97" s="745">
        <f>BS!AA43</f>
        <v>407505.75027981063</v>
      </c>
      <c r="P97" s="745">
        <f>BS!AB43</f>
        <v>519512.18730406981</v>
      </c>
    </row>
    <row r="98" spans="5:16" x14ac:dyDescent="0.2">
      <c r="E98" s="593"/>
      <c r="F98" s="593" t="s">
        <v>863</v>
      </c>
      <c r="G98" s="745">
        <f>BS!S44</f>
        <v>4172</v>
      </c>
      <c r="H98" s="745">
        <f>BS!T44</f>
        <v>4172</v>
      </c>
      <c r="I98" s="745">
        <f>BS!U44</f>
        <v>4172</v>
      </c>
      <c r="J98" s="745">
        <f>BS!V44</f>
        <v>4172</v>
      </c>
      <c r="K98" s="745">
        <f>BS!W44</f>
        <v>4172</v>
      </c>
      <c r="L98" s="745">
        <f>BS!X44</f>
        <v>4172</v>
      </c>
      <c r="M98" s="745">
        <f>BS!Y44</f>
        <v>4172</v>
      </c>
      <c r="N98" s="745">
        <f>BS!Z44</f>
        <v>4172</v>
      </c>
      <c r="O98" s="745">
        <f>BS!AA44</f>
        <v>4172</v>
      </c>
      <c r="P98" s="745">
        <f>BS!AB44</f>
        <v>4172</v>
      </c>
    </row>
    <row r="99" spans="5:16" x14ac:dyDescent="0.2">
      <c r="E99" s="593"/>
      <c r="F99" s="593" t="s">
        <v>866</v>
      </c>
      <c r="G99" s="745">
        <f>BS!S45</f>
        <v>3362</v>
      </c>
      <c r="H99" s="745">
        <f>BS!T45</f>
        <v>3362</v>
      </c>
      <c r="I99" s="745">
        <f>BS!U45</f>
        <v>3362</v>
      </c>
      <c r="J99" s="745">
        <f>BS!V45</f>
        <v>3362</v>
      </c>
      <c r="K99" s="745">
        <f>BS!W45</f>
        <v>3362</v>
      </c>
      <c r="L99" s="745">
        <f>BS!X45</f>
        <v>3362</v>
      </c>
      <c r="M99" s="745">
        <f>BS!Y45</f>
        <v>3362</v>
      </c>
      <c r="N99" s="745">
        <f>BS!Z45</f>
        <v>3362</v>
      </c>
      <c r="O99" s="745">
        <f>BS!AA45</f>
        <v>3362</v>
      </c>
      <c r="P99" s="745">
        <f>BS!AB45</f>
        <v>3362</v>
      </c>
    </row>
    <row r="100" spans="5:16" x14ac:dyDescent="0.2">
      <c r="E100" s="593"/>
      <c r="F100" s="593" t="s">
        <v>881</v>
      </c>
      <c r="G100" s="745">
        <f>BS!S46</f>
        <v>0</v>
      </c>
      <c r="H100" s="745">
        <f>BS!T46</f>
        <v>0</v>
      </c>
      <c r="I100" s="745">
        <f>BS!U46</f>
        <v>0</v>
      </c>
      <c r="J100" s="745">
        <f>BS!V46</f>
        <v>0</v>
      </c>
      <c r="K100" s="745">
        <f>BS!W46</f>
        <v>0</v>
      </c>
      <c r="L100" s="745">
        <f>BS!X46</f>
        <v>0</v>
      </c>
      <c r="M100" s="745">
        <f>BS!Y46</f>
        <v>0</v>
      </c>
      <c r="N100" s="745">
        <f>BS!Z46</f>
        <v>0</v>
      </c>
      <c r="O100" s="745">
        <f>BS!AA46</f>
        <v>0</v>
      </c>
      <c r="P100" s="745">
        <f>BS!AB46</f>
        <v>0</v>
      </c>
    </row>
    <row r="101" spans="5:16" x14ac:dyDescent="0.2">
      <c r="E101" s="593"/>
      <c r="F101" s="593" t="s">
        <v>882</v>
      </c>
      <c r="G101" s="745">
        <f>BS!S47</f>
        <v>20074.895232956409</v>
      </c>
      <c r="H101" s="745">
        <f>BS!T47</f>
        <v>23578.164327742612</v>
      </c>
      <c r="I101" s="745">
        <f>BS!U47</f>
        <v>27942.079136452936</v>
      </c>
      <c r="J101" s="745">
        <f>BS!V47</f>
        <v>33434.035384038987</v>
      </c>
      <c r="K101" s="745">
        <f>BS!W47</f>
        <v>40415.090277883981</v>
      </c>
      <c r="L101" s="745">
        <f>BS!X47</f>
        <v>49374.390768166646</v>
      </c>
      <c r="M101" s="745">
        <f>BS!Y47</f>
        <v>60976.478066880423</v>
      </c>
      <c r="N101" s="745">
        <f>BS!Z47</f>
        <v>76126.312918076466</v>
      </c>
      <c r="O101" s="745">
        <f>BS!AA47</f>
        <v>96058.692449412934</v>
      </c>
      <c r="P101" s="745">
        <f>BS!AB47</f>
        <v>122461.24475469976</v>
      </c>
    </row>
    <row r="102" spans="5:16" x14ac:dyDescent="0.2">
      <c r="E102" s="593"/>
      <c r="F102" s="593" t="s">
        <v>868</v>
      </c>
      <c r="G102" s="745">
        <f>BS!S48</f>
        <v>252177.66308991317</v>
      </c>
      <c r="H102" s="745">
        <f>BS!T48</f>
        <v>279389.09451631404</v>
      </c>
      <c r="I102" s="745">
        <f>BS!U48</f>
        <v>332035.53962371551</v>
      </c>
      <c r="J102" s="745">
        <f>BS!V48</f>
        <v>374693.97858017316</v>
      </c>
      <c r="K102" s="745">
        <f>BS!W48</f>
        <v>427840.90147020208</v>
      </c>
      <c r="L102" s="745">
        <f>BS!X48</f>
        <v>497431.72773093067</v>
      </c>
      <c r="M102" s="745">
        <f>BS!Y48</f>
        <v>568800.24115084647</v>
      </c>
      <c r="N102" s="745">
        <f>BS!Z48</f>
        <v>686475.66973500978</v>
      </c>
      <c r="O102" s="745">
        <f>BS!AA48</f>
        <v>810128.10070710944</v>
      </c>
      <c r="P102" s="745">
        <f>BS!AB48</f>
        <v>1015208.3335120978</v>
      </c>
    </row>
    <row r="103" spans="5:16" x14ac:dyDescent="0.2">
      <c r="E103" s="593"/>
      <c r="F103" s="593"/>
      <c r="G103" s="745"/>
      <c r="H103" s="745"/>
      <c r="I103" s="745"/>
      <c r="J103" s="745"/>
      <c r="K103" s="745"/>
      <c r="L103" s="745"/>
      <c r="M103" s="745"/>
      <c r="N103" s="745"/>
      <c r="O103" s="745"/>
      <c r="P103" s="745"/>
    </row>
    <row r="104" spans="5:16" ht="12" x14ac:dyDescent="0.25">
      <c r="E104" s="594" t="s">
        <v>869</v>
      </c>
      <c r="F104" s="593"/>
      <c r="G104" s="745"/>
      <c r="H104" s="745"/>
      <c r="I104" s="745"/>
      <c r="J104" s="745"/>
      <c r="K104" s="745"/>
      <c r="L104" s="745"/>
      <c r="M104" s="745"/>
      <c r="N104" s="745"/>
      <c r="O104" s="745"/>
      <c r="P104" s="745"/>
    </row>
    <row r="105" spans="5:16" x14ac:dyDescent="0.2">
      <c r="E105" s="593"/>
      <c r="F105" s="593" t="s">
        <v>452</v>
      </c>
      <c r="G105" s="745">
        <f>BS!S51</f>
        <v>296431.875</v>
      </c>
      <c r="H105" s="745">
        <f>BS!T51</f>
        <v>264182.75</v>
      </c>
      <c r="I105" s="745">
        <f>BS!U51</f>
        <v>213183.625</v>
      </c>
      <c r="J105" s="745">
        <f>BS!V51</f>
        <v>162184.5</v>
      </c>
      <c r="K105" s="745">
        <f>BS!W51</f>
        <v>112263.375</v>
      </c>
      <c r="L105" s="745">
        <f>BS!X51</f>
        <v>62342.25</v>
      </c>
      <c r="M105" s="745">
        <f>BS!Y51</f>
        <v>31171.125</v>
      </c>
      <c r="N105" s="745">
        <f>BS!Z51</f>
        <v>0</v>
      </c>
      <c r="O105" s="745">
        <f>BS!AA51</f>
        <v>0</v>
      </c>
      <c r="P105" s="745">
        <f>BS!AB51</f>
        <v>0</v>
      </c>
    </row>
    <row r="106" spans="5:16" x14ac:dyDescent="0.2">
      <c r="E106" s="593"/>
      <c r="F106" s="593" t="s">
        <v>870</v>
      </c>
      <c r="G106" s="745">
        <f>BS!S52</f>
        <v>130938</v>
      </c>
      <c r="H106" s="745">
        <f>BS!T52</f>
        <v>130938</v>
      </c>
      <c r="I106" s="745">
        <f>BS!U52</f>
        <v>130938</v>
      </c>
      <c r="J106" s="745">
        <f>BS!V52</f>
        <v>130938</v>
      </c>
      <c r="K106" s="745">
        <f>BS!W52</f>
        <v>130938</v>
      </c>
      <c r="L106" s="745">
        <f>BS!X52</f>
        <v>130938</v>
      </c>
      <c r="M106" s="745">
        <f>BS!Y52</f>
        <v>130938</v>
      </c>
      <c r="N106" s="745">
        <f>BS!Z52</f>
        <v>130938</v>
      </c>
      <c r="O106" s="745">
        <f>BS!AA52</f>
        <v>130938</v>
      </c>
      <c r="P106" s="745">
        <f>BS!AB52</f>
        <v>130938</v>
      </c>
    </row>
    <row r="107" spans="5:16" x14ac:dyDescent="0.2">
      <c r="E107" s="593"/>
      <c r="F107" s="593" t="s">
        <v>873</v>
      </c>
      <c r="G107" s="745">
        <f>BS!S53</f>
        <v>20399</v>
      </c>
      <c r="H107" s="745">
        <f>BS!T53</f>
        <v>20399</v>
      </c>
      <c r="I107" s="745">
        <f>BS!U53</f>
        <v>20399</v>
      </c>
      <c r="J107" s="745">
        <f>BS!V53</f>
        <v>20399</v>
      </c>
      <c r="K107" s="745">
        <f>BS!W53</f>
        <v>20399</v>
      </c>
      <c r="L107" s="745">
        <f>BS!X53</f>
        <v>20399</v>
      </c>
      <c r="M107" s="745">
        <f>BS!Y53</f>
        <v>20399</v>
      </c>
      <c r="N107" s="745">
        <f>BS!Z53</f>
        <v>20399</v>
      </c>
      <c r="O107" s="745">
        <f>BS!AA53</f>
        <v>20399</v>
      </c>
      <c r="P107" s="745">
        <f>BS!AB53</f>
        <v>20399</v>
      </c>
    </row>
    <row r="108" spans="5:16" x14ac:dyDescent="0.2">
      <c r="E108" s="593"/>
      <c r="F108" s="593" t="s">
        <v>511</v>
      </c>
      <c r="G108" s="745">
        <f>BS!S54</f>
        <v>22899</v>
      </c>
      <c r="H108" s="745">
        <f>BS!T54</f>
        <v>22899</v>
      </c>
      <c r="I108" s="745">
        <f>BS!U54</f>
        <v>22899</v>
      </c>
      <c r="J108" s="745">
        <f>BS!V54</f>
        <v>22899</v>
      </c>
      <c r="K108" s="745">
        <f>BS!W54</f>
        <v>22899</v>
      </c>
      <c r="L108" s="745">
        <f>BS!X54</f>
        <v>22899</v>
      </c>
      <c r="M108" s="745">
        <f>BS!Y54</f>
        <v>22899</v>
      </c>
      <c r="N108" s="745">
        <f>BS!Z54</f>
        <v>22899</v>
      </c>
      <c r="O108" s="745">
        <f>BS!AA54</f>
        <v>22899</v>
      </c>
      <c r="P108" s="745">
        <f>BS!AB54</f>
        <v>22899</v>
      </c>
    </row>
    <row r="109" spans="5:16" x14ac:dyDescent="0.2">
      <c r="E109" s="593"/>
      <c r="F109" s="593" t="s">
        <v>862</v>
      </c>
      <c r="G109" s="745">
        <f>BS!S55</f>
        <v>85162.883598510714</v>
      </c>
      <c r="H109" s="745">
        <f>BS!T55</f>
        <v>41281.130542843071</v>
      </c>
      <c r="I109" s="745">
        <f>BS!U55</f>
        <v>48921.561510755673</v>
      </c>
      <c r="J109" s="745">
        <f>BS!V55</f>
        <v>58536.990415262262</v>
      </c>
      <c r="K109" s="745">
        <f>BS!W55</f>
        <v>70759.563572091211</v>
      </c>
      <c r="L109" s="745">
        <f>BS!X55</f>
        <v>86445.689428663623</v>
      </c>
      <c r="M109" s="745">
        <f>BS!Y55</f>
        <v>106758.86027988736</v>
      </c>
      <c r="N109" s="745">
        <f>BS!Z55</f>
        <v>133283.49983627873</v>
      </c>
      <c r="O109" s="745">
        <f>BS!AA55</f>
        <v>168181.51606964733</v>
      </c>
      <c r="P109" s="745">
        <f>BS!AB55</f>
        <v>214407.64263440089</v>
      </c>
    </row>
    <row r="110" spans="5:16" x14ac:dyDescent="0.2">
      <c r="E110" s="593"/>
      <c r="F110" s="593" t="s">
        <v>863</v>
      </c>
      <c r="G110" s="745">
        <f>BS!S56</f>
        <v>3693</v>
      </c>
      <c r="H110" s="745">
        <f>BS!T56</f>
        <v>3693</v>
      </c>
      <c r="I110" s="745">
        <f>BS!U56</f>
        <v>3693</v>
      </c>
      <c r="J110" s="745">
        <f>BS!V56</f>
        <v>3693</v>
      </c>
      <c r="K110" s="745">
        <f>BS!W56</f>
        <v>3693</v>
      </c>
      <c r="L110" s="745">
        <f>BS!X56</f>
        <v>3693</v>
      </c>
      <c r="M110" s="745">
        <f>BS!Y56</f>
        <v>3693</v>
      </c>
      <c r="N110" s="745">
        <f>BS!Z56</f>
        <v>3693</v>
      </c>
      <c r="O110" s="745">
        <f>BS!AA56</f>
        <v>3693</v>
      </c>
      <c r="P110" s="745">
        <f>BS!AB56</f>
        <v>3693</v>
      </c>
    </row>
    <row r="111" spans="5:16" x14ac:dyDescent="0.2">
      <c r="E111" s="593"/>
      <c r="F111" s="593" t="s">
        <v>881</v>
      </c>
      <c r="G111" s="745">
        <f>BS!S57</f>
        <v>205</v>
      </c>
      <c r="H111" s="745">
        <f>BS!T57</f>
        <v>205</v>
      </c>
      <c r="I111" s="745">
        <f>BS!U57</f>
        <v>205</v>
      </c>
      <c r="J111" s="745">
        <f>BS!V57</f>
        <v>205</v>
      </c>
      <c r="K111" s="745">
        <f>BS!W57</f>
        <v>205</v>
      </c>
      <c r="L111" s="745">
        <f>BS!X57</f>
        <v>205</v>
      </c>
      <c r="M111" s="745">
        <f>BS!Y57</f>
        <v>205</v>
      </c>
      <c r="N111" s="745">
        <f>BS!Z57</f>
        <v>205</v>
      </c>
      <c r="O111" s="745">
        <f>BS!AA57</f>
        <v>205</v>
      </c>
      <c r="P111" s="745">
        <f>BS!AB57</f>
        <v>205</v>
      </c>
    </row>
    <row r="112" spans="5:16" x14ac:dyDescent="0.2">
      <c r="E112" s="593"/>
      <c r="F112" s="593" t="s">
        <v>886</v>
      </c>
      <c r="G112" s="745">
        <f>BS!S58</f>
        <v>559728.75859851076</v>
      </c>
      <c r="H112" s="745">
        <f>BS!T58</f>
        <v>483597.88054284308</v>
      </c>
      <c r="I112" s="745">
        <f>BS!U58</f>
        <v>440239.18651075568</v>
      </c>
      <c r="J112" s="745">
        <f>BS!V58</f>
        <v>398855.49041526229</v>
      </c>
      <c r="K112" s="745">
        <f>BS!W58</f>
        <v>361156.93857209123</v>
      </c>
      <c r="L112" s="745">
        <f>BS!X58</f>
        <v>326921.93942866364</v>
      </c>
      <c r="M112" s="745">
        <f>BS!Y58</f>
        <v>316063.98527988733</v>
      </c>
      <c r="N112" s="745">
        <f>BS!Z58</f>
        <v>311417.49983627873</v>
      </c>
      <c r="O112" s="745">
        <f>BS!AA58</f>
        <v>346315.51606964733</v>
      </c>
      <c r="P112" s="745">
        <f>BS!AB58</f>
        <v>392541.64263440087</v>
      </c>
    </row>
    <row r="113" spans="5:16" x14ac:dyDescent="0.2">
      <c r="E113" s="593"/>
      <c r="F113" s="593"/>
      <c r="G113" s="745"/>
      <c r="H113" s="745"/>
      <c r="I113" s="745"/>
      <c r="J113" s="745"/>
      <c r="K113" s="745"/>
      <c r="L113" s="745"/>
      <c r="M113" s="745"/>
      <c r="N113" s="745"/>
      <c r="O113" s="745"/>
      <c r="P113" s="745"/>
    </row>
    <row r="114" spans="5:16" ht="12" x14ac:dyDescent="0.25">
      <c r="E114" s="594" t="s">
        <v>68</v>
      </c>
      <c r="F114" s="593"/>
      <c r="G114" s="745"/>
      <c r="H114" s="745"/>
      <c r="I114" s="745"/>
      <c r="J114" s="745"/>
      <c r="K114" s="745"/>
      <c r="L114" s="745"/>
      <c r="M114" s="745"/>
      <c r="N114" s="745"/>
      <c r="O114" s="745"/>
      <c r="P114" s="745"/>
    </row>
    <row r="115" spans="5:16" x14ac:dyDescent="0.2">
      <c r="E115" s="593"/>
      <c r="F115" s="593" t="s">
        <v>453</v>
      </c>
      <c r="G115" s="745">
        <f>BS!S61</f>
        <v>163915</v>
      </c>
      <c r="H115" s="745">
        <f>BS!T61</f>
        <v>163915</v>
      </c>
      <c r="I115" s="745">
        <f>BS!U61</f>
        <v>163915</v>
      </c>
      <c r="J115" s="745">
        <f>BS!V61</f>
        <v>163915</v>
      </c>
      <c r="K115" s="745">
        <f>BS!W61</f>
        <v>163915</v>
      </c>
      <c r="L115" s="745">
        <f>BS!X61</f>
        <v>163915</v>
      </c>
      <c r="M115" s="745">
        <f>BS!Y61</f>
        <v>163915</v>
      </c>
      <c r="N115" s="745">
        <f>BS!Z61</f>
        <v>163915</v>
      </c>
      <c r="O115" s="745">
        <f>BS!AA61</f>
        <v>163915</v>
      </c>
      <c r="P115" s="745">
        <f>BS!AB61</f>
        <v>163915</v>
      </c>
    </row>
    <row r="116" spans="5:16" x14ac:dyDescent="0.2">
      <c r="E116" s="593"/>
      <c r="F116" s="593" t="s">
        <v>887</v>
      </c>
      <c r="G116" s="745">
        <f>BS!S62</f>
        <v>1030702</v>
      </c>
      <c r="H116" s="745">
        <f>BS!T62</f>
        <v>1030702</v>
      </c>
      <c r="I116" s="745">
        <f>BS!U62</f>
        <v>1030702</v>
      </c>
      <c r="J116" s="745">
        <f>BS!V62</f>
        <v>1030702</v>
      </c>
      <c r="K116" s="745">
        <f>BS!W62</f>
        <v>1030702</v>
      </c>
      <c r="L116" s="745">
        <f>BS!X62</f>
        <v>1030702</v>
      </c>
      <c r="M116" s="745">
        <f>BS!Y62</f>
        <v>1030702</v>
      </c>
      <c r="N116" s="745">
        <f>BS!Z62</f>
        <v>1030702</v>
      </c>
      <c r="O116" s="745">
        <f>BS!AA62</f>
        <v>1030702</v>
      </c>
      <c r="P116" s="745">
        <f>BS!AB62</f>
        <v>1030702</v>
      </c>
    </row>
    <row r="117" spans="5:16" x14ac:dyDescent="0.2">
      <c r="E117" s="593"/>
      <c r="F117" s="593" t="s">
        <v>454</v>
      </c>
      <c r="G117" s="745" t="e">
        <f>BS!S63</f>
        <v>#NAME?</v>
      </c>
      <c r="H117" s="745" t="e">
        <f>BS!T63</f>
        <v>#NAME?</v>
      </c>
      <c r="I117" s="745" t="e">
        <f>BS!U63</f>
        <v>#NAME?</v>
      </c>
      <c r="J117" s="745" t="e">
        <f>BS!V63</f>
        <v>#NAME?</v>
      </c>
      <c r="K117" s="745" t="e">
        <f>BS!W63</f>
        <v>#NAME?</v>
      </c>
      <c r="L117" s="745" t="e">
        <f>BS!X63</f>
        <v>#NAME?</v>
      </c>
      <c r="M117" s="745" t="e">
        <f>BS!Y63</f>
        <v>#NAME?</v>
      </c>
      <c r="N117" s="745" t="e">
        <f>BS!Z63</f>
        <v>#NAME?</v>
      </c>
      <c r="O117" s="745" t="e">
        <f>BS!AA63</f>
        <v>#NAME?</v>
      </c>
      <c r="P117" s="745" t="e">
        <f>BS!AB63</f>
        <v>#NAME?</v>
      </c>
    </row>
    <row r="118" spans="5:16" x14ac:dyDescent="0.2">
      <c r="E118" s="593"/>
      <c r="F118" s="593" t="s">
        <v>889</v>
      </c>
      <c r="G118" s="745" t="e">
        <f>BS!S64</f>
        <v>#NAME?</v>
      </c>
      <c r="H118" s="745" t="e">
        <f>BS!T64</f>
        <v>#NAME?</v>
      </c>
      <c r="I118" s="745" t="e">
        <f>BS!U64</f>
        <v>#NAME?</v>
      </c>
      <c r="J118" s="745" t="e">
        <f>BS!V64</f>
        <v>#NAME?</v>
      </c>
      <c r="K118" s="745" t="e">
        <f>BS!W64</f>
        <v>#NAME?</v>
      </c>
      <c r="L118" s="745" t="e">
        <f>BS!X64</f>
        <v>#NAME?</v>
      </c>
      <c r="M118" s="745" t="e">
        <f>BS!Y64</f>
        <v>#NAME?</v>
      </c>
      <c r="N118" s="745" t="e">
        <f>BS!Z64</f>
        <v>#NAME?</v>
      </c>
      <c r="O118" s="745" t="e">
        <f>BS!AA64</f>
        <v>#NAME?</v>
      </c>
      <c r="P118" s="745" t="e">
        <f>BS!AB64</f>
        <v>#NAME?</v>
      </c>
    </row>
    <row r="119" spans="5:16" ht="12.6" thickBot="1" x14ac:dyDescent="0.3">
      <c r="E119" s="746"/>
      <c r="F119" s="747" t="s">
        <v>890</v>
      </c>
      <c r="G119" s="748" t="e">
        <f>BS!S65</f>
        <v>#NAME?</v>
      </c>
      <c r="H119" s="748" t="e">
        <f>BS!T65</f>
        <v>#NAME?</v>
      </c>
      <c r="I119" s="748" t="e">
        <f>BS!U65</f>
        <v>#NAME?</v>
      </c>
      <c r="J119" s="748" t="e">
        <f>BS!V65</f>
        <v>#NAME?</v>
      </c>
      <c r="K119" s="748" t="e">
        <f>BS!W65</f>
        <v>#NAME?</v>
      </c>
      <c r="L119" s="748" t="e">
        <f>BS!X65</f>
        <v>#NAME?</v>
      </c>
      <c r="M119" s="748" t="e">
        <f>BS!Y65</f>
        <v>#NAME?</v>
      </c>
      <c r="N119" s="748" t="e">
        <f>BS!Z65</f>
        <v>#NAME?</v>
      </c>
      <c r="O119" s="748" t="e">
        <f>BS!AA65</f>
        <v>#NAME?</v>
      </c>
      <c r="P119" s="748" t="e">
        <f>BS!AB65</f>
        <v>#NAME?</v>
      </c>
    </row>
    <row r="122" spans="5:16" ht="12" x14ac:dyDescent="0.25">
      <c r="E122" s="591" t="s">
        <v>29</v>
      </c>
      <c r="F122" s="591"/>
      <c r="G122" s="591"/>
      <c r="H122" s="591"/>
      <c r="I122" s="591"/>
      <c r="J122" s="591"/>
      <c r="K122" s="591"/>
      <c r="L122" s="591"/>
      <c r="M122" s="591"/>
      <c r="N122" s="591"/>
      <c r="O122" s="591"/>
      <c r="P122" s="591"/>
    </row>
    <row r="123" spans="5:16" ht="12" x14ac:dyDescent="0.25">
      <c r="E123" s="592" t="s">
        <v>1205</v>
      </c>
      <c r="F123" s="592"/>
      <c r="G123" s="598">
        <v>2021</v>
      </c>
      <c r="H123" s="598">
        <v>2022</v>
      </c>
      <c r="I123" s="598">
        <v>2023</v>
      </c>
      <c r="J123" s="598">
        <v>2024</v>
      </c>
      <c r="K123" s="598">
        <v>2025</v>
      </c>
      <c r="L123" s="598">
        <v>2026</v>
      </c>
      <c r="M123" s="598">
        <v>2027</v>
      </c>
      <c r="N123" s="598">
        <v>2028</v>
      </c>
      <c r="O123" s="598">
        <v>2029</v>
      </c>
      <c r="P123" s="598">
        <v>2030</v>
      </c>
    </row>
    <row r="124" spans="5:16" ht="12" x14ac:dyDescent="0.25">
      <c r="E124" s="594" t="s">
        <v>12</v>
      </c>
      <c r="F124" s="593"/>
      <c r="G124" s="599">
        <f>CF!S13</f>
        <v>80488.744347983229</v>
      </c>
      <c r="H124" s="599">
        <f>CF!T13</f>
        <v>94534.831626661995</v>
      </c>
      <c r="I124" s="599">
        <f>CF!U13</f>
        <v>112031.61152606754</v>
      </c>
      <c r="J124" s="599">
        <f>CF!V13</f>
        <v>111955.31961184702</v>
      </c>
      <c r="K124" s="599">
        <f>CF!W13</f>
        <v>158826.5378174677</v>
      </c>
      <c r="L124" s="599">
        <f>CF!X13</f>
        <v>194035.53199152311</v>
      </c>
      <c r="M124" s="599">
        <f>CF!Y13</f>
        <v>239630.36660504621</v>
      </c>
      <c r="N124" s="599">
        <f>CF!Z13</f>
        <v>321295.01337613614</v>
      </c>
      <c r="O124" s="599">
        <f>CF!AA13</f>
        <v>405420.6448779644</v>
      </c>
      <c r="P124" s="599">
        <f>CF!AB13</f>
        <v>516853.97286825185</v>
      </c>
    </row>
    <row r="125" spans="5:16" x14ac:dyDescent="0.2">
      <c r="E125" s="593" t="s">
        <v>455</v>
      </c>
      <c r="F125" s="593"/>
      <c r="G125" s="599"/>
      <c r="H125" s="599"/>
      <c r="I125" s="599"/>
      <c r="J125" s="599"/>
      <c r="K125" s="599"/>
      <c r="L125" s="599"/>
      <c r="M125" s="599"/>
      <c r="N125" s="599"/>
      <c r="O125" s="599"/>
      <c r="P125" s="599"/>
    </row>
    <row r="126" spans="5:16" ht="12" x14ac:dyDescent="0.25">
      <c r="E126" s="594" t="s">
        <v>924</v>
      </c>
      <c r="F126" s="593"/>
      <c r="G126" s="599">
        <f>CF!S15</f>
        <v>-20763.707431892821</v>
      </c>
      <c r="H126" s="599">
        <f>CF!T15</f>
        <v>-17410.632798677063</v>
      </c>
      <c r="I126" s="599">
        <f>CF!U15</f>
        <v>-21687.891007927654</v>
      </c>
      <c r="J126" s="599">
        <f>CF!V15</f>
        <v>-27294.059059130464</v>
      </c>
      <c r="K126" s="599">
        <f>CF!W15</f>
        <v>-34694.6180882974</v>
      </c>
      <c r="L126" s="599">
        <f>CF!X15</f>
        <v>-44526.151645464299</v>
      </c>
      <c r="M126" s="599">
        <f>CF!Y15</f>
        <v>-57660.338441237633</v>
      </c>
      <c r="N126" s="599">
        <f>CF!Z15</f>
        <v>-75292.021371504699</v>
      </c>
      <c r="O126" s="599">
        <f>CF!AA15</f>
        <v>-99060.429397344065</v>
      </c>
      <c r="P126" s="599">
        <f>CF!AB15</f>
        <v>-131216.05297730264</v>
      </c>
    </row>
    <row r="127" spans="5:16" x14ac:dyDescent="0.2">
      <c r="E127" s="749" t="s">
        <v>920</v>
      </c>
      <c r="F127" s="749"/>
      <c r="G127" s="599">
        <f>CF!S16</f>
        <v>-3170.469480253847</v>
      </c>
      <c r="H127" s="599">
        <f>CF!T16</f>
        <v>-2923.9962509215184</v>
      </c>
      <c r="I127" s="599">
        <f>CF!U16</f>
        <v>-3642.3324028976931</v>
      </c>
      <c r="J127" s="599">
        <f>CF!V16</f>
        <v>-4583.8498395872302</v>
      </c>
      <c r="K127" s="599">
        <f>CF!W16</f>
        <v>-5826.722922158453</v>
      </c>
      <c r="L127" s="599">
        <f>CF!X16</f>
        <v>-7477.8614875613857</v>
      </c>
      <c r="M127" s="599">
        <f>CF!Y16</f>
        <v>-9683.6579909867141</v>
      </c>
      <c r="N127" s="599">
        <f>CF!Z16</f>
        <v>-12644.778093953639</v>
      </c>
      <c r="O127" s="599">
        <f>CF!AA16</f>
        <v>-16636.519046827438</v>
      </c>
      <c r="P127" s="599">
        <f>CF!AB16</f>
        <v>-22036.835272035911</v>
      </c>
    </row>
    <row r="128" spans="5:16" x14ac:dyDescent="0.2">
      <c r="E128" s="749" t="s">
        <v>838</v>
      </c>
      <c r="F128" s="749"/>
      <c r="G128" s="750">
        <f>CF!S17</f>
        <v>-2219.3277417490972</v>
      </c>
      <c r="H128" s="599">
        <f>CF!T17</f>
        <v>-2587.3418099622977</v>
      </c>
      <c r="I128" s="599">
        <f>CF!U17</f>
        <v>-3222.9722965026485</v>
      </c>
      <c r="J128" s="599">
        <f>CF!V17</f>
        <v>-4056.0880804191329</v>
      </c>
      <c r="K128" s="599">
        <f>CF!W17</f>
        <v>-5155.8629142616192</v>
      </c>
      <c r="L128" s="599">
        <f>CF!X17</f>
        <v>-6616.8975660542928</v>
      </c>
      <c r="M128" s="599">
        <f>CF!Y17</f>
        <v>-8568.7295890202367</v>
      </c>
      <c r="N128" s="599">
        <f>CF!Z17</f>
        <v>-11188.920994639047</v>
      </c>
      <c r="O128" s="599">
        <f>CF!AA17</f>
        <v>-14721.072671869901</v>
      </c>
      <c r="P128" s="599">
        <f>CF!AB17</f>
        <v>-19499.623243573296</v>
      </c>
    </row>
    <row r="129" spans="5:16" x14ac:dyDescent="0.2">
      <c r="E129" s="749" t="s">
        <v>842</v>
      </c>
      <c r="F129" s="749"/>
      <c r="G129" s="599">
        <f>CF!S18</f>
        <v>98.820465714514285</v>
      </c>
      <c r="H129" s="599">
        <f>CF!T18</f>
        <v>-5288.5555636732715</v>
      </c>
      <c r="I129" s="599">
        <f>CF!U18</f>
        <v>-6587.7913790146995</v>
      </c>
      <c r="J129" s="599">
        <f>CF!V18</f>
        <v>-8290.6893483710446</v>
      </c>
      <c r="K129" s="599">
        <f>CF!W18</f>
        <v>-10538.641394718659</v>
      </c>
      <c r="L129" s="599">
        <f>CF!X18</f>
        <v>-13525.012544717669</v>
      </c>
      <c r="M129" s="599">
        <f>CF!Y18</f>
        <v>-17514.579004265805</v>
      </c>
      <c r="N129" s="599">
        <f>CF!Z18</f>
        <v>-22870.279508435458</v>
      </c>
      <c r="O129" s="599">
        <f>CF!AA18</f>
        <v>-30090.036995610804</v>
      </c>
      <c r="P129" s="599">
        <f>CF!AB18</f>
        <v>-39857.447747050843</v>
      </c>
    </row>
    <row r="130" spans="5:16" x14ac:dyDescent="0.2">
      <c r="E130" s="749" t="s">
        <v>450</v>
      </c>
      <c r="F130" s="749"/>
      <c r="G130" s="599">
        <f>CF!S19</f>
        <v>8143.759258446029</v>
      </c>
      <c r="H130" s="599">
        <f>CF!T19</f>
        <v>8846.3912154323916</v>
      </c>
      <c r="I130" s="599">
        <f>CF!U19</f>
        <v>11019.678073295792</v>
      </c>
      <c r="J130" s="599">
        <f>CF!V19</f>
        <v>13868.187738272871</v>
      </c>
      <c r="K130" s="599">
        <f>CF!W19</f>
        <v>17628.432477331735</v>
      </c>
      <c r="L130" s="599">
        <f>CF!X19</f>
        <v>22623.862172509631</v>
      </c>
      <c r="M130" s="599">
        <f>CF!Y19</f>
        <v>29297.379214394852</v>
      </c>
      <c r="N130" s="599">
        <f>CF!Z19</f>
        <v>38256.086619875045</v>
      </c>
      <c r="O130" s="599">
        <f>CF!AA19</f>
        <v>50332.881208327599</v>
      </c>
      <c r="P130" s="599">
        <f>CF!AB19</f>
        <v>66671.243475442374</v>
      </c>
    </row>
    <row r="131" spans="5:16" x14ac:dyDescent="0.2">
      <c r="E131" s="749" t="s">
        <v>511</v>
      </c>
      <c r="F131" s="749"/>
      <c r="G131" s="599">
        <f>CF!S20</f>
        <v>0</v>
      </c>
      <c r="H131" s="599">
        <f>CF!T20</f>
        <v>0</v>
      </c>
      <c r="I131" s="599">
        <f>CF!U20</f>
        <v>0</v>
      </c>
      <c r="J131" s="599">
        <f>CF!V20</f>
        <v>0</v>
      </c>
      <c r="K131" s="599">
        <f>CF!W20</f>
        <v>0</v>
      </c>
      <c r="L131" s="599">
        <f>CF!X20</f>
        <v>0</v>
      </c>
      <c r="M131" s="599">
        <f>CF!Y20</f>
        <v>0</v>
      </c>
      <c r="N131" s="599">
        <f>CF!Z20</f>
        <v>0</v>
      </c>
      <c r="O131" s="599">
        <f>CF!AA20</f>
        <v>0</v>
      </c>
      <c r="P131" s="599">
        <f>CF!AB20</f>
        <v>0</v>
      </c>
    </row>
    <row r="132" spans="5:16" x14ac:dyDescent="0.2">
      <c r="E132" s="749" t="s">
        <v>862</v>
      </c>
      <c r="F132" s="749"/>
      <c r="G132" s="599">
        <f>CF!S21</f>
        <v>81411.767197021429</v>
      </c>
      <c r="H132" s="599">
        <f>CF!T21</f>
        <v>-29019.981939485333</v>
      </c>
      <c r="I132" s="599">
        <f>CF!U21</f>
        <v>26153.2831933079</v>
      </c>
      <c r="J132" s="599">
        <f>CF!V21</f>
        <v>32913.72387510533</v>
      </c>
      <c r="K132" s="599">
        <f>CF!W21</f>
        <v>41838.00867568118</v>
      </c>
      <c r="L132" s="599">
        <f>CF!X21</f>
        <v>53693.789454508747</v>
      </c>
      <c r="M132" s="599">
        <f>CF!Y21</f>
        <v>69532.217758030878</v>
      </c>
      <c r="N132" s="599">
        <f>CF!Z21</f>
        <v>90794.146669483482</v>
      </c>
      <c r="O132" s="599">
        <f>CF!AA21</f>
        <v>119456.31146580435</v>
      </c>
      <c r="P132" s="599">
        <f>CF!AB21</f>
        <v>158232.56358901275</v>
      </c>
    </row>
    <row r="133" spans="5:16" x14ac:dyDescent="0.2">
      <c r="E133" s="749" t="s">
        <v>882</v>
      </c>
      <c r="F133" s="749"/>
      <c r="G133" s="599">
        <f>CF!S22</f>
        <v>31.895232956409018</v>
      </c>
      <c r="H133" s="599">
        <f>CF!T22</f>
        <v>3503.2690947862029</v>
      </c>
      <c r="I133" s="599">
        <f>CF!U22</f>
        <v>4363.914808710324</v>
      </c>
      <c r="J133" s="599">
        <f>CF!V22</f>
        <v>5491.9562475860512</v>
      </c>
      <c r="K133" s="599">
        <f>CF!W22</f>
        <v>6981.0548938449938</v>
      </c>
      <c r="L133" s="599">
        <f>CF!X22</f>
        <v>8959.3004902826651</v>
      </c>
      <c r="M133" s="599">
        <f>CF!Y22</f>
        <v>11602.087298713777</v>
      </c>
      <c r="N133" s="599">
        <f>CF!Z22</f>
        <v>15149.834851196043</v>
      </c>
      <c r="O133" s="599">
        <f>CF!AA22</f>
        <v>19932.379531336468</v>
      </c>
      <c r="P133" s="599">
        <f>CF!AB22</f>
        <v>26402.552305286823</v>
      </c>
    </row>
    <row r="134" spans="5:16" x14ac:dyDescent="0.2">
      <c r="E134" s="749" t="s">
        <v>931</v>
      </c>
      <c r="F134" s="749"/>
      <c r="G134" s="599" t="e">
        <f>CF!S23</f>
        <v>#NAME?</v>
      </c>
      <c r="H134" s="599" t="e">
        <f>CF!T23</f>
        <v>#NAME?</v>
      </c>
      <c r="I134" s="599" t="e">
        <f>CF!U23</f>
        <v>#NAME?</v>
      </c>
      <c r="J134" s="599" t="e">
        <f>CF!V23</f>
        <v>#NAME?</v>
      </c>
      <c r="K134" s="599" t="e">
        <f>CF!W23</f>
        <v>#NAME?</v>
      </c>
      <c r="L134" s="599" t="e">
        <f>CF!X23</f>
        <v>#NAME?</v>
      </c>
      <c r="M134" s="599" t="e">
        <f>CF!Y23</f>
        <v>#NAME?</v>
      </c>
      <c r="N134" s="599" t="e">
        <f>CF!Z23</f>
        <v>#NAME?</v>
      </c>
      <c r="O134" s="599" t="e">
        <f>CF!AA23</f>
        <v>#NAME?</v>
      </c>
      <c r="P134" s="599" t="e">
        <f>CF!AB23</f>
        <v>#NAME?</v>
      </c>
    </row>
    <row r="135" spans="5:16" ht="12" x14ac:dyDescent="0.25">
      <c r="E135" s="596" t="s">
        <v>457</v>
      </c>
      <c r="F135" s="741"/>
      <c r="G135" s="742" t="e">
        <f>CF!S24</f>
        <v>#NAME?</v>
      </c>
      <c r="H135" s="742" t="e">
        <f>CF!T24</f>
        <v>#NAME?</v>
      </c>
      <c r="I135" s="742" t="e">
        <f>CF!U24</f>
        <v>#NAME?</v>
      </c>
      <c r="J135" s="742" t="e">
        <f>CF!V24</f>
        <v>#NAME?</v>
      </c>
      <c r="K135" s="742" t="e">
        <f>CF!W24</f>
        <v>#NAME?</v>
      </c>
      <c r="L135" s="742" t="e">
        <f>CF!X24</f>
        <v>#NAME?</v>
      </c>
      <c r="M135" s="742" t="e">
        <f>CF!Y24</f>
        <v>#NAME?</v>
      </c>
      <c r="N135" s="742" t="e">
        <f>CF!Z24</f>
        <v>#NAME?</v>
      </c>
      <c r="O135" s="742" t="e">
        <f>CF!AA24</f>
        <v>#NAME?</v>
      </c>
      <c r="P135" s="742" t="e">
        <f>CF!AB24</f>
        <v>#NAME?</v>
      </c>
    </row>
    <row r="136" spans="5:16" x14ac:dyDescent="0.2">
      <c r="E136" s="593" t="s">
        <v>942</v>
      </c>
      <c r="F136" s="593"/>
      <c r="G136" s="599">
        <f>CF!S25</f>
        <v>-50000</v>
      </c>
      <c r="H136" s="599">
        <f>CF!T25</f>
        <v>-50000</v>
      </c>
      <c r="I136" s="599">
        <f>CF!U25</f>
        <v>-50000</v>
      </c>
      <c r="J136" s="599">
        <f>CF!V25</f>
        <v>-50000</v>
      </c>
      <c r="K136" s="599">
        <f>CF!W25</f>
        <v>-50000</v>
      </c>
      <c r="L136" s="599">
        <f>CF!X25</f>
        <v>-50000</v>
      </c>
      <c r="M136" s="599">
        <f>CF!Y25</f>
        <v>-50000</v>
      </c>
      <c r="N136" s="599">
        <f>CF!Z25</f>
        <v>-50000</v>
      </c>
      <c r="O136" s="599">
        <f>CF!AA25</f>
        <v>-50000</v>
      </c>
      <c r="P136" s="599">
        <f>CF!AB25</f>
        <v>-50000</v>
      </c>
    </row>
    <row r="137" spans="5:16" x14ac:dyDescent="0.2">
      <c r="E137" s="593" t="s">
        <v>932</v>
      </c>
      <c r="F137" s="593"/>
      <c r="G137" s="599">
        <f>CF!S26</f>
        <v>-10000</v>
      </c>
      <c r="H137" s="599">
        <f>CF!T26</f>
        <v>-5000</v>
      </c>
      <c r="I137" s="599">
        <f>CF!U26</f>
        <v>-5000</v>
      </c>
      <c r="J137" s="599">
        <f>CF!V26</f>
        <v>-5000</v>
      </c>
      <c r="K137" s="599">
        <f>CF!W26</f>
        <v>-5000</v>
      </c>
      <c r="L137" s="599">
        <f>CF!X26</f>
        <v>-5000</v>
      </c>
      <c r="M137" s="599">
        <f>CF!Y26</f>
        <v>-5000</v>
      </c>
      <c r="N137" s="599">
        <f>CF!Z26</f>
        <v>-5000</v>
      </c>
      <c r="O137" s="599">
        <f>CF!AA26</f>
        <v>-5000</v>
      </c>
      <c r="P137" s="599">
        <f>CF!AB26</f>
        <v>-5000</v>
      </c>
    </row>
    <row r="138" spans="5:16" x14ac:dyDescent="0.2">
      <c r="E138" s="593" t="s">
        <v>933</v>
      </c>
      <c r="F138" s="593"/>
      <c r="G138" s="599">
        <f>CF!S27</f>
        <v>0</v>
      </c>
      <c r="H138" s="599">
        <f>CF!T27</f>
        <v>0</v>
      </c>
      <c r="I138" s="599">
        <f>CF!U27</f>
        <v>0</v>
      </c>
      <c r="J138" s="599">
        <f>CF!V27</f>
        <v>0</v>
      </c>
      <c r="K138" s="599">
        <f>CF!W27</f>
        <v>0</v>
      </c>
      <c r="L138" s="599">
        <f>CF!X27</f>
        <v>0</v>
      </c>
      <c r="M138" s="599">
        <f>CF!Y27</f>
        <v>0</v>
      </c>
      <c r="N138" s="599">
        <f>CF!Z27</f>
        <v>0</v>
      </c>
      <c r="O138" s="599">
        <f>CF!AA27</f>
        <v>0</v>
      </c>
      <c r="P138" s="599">
        <f>CF!AB27</f>
        <v>0</v>
      </c>
    </row>
    <row r="139" spans="5:16" ht="12" x14ac:dyDescent="0.25">
      <c r="E139" s="596" t="s">
        <v>458</v>
      </c>
      <c r="F139" s="596"/>
      <c r="G139" s="601" t="e">
        <f>CF!S28</f>
        <v>#NAME?</v>
      </c>
      <c r="H139" s="601" t="e">
        <f>CF!T28</f>
        <v>#NAME?</v>
      </c>
      <c r="I139" s="601" t="e">
        <f>CF!U28</f>
        <v>#NAME?</v>
      </c>
      <c r="J139" s="601" t="e">
        <f>CF!V28</f>
        <v>#NAME?</v>
      </c>
      <c r="K139" s="601" t="e">
        <f>CF!W28</f>
        <v>#NAME?</v>
      </c>
      <c r="L139" s="601" t="e">
        <f>CF!X28</f>
        <v>#NAME?</v>
      </c>
      <c r="M139" s="601" t="e">
        <f>CF!Y28</f>
        <v>#NAME?</v>
      </c>
      <c r="N139" s="601" t="e">
        <f>CF!Z28</f>
        <v>#NAME?</v>
      </c>
      <c r="O139" s="601" t="e">
        <f>CF!AA28</f>
        <v>#NAME?</v>
      </c>
      <c r="P139" s="601" t="e">
        <f>CF!AB28</f>
        <v>#NAME?</v>
      </c>
    </row>
    <row r="140" spans="5:16" x14ac:dyDescent="0.2">
      <c r="E140" s="593" t="s">
        <v>934</v>
      </c>
      <c r="F140" s="593"/>
      <c r="G140" s="599">
        <f>CF!S29</f>
        <v>0</v>
      </c>
      <c r="H140" s="599">
        <f>CF!T29</f>
        <v>0</v>
      </c>
      <c r="I140" s="599">
        <f>CF!U29</f>
        <v>0</v>
      </c>
      <c r="J140" s="599">
        <f>CF!V29</f>
        <v>0</v>
      </c>
      <c r="K140" s="599">
        <f>CF!W29</f>
        <v>0</v>
      </c>
      <c r="L140" s="599">
        <f>CF!X29</f>
        <v>0</v>
      </c>
      <c r="M140" s="599">
        <f>CF!Y29</f>
        <v>0</v>
      </c>
      <c r="N140" s="599">
        <f>CF!Z29</f>
        <v>0</v>
      </c>
      <c r="O140" s="599">
        <f>CF!AA29</f>
        <v>0</v>
      </c>
      <c r="P140" s="599">
        <f>CF!AB29</f>
        <v>0</v>
      </c>
    </row>
    <row r="141" spans="5:16" x14ac:dyDescent="0.2">
      <c r="E141" s="593" t="s">
        <v>936</v>
      </c>
      <c r="F141" s="593"/>
      <c r="G141" s="599">
        <f>CF!S30</f>
        <v>0</v>
      </c>
      <c r="H141" s="599">
        <f>CF!T30</f>
        <v>0</v>
      </c>
      <c r="I141" s="599">
        <f>CF!U30</f>
        <v>0</v>
      </c>
      <c r="J141" s="599">
        <f>CF!V30</f>
        <v>0</v>
      </c>
      <c r="K141" s="599">
        <f>CF!W30</f>
        <v>0</v>
      </c>
      <c r="L141" s="599">
        <f>CF!X30</f>
        <v>0</v>
      </c>
      <c r="M141" s="599">
        <f>CF!Y30</f>
        <v>0</v>
      </c>
      <c r="N141" s="599">
        <f>CF!Z30</f>
        <v>0</v>
      </c>
      <c r="O141" s="599">
        <f>CF!AA30</f>
        <v>0</v>
      </c>
      <c r="P141" s="599">
        <f>CF!AB30</f>
        <v>0</v>
      </c>
    </row>
    <row r="142" spans="5:16" x14ac:dyDescent="0.2">
      <c r="E142" s="593" t="s">
        <v>938</v>
      </c>
      <c r="F142" s="593"/>
      <c r="G142" s="599">
        <f>CF!S31</f>
        <v>0</v>
      </c>
      <c r="H142" s="599">
        <f>CF!T31</f>
        <v>0</v>
      </c>
      <c r="I142" s="599">
        <f>CF!U31</f>
        <v>0</v>
      </c>
      <c r="J142" s="599">
        <f>CF!V31</f>
        <v>0</v>
      </c>
      <c r="K142" s="599">
        <f>CF!W31</f>
        <v>0</v>
      </c>
      <c r="L142" s="599">
        <f>CF!X31</f>
        <v>0</v>
      </c>
      <c r="M142" s="599">
        <f>CF!Y31</f>
        <v>0</v>
      </c>
      <c r="N142" s="599">
        <f>CF!Z31</f>
        <v>0</v>
      </c>
      <c r="O142" s="599">
        <f>CF!AA31</f>
        <v>0</v>
      </c>
      <c r="P142" s="599">
        <f>CF!AB31</f>
        <v>0</v>
      </c>
    </row>
    <row r="143" spans="5:16" x14ac:dyDescent="0.2">
      <c r="E143" s="593" t="s">
        <v>939</v>
      </c>
      <c r="F143" s="593"/>
      <c r="G143" s="599">
        <f>CF!S32</f>
        <v>-17730</v>
      </c>
      <c r="H143" s="599">
        <f>CF!T32</f>
        <v>-32249.125</v>
      </c>
      <c r="I143" s="599">
        <f>CF!U32</f>
        <v>-32249.125</v>
      </c>
      <c r="J143" s="599">
        <f>CF!V32</f>
        <v>-50999.125</v>
      </c>
      <c r="K143" s="599">
        <f>CF!W32</f>
        <v>-50999.125</v>
      </c>
      <c r="L143" s="599">
        <f>CF!X32</f>
        <v>-49921.125</v>
      </c>
      <c r="M143" s="599">
        <f>CF!Y32</f>
        <v>-49921.125</v>
      </c>
      <c r="N143" s="599">
        <f>CF!Z32</f>
        <v>-31171.125</v>
      </c>
      <c r="O143" s="599">
        <f>CF!AA32</f>
        <v>-31171.125</v>
      </c>
      <c r="P143" s="599">
        <f>CF!AB32</f>
        <v>0</v>
      </c>
    </row>
    <row r="144" spans="5:16" x14ac:dyDescent="0.2">
      <c r="E144" s="593" t="s">
        <v>928</v>
      </c>
      <c r="F144" s="593"/>
      <c r="G144" s="599" t="e">
        <f>CF!S33</f>
        <v>#NAME?</v>
      </c>
      <c r="H144" s="599" t="e">
        <f>CF!T33</f>
        <v>#NAME?</v>
      </c>
      <c r="I144" s="599" t="e">
        <f>CF!U33</f>
        <v>#NAME?</v>
      </c>
      <c r="J144" s="599" t="e">
        <f>CF!V33</f>
        <v>#NAME?</v>
      </c>
      <c r="K144" s="599" t="e">
        <f>CF!W33</f>
        <v>#NAME?</v>
      </c>
      <c r="L144" s="599" t="e">
        <f>CF!X33</f>
        <v>#NAME?</v>
      </c>
      <c r="M144" s="599" t="e">
        <f>CF!Y33</f>
        <v>#NAME?</v>
      </c>
      <c r="N144" s="599" t="e">
        <f>CF!Z33</f>
        <v>#NAME?</v>
      </c>
      <c r="O144" s="599" t="e">
        <f>CF!AA33</f>
        <v>#NAME?</v>
      </c>
      <c r="P144" s="599" t="e">
        <f>CF!AB33</f>
        <v>#NAME?</v>
      </c>
    </row>
    <row r="145" spans="5:16" ht="12" x14ac:dyDescent="0.25">
      <c r="E145" s="596" t="s">
        <v>459</v>
      </c>
      <c r="F145" s="596"/>
      <c r="G145" s="601" t="e">
        <f>CF!S34</f>
        <v>#NAME?</v>
      </c>
      <c r="H145" s="601" t="e">
        <f>CF!T34</f>
        <v>#NAME?</v>
      </c>
      <c r="I145" s="601" t="e">
        <f>CF!U34</f>
        <v>#NAME?</v>
      </c>
      <c r="J145" s="601" t="e">
        <f>CF!V34</f>
        <v>#NAME?</v>
      </c>
      <c r="K145" s="601" t="e">
        <f>CF!W34</f>
        <v>#NAME?</v>
      </c>
      <c r="L145" s="601" t="e">
        <f>CF!X34</f>
        <v>#NAME?</v>
      </c>
      <c r="M145" s="601" t="e">
        <f>CF!Y34</f>
        <v>#NAME?</v>
      </c>
      <c r="N145" s="601" t="e">
        <f>CF!Z34</f>
        <v>#NAME?</v>
      </c>
      <c r="O145" s="601" t="e">
        <f>CF!AA34</f>
        <v>#NAME?</v>
      </c>
      <c r="P145" s="601" t="e">
        <f>CF!AB34</f>
        <v>#NAME?</v>
      </c>
    </row>
    <row r="146" spans="5:16" ht="12" x14ac:dyDescent="0.25">
      <c r="E146" s="593" t="s">
        <v>460</v>
      </c>
      <c r="F146" s="594"/>
      <c r="G146" s="599">
        <f>CF!S35</f>
        <v>0</v>
      </c>
      <c r="H146" s="599">
        <f>CF!T35</f>
        <v>0</v>
      </c>
      <c r="I146" s="599">
        <f>CF!U35</f>
        <v>0</v>
      </c>
      <c r="J146" s="599">
        <f>CF!V35</f>
        <v>0</v>
      </c>
      <c r="K146" s="599">
        <f>CF!W35</f>
        <v>0</v>
      </c>
      <c r="L146" s="599">
        <f>CF!X35</f>
        <v>0</v>
      </c>
      <c r="M146" s="599">
        <f>CF!Y35</f>
        <v>0</v>
      </c>
      <c r="N146" s="599">
        <f>CF!Z35</f>
        <v>0</v>
      </c>
      <c r="O146" s="599">
        <f>CF!AA35</f>
        <v>0</v>
      </c>
      <c r="P146" s="599">
        <f>CF!AB35</f>
        <v>0</v>
      </c>
    </row>
    <row r="147" spans="5:16" ht="12" x14ac:dyDescent="0.25">
      <c r="E147" s="596" t="s">
        <v>461</v>
      </c>
      <c r="F147" s="596"/>
      <c r="G147" s="601" t="e">
        <f>CF!S36</f>
        <v>#NAME?</v>
      </c>
      <c r="H147" s="601" t="e">
        <f>CF!T36</f>
        <v>#NAME?</v>
      </c>
      <c r="I147" s="601" t="e">
        <f>CF!U36</f>
        <v>#NAME?</v>
      </c>
      <c r="J147" s="601" t="e">
        <f>CF!V36</f>
        <v>#NAME?</v>
      </c>
      <c r="K147" s="601" t="e">
        <f>CF!W36</f>
        <v>#NAME?</v>
      </c>
      <c r="L147" s="601" t="e">
        <f>CF!X36</f>
        <v>#NAME?</v>
      </c>
      <c r="M147" s="601" t="e">
        <f>CF!Y36</f>
        <v>#NAME?</v>
      </c>
      <c r="N147" s="601" t="e">
        <f>CF!Z36</f>
        <v>#NAME?</v>
      </c>
      <c r="O147" s="601" t="e">
        <f>CF!AA36</f>
        <v>#NAME?</v>
      </c>
      <c r="P147" s="601" t="e">
        <f>CF!AB36</f>
        <v>#NAME?</v>
      </c>
    </row>
    <row r="148" spans="5:16" x14ac:dyDescent="0.2">
      <c r="E148" s="593" t="s">
        <v>941</v>
      </c>
      <c r="F148" s="593"/>
      <c r="G148" s="599">
        <f>CF!S37</f>
        <v>0</v>
      </c>
      <c r="H148" s="599">
        <f>CF!T37</f>
        <v>0</v>
      </c>
      <c r="I148" s="599">
        <f>CF!U37</f>
        <v>0</v>
      </c>
      <c r="J148" s="599">
        <f>CF!V37</f>
        <v>0</v>
      </c>
      <c r="K148" s="599">
        <f>CF!W37</f>
        <v>0</v>
      </c>
      <c r="L148" s="599">
        <f>CF!X37</f>
        <v>0</v>
      </c>
      <c r="M148" s="599">
        <f>CF!Y37</f>
        <v>0</v>
      </c>
      <c r="N148" s="599">
        <f>CF!Z37</f>
        <v>0</v>
      </c>
      <c r="O148" s="599">
        <f>CF!AA37</f>
        <v>0</v>
      </c>
      <c r="P148" s="599">
        <f>CF!AB37</f>
        <v>0</v>
      </c>
    </row>
    <row r="149" spans="5:16" x14ac:dyDescent="0.2">
      <c r="E149" s="593" t="s">
        <v>462</v>
      </c>
      <c r="F149" s="593"/>
      <c r="G149" s="599">
        <f>CF!S38</f>
        <v>422580</v>
      </c>
      <c r="H149" s="599" t="e">
        <f>CF!T38</f>
        <v>#NAME?</v>
      </c>
      <c r="I149" s="599" t="e">
        <f>CF!U38</f>
        <v>#NAME?</v>
      </c>
      <c r="J149" s="599" t="e">
        <f>CF!V38</f>
        <v>#NAME?</v>
      </c>
      <c r="K149" s="599" t="e">
        <f>CF!W38</f>
        <v>#NAME?</v>
      </c>
      <c r="L149" s="599" t="e">
        <f>CF!X38</f>
        <v>#NAME?</v>
      </c>
      <c r="M149" s="599" t="e">
        <f>CF!Y38</f>
        <v>#NAME?</v>
      </c>
      <c r="N149" s="599" t="e">
        <f>CF!Z38</f>
        <v>#NAME?</v>
      </c>
      <c r="O149" s="599" t="e">
        <f>CF!AA38</f>
        <v>#NAME?</v>
      </c>
      <c r="P149" s="599" t="e">
        <f>CF!AB38</f>
        <v>#NAME?</v>
      </c>
    </row>
    <row r="150" spans="5:16" ht="12.6" thickBot="1" x14ac:dyDescent="0.3">
      <c r="E150" s="747" t="s">
        <v>463</v>
      </c>
      <c r="F150" s="747"/>
      <c r="G150" s="748" t="e">
        <f>CF!S39</f>
        <v>#NAME?</v>
      </c>
      <c r="H150" s="748" t="e">
        <f>CF!T39</f>
        <v>#NAME?</v>
      </c>
      <c r="I150" s="748" t="e">
        <f>CF!U39</f>
        <v>#NAME?</v>
      </c>
      <c r="J150" s="748" t="e">
        <f>CF!V39</f>
        <v>#NAME?</v>
      </c>
      <c r="K150" s="748" t="e">
        <f>CF!W39</f>
        <v>#NAME?</v>
      </c>
      <c r="L150" s="748" t="e">
        <f>CF!X39</f>
        <v>#NAME?</v>
      </c>
      <c r="M150" s="748" t="e">
        <f>CF!Y39</f>
        <v>#NAME?</v>
      </c>
      <c r="N150" s="748" t="e">
        <f>CF!Z39</f>
        <v>#NAME?</v>
      </c>
      <c r="O150" s="748" t="e">
        <f>CF!AA39</f>
        <v>#NAME?</v>
      </c>
      <c r="P150" s="748" t="e">
        <f>CF!AB39</f>
        <v>#NAME?</v>
      </c>
    </row>
  </sheetData>
  <conditionalFormatting sqref="G5:Q23 G44:Q47 H48:Q48 G49:Q62">
    <cfRule type="cellIs" dxfId="7" priority="11" operator="lessThan">
      <formula>0</formula>
    </cfRule>
  </conditionalFormatting>
  <conditionalFormatting sqref="G25:Q30">
    <cfRule type="cellIs" dxfId="6" priority="9" operator="lessThan">
      <formula>0</formula>
    </cfRule>
  </conditionalFormatting>
  <conditionalFormatting sqref="Q25:Q30">
    <cfRule type="cellIs" dxfId="5" priority="8" operator="lessThan">
      <formula>0</formula>
    </cfRule>
  </conditionalFormatting>
  <conditionalFormatting sqref="G36:R39">
    <cfRule type="cellIs" dxfId="4" priority="7" operator="lessThan">
      <formula>0</formula>
    </cfRule>
  </conditionalFormatting>
  <conditionalFormatting sqref="Q36:Q39">
    <cfRule type="cellIs" dxfId="3" priority="6" operator="lessThan">
      <formula>0</formula>
    </cfRule>
  </conditionalFormatting>
  <conditionalFormatting sqref="R36:R39">
    <cfRule type="cellIs" dxfId="2" priority="4" operator="lessThan">
      <formula>0</formula>
    </cfRule>
  </conditionalFormatting>
  <conditionalFormatting sqref="G67:P70 H71:P71 G72:P92">
    <cfRule type="cellIs" dxfId="1" priority="2" operator="lessThan">
      <formula>0</formula>
    </cfRule>
  </conditionalFormatting>
  <conditionalFormatting sqref="G124:P127 H128:P128 G129:P149">
    <cfRule type="cellIs" dxfId="0" priority="1" operator="lessThan">
      <formula>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67E7C-C007-4CDB-A6E8-04597A7CB117}">
  <sheetPr>
    <tabColor rgb="FF0000FF"/>
  </sheetPr>
  <dimension ref="A2:Q39"/>
  <sheetViews>
    <sheetView zoomScaleNormal="100" workbookViewId="0">
      <pane xSplit="2" ySplit="4" topLeftCell="C5" activePane="bottomRight" state="frozen"/>
      <selection pane="topRight" activeCell="C1" sqref="C1"/>
      <selection pane="bottomLeft" activeCell="A5" sqref="A5"/>
      <selection pane="bottomRight" activeCell="K30" sqref="K30"/>
    </sheetView>
  </sheetViews>
  <sheetFormatPr defaultColWidth="9.109375" defaultRowHeight="10.199999999999999" x14ac:dyDescent="0.3"/>
  <cols>
    <col min="1" max="1" width="1.44140625" style="422" customWidth="1"/>
    <col min="2" max="2" width="35.44140625" style="422" bestFit="1" customWidth="1"/>
    <col min="3" max="3" width="22" style="421" bestFit="1" customWidth="1"/>
    <col min="4" max="4" width="11" style="421" bestFit="1" customWidth="1"/>
    <col min="5" max="5" width="9.44140625" style="421" customWidth="1"/>
    <col min="6" max="6" width="0.88671875" style="421" customWidth="1"/>
    <col min="7" max="8" width="7.44140625" style="421" customWidth="1"/>
    <col min="9" max="9" width="0.88671875" style="421" customWidth="1"/>
    <col min="10" max="11" width="7.44140625" style="421" customWidth="1"/>
    <col min="12" max="12" width="0.88671875" style="421" customWidth="1"/>
    <col min="13" max="13" width="7.44140625" style="421" customWidth="1"/>
    <col min="14" max="14" width="0.88671875" style="421" customWidth="1"/>
    <col min="15" max="15" width="9.33203125" style="421" bestFit="1" customWidth="1"/>
    <col min="16" max="18" width="0.88671875" style="421" customWidth="1"/>
    <col min="19" max="16384" width="9.109375" style="421"/>
  </cols>
  <sheetData>
    <row r="2" spans="1:15" s="436" customFormat="1" x14ac:dyDescent="0.3"/>
    <row r="3" spans="1:15" s="426" customFormat="1" ht="30" customHeight="1" x14ac:dyDescent="0.3">
      <c r="A3" s="427"/>
      <c r="B3" s="758" t="s">
        <v>691</v>
      </c>
      <c r="C3" s="759" t="s">
        <v>1133</v>
      </c>
      <c r="D3" s="435" t="s">
        <v>690</v>
      </c>
      <c r="E3" s="435" t="s">
        <v>679</v>
      </c>
      <c r="G3" s="760" t="s">
        <v>689</v>
      </c>
      <c r="H3" s="760"/>
      <c r="I3" s="434"/>
      <c r="J3" s="760" t="s">
        <v>688</v>
      </c>
      <c r="K3" s="760"/>
      <c r="L3" s="434"/>
      <c r="M3" s="612" t="s">
        <v>687</v>
      </c>
      <c r="N3" s="434"/>
      <c r="O3" s="612" t="s">
        <v>686</v>
      </c>
    </row>
    <row r="4" spans="1:15" s="430" customFormat="1" ht="15" customHeight="1" x14ac:dyDescent="0.3">
      <c r="A4" s="433"/>
      <c r="B4" s="758"/>
      <c r="C4" s="759"/>
      <c r="D4" s="431" t="s">
        <v>1211</v>
      </c>
      <c r="E4" s="431" t="str">
        <f>+D4</f>
        <v>(SARmn)</v>
      </c>
      <c r="G4" s="432" t="str">
        <f>+[12]OutputAll!H4</f>
        <v>LTM</v>
      </c>
      <c r="H4" s="432" t="s">
        <v>752</v>
      </c>
      <c r="J4" s="432" t="str">
        <f>+G4</f>
        <v>LTM</v>
      </c>
      <c r="K4" s="432" t="s">
        <v>752</v>
      </c>
      <c r="M4" s="432" t="str">
        <f>+J4</f>
        <v>LTM</v>
      </c>
      <c r="O4" s="432" t="str">
        <f>+M4</f>
        <v>LTM</v>
      </c>
    </row>
    <row r="5" spans="1:15" x14ac:dyDescent="0.3">
      <c r="B5" s="429" t="s">
        <v>1130</v>
      </c>
      <c r="G5" s="425"/>
      <c r="H5" s="425"/>
      <c r="J5" s="425"/>
      <c r="K5" s="425"/>
      <c r="M5" s="424"/>
      <c r="O5" s="424"/>
    </row>
    <row r="6" spans="1:15" x14ac:dyDescent="0.3">
      <c r="B6" s="688" t="str">
        <f>'Screening Enhanced'!B9</f>
        <v xml:space="preserve">10x Genomics, Inc. </v>
      </c>
      <c r="C6" s="689" t="str">
        <f>'Screening Enhanced'!F9</f>
        <v xml:space="preserve">United States and Canada </v>
      </c>
      <c r="D6" s="690">
        <f>'Screening Enhanced'!H9</f>
        <v>8834</v>
      </c>
      <c r="E6" s="690">
        <f>'Screening Enhanced'!G9</f>
        <v>8379</v>
      </c>
      <c r="F6" s="690"/>
      <c r="G6" s="691" t="str">
        <f>'Screening Enhanced'!O9</f>
        <v>NM</v>
      </c>
      <c r="H6" s="691" t="str">
        <f>'Screening Enhanced'!P9</f>
        <v>NM</v>
      </c>
      <c r="I6" s="690"/>
      <c r="J6" s="691" t="str">
        <f>'Screening Enhanced'!M9</f>
        <v>NM</v>
      </c>
      <c r="K6" s="691" t="str">
        <f>'Screening Enhanced'!N9</f>
        <v>NM</v>
      </c>
      <c r="L6" s="690"/>
      <c r="M6" s="692">
        <f>'Screening Enhanced'!K9/'Screening Enhanced'!J9</f>
        <v>-4.9722362443210502E-2</v>
      </c>
      <c r="N6" s="690"/>
      <c r="O6" s="692">
        <f>'Screening Enhanced'!L9/'Screening Enhanced'!J9</f>
        <v>-0.99167087329631498</v>
      </c>
    </row>
    <row r="7" spans="1:15" x14ac:dyDescent="0.3">
      <c r="B7" s="688" t="str">
        <f>'Screening Enhanced'!B10</f>
        <v xml:space="preserve">AbCellera Biologics Inc. </v>
      </c>
      <c r="C7" s="689" t="str">
        <f>'Screening Enhanced'!F10</f>
        <v xml:space="preserve">United States and Canada </v>
      </c>
      <c r="D7" s="690">
        <f>'Screening Enhanced'!H10</f>
        <v>2300.1999999999998</v>
      </c>
      <c r="E7" s="690">
        <f>'Screening Enhanced'!G10</f>
        <v>1669</v>
      </c>
      <c r="F7" s="690"/>
      <c r="G7" s="691">
        <f>'Screening Enhanced'!O10</f>
        <v>6.37</v>
      </c>
      <c r="H7" s="691">
        <f>'Screening Enhanced'!P10</f>
        <v>33.299999999999997</v>
      </c>
      <c r="I7" s="690"/>
      <c r="J7" s="691">
        <f>'Screening Enhanced'!M10</f>
        <v>14.5</v>
      </c>
      <c r="K7" s="691">
        <f>'Screening Enhanced'!N10</f>
        <v>33.799999999999997</v>
      </c>
      <c r="L7" s="690"/>
      <c r="M7" s="692">
        <f>'Screening Enhanced'!K10/'Screening Enhanced'!J10</f>
        <v>0.67276051188299824</v>
      </c>
      <c r="N7" s="690"/>
      <c r="O7" s="692">
        <f>'Screening Enhanced'!L10/'Screening Enhanced'!J10</f>
        <v>0.47427526769391487</v>
      </c>
    </row>
    <row r="8" spans="1:15" x14ac:dyDescent="0.3">
      <c r="B8" s="688" t="str">
        <f>'Screening Enhanced'!B11</f>
        <v xml:space="preserve">AddLife AB (publ) </v>
      </c>
      <c r="C8" s="689" t="str">
        <f>'Screening Enhanced'!F11</f>
        <v xml:space="preserve">SARopean Developed Markets </v>
      </c>
      <c r="D8" s="690">
        <f>'Screening Enhanced'!H11</f>
        <v>3071.8</v>
      </c>
      <c r="E8" s="690">
        <f>'Screening Enhanced'!G11</f>
        <v>3446.4</v>
      </c>
      <c r="F8" s="690"/>
      <c r="G8" s="691">
        <f>'Screening Enhanced'!O11</f>
        <v>24.2</v>
      </c>
      <c r="H8" s="691">
        <f>'Screening Enhanced'!P11</f>
        <v>24.7</v>
      </c>
      <c r="I8" s="690"/>
      <c r="J8" s="691">
        <f>'Screening Enhanced'!M11</f>
        <v>40.6</v>
      </c>
      <c r="K8" s="691">
        <f>'Screening Enhanced'!N11</f>
        <v>46.4</v>
      </c>
      <c r="L8" s="690"/>
      <c r="M8" s="692">
        <f>'Screening Enhanced'!K11/'Screening Enhanced'!J11</f>
        <v>0.18049659076289723</v>
      </c>
      <c r="N8" s="690"/>
      <c r="O8" s="692">
        <f>'Screening Enhanced'!L11/'Screening Enhanced'!J11</f>
        <v>8.9926669239675808E-2</v>
      </c>
    </row>
    <row r="9" spans="1:15" x14ac:dyDescent="0.3">
      <c r="B9" s="688" t="str">
        <f>'Screening Enhanced'!B12</f>
        <v xml:space="preserve">Bachem Holding AG </v>
      </c>
      <c r="C9" s="689" t="str">
        <f>'Screening Enhanced'!F12</f>
        <v xml:space="preserve">SARopean Developed Markets </v>
      </c>
      <c r="D9" s="690">
        <f>'Screening Enhanced'!H12</f>
        <v>7742.1</v>
      </c>
      <c r="E9" s="690">
        <f>'Screening Enhanced'!G12</f>
        <v>7862</v>
      </c>
      <c r="F9" s="690"/>
      <c r="G9" s="691">
        <f>'Screening Enhanced'!O12</f>
        <v>58.1</v>
      </c>
      <c r="H9" s="691">
        <f>'Screening Enhanced'!P12</f>
        <v>44.1</v>
      </c>
      <c r="I9" s="690"/>
      <c r="J9" s="691">
        <f>'Screening Enhanced'!M12</f>
        <v>78.400000000000006</v>
      </c>
      <c r="K9" s="691">
        <f>'Screening Enhanced'!N12</f>
        <v>60.9</v>
      </c>
      <c r="L9" s="690"/>
      <c r="M9" s="692">
        <f>'Screening Enhanced'!K12/'Screening Enhanced'!J12</f>
        <v>0.30616583982990786</v>
      </c>
      <c r="N9" s="690"/>
      <c r="O9" s="692">
        <f>'Screening Enhanced'!L12/'Screening Enhanced'!J12</f>
        <v>0.21190644932671865</v>
      </c>
    </row>
    <row r="10" spans="1:15" x14ac:dyDescent="0.3">
      <c r="B10" s="428" t="str">
        <f>'Screening Enhanced'!B13</f>
        <v xml:space="preserve">Bio-Rad Laboratories, Inc. </v>
      </c>
      <c r="C10" s="422" t="str">
        <f>'Screening Enhanced'!F13</f>
        <v xml:space="preserve">United States and Canada </v>
      </c>
      <c r="D10" s="421">
        <f>'Screening Enhanced'!H13</f>
        <v>16321.8</v>
      </c>
      <c r="E10" s="421">
        <f>'Screening Enhanced'!G13</f>
        <v>15349.4</v>
      </c>
      <c r="G10" s="425">
        <f>'Screening Enhanced'!O13</f>
        <v>21.9</v>
      </c>
      <c r="H10" s="425">
        <f>'Screening Enhanced'!P13</f>
        <v>30.7</v>
      </c>
      <c r="J10" s="425">
        <f>'Screening Enhanced'!M13</f>
        <v>2.83</v>
      </c>
      <c r="K10" s="425">
        <f>'Screening Enhanced'!N13</f>
        <v>49.9</v>
      </c>
      <c r="M10" s="424">
        <f>'Screening Enhanced'!K13/'Screening Enhanced'!J13</f>
        <v>0.25470670608370932</v>
      </c>
      <c r="O10" s="424">
        <f>'Screening Enhanced'!L13/'Screening Enhanced'!J13</f>
        <v>2.234751828224677</v>
      </c>
    </row>
    <row r="11" spans="1:15" x14ac:dyDescent="0.3">
      <c r="B11" s="428" t="str">
        <f>'Screening Enhanced'!B14</f>
        <v xml:space="preserve">Bio-Techne Corporation </v>
      </c>
      <c r="C11" s="422" t="str">
        <f>'Screening Enhanced'!F14</f>
        <v xml:space="preserve">United States and Canada </v>
      </c>
      <c r="D11" s="421">
        <f>'Screening Enhanced'!H14</f>
        <v>14077</v>
      </c>
      <c r="E11" s="421">
        <f>'Screening Enhanced'!G14</f>
        <v>14140.5</v>
      </c>
      <c r="G11" s="425">
        <f>'Screening Enhanced'!O14</f>
        <v>43.7</v>
      </c>
      <c r="H11" s="425">
        <f>'Screening Enhanced'!P14</f>
        <v>33.299999999999997</v>
      </c>
      <c r="J11" s="425">
        <f>'Screening Enhanced'!M14</f>
        <v>79.599999999999994</v>
      </c>
      <c r="K11" s="425">
        <f>'Screening Enhanced'!N14</f>
        <v>49.1</v>
      </c>
      <c r="M11" s="424">
        <f>'Screening Enhanced'!K14/'Screening Enhanced'!J14</f>
        <v>0.32121948525350713</v>
      </c>
      <c r="O11" s="424">
        <f>'Screening Enhanced'!L14/'Screening Enhanced'!J14</f>
        <v>0.20446260907986302</v>
      </c>
    </row>
    <row r="12" spans="1:15" x14ac:dyDescent="0.3">
      <c r="B12" s="428" t="str">
        <f>'Screening Enhanced'!B15</f>
        <v xml:space="preserve">Bruker Corporation </v>
      </c>
      <c r="C12" s="422" t="str">
        <f>'Screening Enhanced'!F15</f>
        <v xml:space="preserve">United States and Canada </v>
      </c>
      <c r="D12" s="421">
        <f>'Screening Enhanced'!H15</f>
        <v>8902.6</v>
      </c>
      <c r="E12" s="421">
        <f>'Screening Enhanced'!G15</f>
        <v>9071.7999999999993</v>
      </c>
      <c r="G12" s="425">
        <f>'Screening Enhanced'!O15</f>
        <v>20.399999999999999</v>
      </c>
      <c r="H12" s="425">
        <f>'Screening Enhanced'!P15</f>
        <v>19</v>
      </c>
      <c r="J12" s="425">
        <f>'Screening Enhanced'!M15</f>
        <v>37.9</v>
      </c>
      <c r="K12" s="425">
        <f>'Screening Enhanced'!N15</f>
        <v>31.3</v>
      </c>
      <c r="M12" s="424">
        <f>'Screening Enhanced'!K15/'Screening Enhanced'!J15</f>
        <v>0.21493767788791834</v>
      </c>
      <c r="O12" s="424">
        <f>'Screening Enhanced'!L15/'Screening Enhanced'!J15</f>
        <v>0.11443713809009716</v>
      </c>
    </row>
    <row r="13" spans="1:15" x14ac:dyDescent="0.3">
      <c r="B13" s="428" t="str">
        <f>'Screening Enhanced'!B16</f>
        <v xml:space="preserve">Charles River Laboratories International, Inc. </v>
      </c>
      <c r="C13" s="422" t="str">
        <f>'Screening Enhanced'!F16</f>
        <v xml:space="preserve">United States and Canada </v>
      </c>
      <c r="D13" s="421">
        <f>'Screening Enhanced'!H16</f>
        <v>14876.1</v>
      </c>
      <c r="E13" s="421">
        <f>'Screening Enhanced'!G16</f>
        <v>17495.7</v>
      </c>
      <c r="G13" s="425">
        <f>'Screening Enhanced'!O16</f>
        <v>20.399999999999999</v>
      </c>
      <c r="H13" s="425">
        <f>'Screening Enhanced'!P16</f>
        <v>20.5</v>
      </c>
      <c r="J13" s="425">
        <f>'Screening Enhanced'!M16</f>
        <v>43.7</v>
      </c>
      <c r="K13" s="425">
        <f>'Screening Enhanced'!N16</f>
        <v>30.5</v>
      </c>
      <c r="M13" s="424">
        <f>'Screening Enhanced'!K16/'Screening Enhanced'!J16</f>
        <v>0.24293379814757851</v>
      </c>
      <c r="O13" s="424">
        <f>'Screening Enhanced'!L16/'Screening Enhanced'!J16</f>
        <v>0.11575925356300625</v>
      </c>
    </row>
    <row r="14" spans="1:15" x14ac:dyDescent="0.3">
      <c r="B14" s="428" t="str">
        <f>'Screening Enhanced'!B17</f>
        <v xml:space="preserve">Clinigen Group plc </v>
      </c>
      <c r="C14" s="422" t="str">
        <f>'Screening Enhanced'!F17</f>
        <v xml:space="preserve">SARopean Developed Markets </v>
      </c>
      <c r="D14" s="421">
        <f>'Screening Enhanced'!H17</f>
        <v>1447.5</v>
      </c>
      <c r="E14" s="421">
        <f>'Screening Enhanced'!G17</f>
        <v>1847.4</v>
      </c>
      <c r="G14" s="425">
        <f>'Screening Enhanced'!O17</f>
        <v>14.4</v>
      </c>
      <c r="H14" s="425">
        <f>'Screening Enhanced'!P17</f>
        <v>12.6</v>
      </c>
      <c r="J14" s="425">
        <f>'Screening Enhanced'!M17</f>
        <v>31.2</v>
      </c>
      <c r="K14" s="425">
        <f>'Screening Enhanced'!N17</f>
        <v>16.7</v>
      </c>
      <c r="M14" s="424">
        <f>'Screening Enhanced'!K17/'Screening Enhanced'!J17</f>
        <v>0.20609936055090999</v>
      </c>
      <c r="O14" s="424">
        <f>'Screening Enhanced'!L17/'Screening Enhanced'!J17</f>
        <v>5.7878340711592063E-2</v>
      </c>
    </row>
    <row r="15" spans="1:15" x14ac:dyDescent="0.3">
      <c r="B15" s="698" t="str">
        <f>'Screening Enhanced'!B18</f>
        <v xml:space="preserve">Evotec SE </v>
      </c>
      <c r="C15" s="699" t="str">
        <f>'Screening Enhanced'!F18</f>
        <v xml:space="preserve">SARopean Developed Markets </v>
      </c>
      <c r="D15" s="700">
        <f>'Screening Enhanced'!H18</f>
        <v>6414.3</v>
      </c>
      <c r="E15" s="700">
        <f>'Screening Enhanced'!G18</f>
        <v>6487.7</v>
      </c>
      <c r="F15" s="700"/>
      <c r="G15" s="701">
        <f>'Screening Enhanced'!O18</f>
        <v>77.599999999999994</v>
      </c>
      <c r="H15" s="701">
        <f>'Screening Enhanced'!P18</f>
        <v>52.5</v>
      </c>
      <c r="I15" s="700"/>
      <c r="J15" s="701">
        <f>'Screening Enhanced'!M18</f>
        <v>24.3</v>
      </c>
      <c r="K15" s="701">
        <f>'Screening Enhanced'!N18</f>
        <v>73.900000000000006</v>
      </c>
      <c r="L15" s="700"/>
      <c r="M15" s="702">
        <f>'Screening Enhanced'!K18/'Screening Enhanced'!J18</f>
        <v>0.14593175853018373</v>
      </c>
      <c r="N15" s="700"/>
      <c r="O15" s="702">
        <f>'Screening Enhanced'!L18/'Screening Enhanced'!J18</f>
        <v>0.43289588801399825</v>
      </c>
    </row>
    <row r="16" spans="1:15" x14ac:dyDescent="0.3">
      <c r="B16" s="688" t="str">
        <f>'Screening Enhanced'!B19</f>
        <v xml:space="preserve">Gerresheimer AG </v>
      </c>
      <c r="C16" s="689" t="str">
        <f>'Screening Enhanced'!F19</f>
        <v xml:space="preserve">SARopean Developed Markets </v>
      </c>
      <c r="D16" s="690">
        <f>'Screening Enhanced'!H19</f>
        <v>2485.3000000000002</v>
      </c>
      <c r="E16" s="690">
        <f>'Screening Enhanced'!G19</f>
        <v>3573</v>
      </c>
      <c r="F16" s="690"/>
      <c r="G16" s="691">
        <f>'Screening Enhanced'!O19</f>
        <v>12.4</v>
      </c>
      <c r="H16" s="691">
        <f>'Screening Enhanced'!P19</f>
        <v>10.4</v>
      </c>
      <c r="I16" s="690"/>
      <c r="J16" s="691">
        <f>'Screening Enhanced'!M19</f>
        <v>28.7</v>
      </c>
      <c r="K16" s="691">
        <f>'Screening Enhanced'!N19</f>
        <v>17</v>
      </c>
      <c r="L16" s="690"/>
      <c r="M16" s="692">
        <f>'Screening Enhanced'!K19/'Screening Enhanced'!J19</f>
        <v>0.19635420222571176</v>
      </c>
      <c r="N16" s="690"/>
      <c r="O16" s="692">
        <f>'Screening Enhanced'!L19/'Screening Enhanced'!J19</f>
        <v>5.9056462074144875E-2</v>
      </c>
    </row>
    <row r="17" spans="2:17" x14ac:dyDescent="0.3">
      <c r="B17" s="688" t="str">
        <f>'Screening Enhanced'!B20</f>
        <v xml:space="preserve">Maravai LifeSciences Holdings, Inc. </v>
      </c>
      <c r="C17" s="689" t="str">
        <f>'Screening Enhanced'!F20</f>
        <v xml:space="preserve">United States and Canada </v>
      </c>
      <c r="D17" s="690">
        <f>'Screening Enhanced'!H20</f>
        <v>3377.9</v>
      </c>
      <c r="E17" s="690">
        <f>'Screening Enhanced'!G20</f>
        <v>3554.3</v>
      </c>
      <c r="F17" s="690"/>
      <c r="G17" s="691">
        <f>'Screening Enhanced'!O20</f>
        <v>8.9499999999999993</v>
      </c>
      <c r="H17" s="691">
        <f>'Screening Enhanced'!P20</f>
        <v>6.85</v>
      </c>
      <c r="I17" s="690"/>
      <c r="J17" s="691">
        <f>'Screening Enhanced'!M20</f>
        <v>6.23</v>
      </c>
      <c r="K17" s="691">
        <f>'Screening Enhanced'!N20</f>
        <v>19.3</v>
      </c>
      <c r="L17" s="690"/>
      <c r="M17" s="692">
        <f>'Screening Enhanced'!K20/'Screening Enhanced'!J20</f>
        <v>0.67313355274553965</v>
      </c>
      <c r="N17" s="690"/>
      <c r="O17" s="692">
        <f>'Screening Enhanced'!L20/'Screening Enhanced'!J20</f>
        <v>0.22691841330330853</v>
      </c>
    </row>
    <row r="18" spans="2:17" x14ac:dyDescent="0.3">
      <c r="B18" s="428" t="str">
        <f>'Screening Enhanced'!B21</f>
        <v xml:space="preserve">Medpace Holdings, Inc. </v>
      </c>
      <c r="C18" s="422" t="str">
        <f>'Screening Enhanced'!F21</f>
        <v xml:space="preserve">United States and Canada </v>
      </c>
      <c r="D18" s="421">
        <f>'Screening Enhanced'!H21</f>
        <v>5291</v>
      </c>
      <c r="E18" s="421">
        <f>'Screening Enhanced'!G21</f>
        <v>5067.8</v>
      </c>
      <c r="G18" s="425">
        <f>'Screening Enhanced'!O21</f>
        <v>23.2</v>
      </c>
      <c r="H18" s="425">
        <f>'Screening Enhanced'!P21</f>
        <v>22.8</v>
      </c>
      <c r="J18" s="425">
        <f>'Screening Enhanced'!M21</f>
        <v>35</v>
      </c>
      <c r="K18" s="425">
        <f>'Screening Enhanced'!N21</f>
        <v>32.700000000000003</v>
      </c>
      <c r="M18" s="424">
        <f>'Screening Enhanced'!K21/'Screening Enhanced'!J21</f>
        <v>0.20105988341282457</v>
      </c>
      <c r="O18" s="424">
        <f>'Screening Enhanced'!L21/'Screening Enhanced'!J21</f>
        <v>0.16703762586115525</v>
      </c>
    </row>
    <row r="19" spans="2:17" x14ac:dyDescent="0.3">
      <c r="B19" s="688" t="str">
        <f>'Screening Enhanced'!B22</f>
        <v xml:space="preserve">NeoGenomics, Inc. </v>
      </c>
      <c r="C19" s="689" t="str">
        <f>'Screening Enhanced'!F22</f>
        <v xml:space="preserve">United States and Canada </v>
      </c>
      <c r="D19" s="690">
        <f>'Screening Enhanced'!H22</f>
        <v>2290.4</v>
      </c>
      <c r="E19" s="690">
        <f>'Screening Enhanced'!G22</f>
        <v>2351.6999999999998</v>
      </c>
      <c r="F19" s="690"/>
      <c r="G19" s="691" t="str">
        <f>'Screening Enhanced'!O22</f>
        <v>NM</v>
      </c>
      <c r="H19" s="691" t="str">
        <f>'Screening Enhanced'!P22</f>
        <v>NM</v>
      </c>
      <c r="I19" s="690"/>
      <c r="J19" s="691">
        <f>'Screening Enhanced'!M22</f>
        <v>52.8</v>
      </c>
      <c r="K19" s="691" t="str">
        <f>'Screening Enhanced'!N22</f>
        <v>NM</v>
      </c>
      <c r="L19" s="690"/>
      <c r="M19" s="692">
        <f>'Screening Enhanced'!K22/'Screening Enhanced'!J22</f>
        <v>-2.1717292513752689E-2</v>
      </c>
      <c r="N19" s="690"/>
      <c r="O19" s="692">
        <f>'Screening Enhanced'!L22/'Screening Enhanced'!J22</f>
        <v>0.10069361396795025</v>
      </c>
    </row>
    <row r="20" spans="2:17" x14ac:dyDescent="0.3">
      <c r="B20" s="688" t="str">
        <f>'Screening Enhanced'!B23</f>
        <v xml:space="preserve">QIAGEN N.V. </v>
      </c>
      <c r="C20" s="689" t="str">
        <f>'Screening Enhanced'!F23</f>
        <v xml:space="preserve">SARopean Developed Markets </v>
      </c>
      <c r="D20" s="690">
        <f>'Screening Enhanced'!H23</f>
        <v>9739.2000000000007</v>
      </c>
      <c r="E20" s="690">
        <f>'Screening Enhanced'!G23</f>
        <v>10602.7</v>
      </c>
      <c r="F20" s="690"/>
      <c r="G20" s="691">
        <f>'Screening Enhanced'!O23</f>
        <v>14.1</v>
      </c>
      <c r="H20" s="691">
        <f>'Screening Enhanced'!P23</f>
        <v>16.100000000000001</v>
      </c>
      <c r="I20" s="690"/>
      <c r="J20" s="691">
        <f>'Screening Enhanced'!M23</f>
        <v>19.2</v>
      </c>
      <c r="K20" s="691">
        <f>'Screening Enhanced'!N23</f>
        <v>23.8</v>
      </c>
      <c r="L20" s="690"/>
      <c r="M20" s="692">
        <f>'Screening Enhanced'!K23/'Screening Enhanced'!J23</f>
        <v>0.36863069680823551</v>
      </c>
      <c r="N20" s="690"/>
      <c r="O20" s="692">
        <f>'Screening Enhanced'!L23/'Screening Enhanced'!J23</f>
        <v>0.26604935078371528</v>
      </c>
      <c r="Q20" s="426"/>
    </row>
    <row r="21" spans="2:17" x14ac:dyDescent="0.3">
      <c r="B21" s="428" t="str">
        <f>'Screening Enhanced'!B24</f>
        <v xml:space="preserve">Repligen Corporation </v>
      </c>
      <c r="C21" s="422" t="str">
        <f>'Screening Enhanced'!F24</f>
        <v xml:space="preserve">United States and Canada </v>
      </c>
      <c r="D21" s="421">
        <f>'Screening Enhanced'!H24</f>
        <v>9591.7999999999993</v>
      </c>
      <c r="E21" s="421">
        <f>'Screening Enhanced'!G24</f>
        <v>9323</v>
      </c>
      <c r="G21" s="425">
        <f>'Screening Enhanced'!O24</f>
        <v>53.8</v>
      </c>
      <c r="H21" s="425">
        <f>'Screening Enhanced'!P24</f>
        <v>43.8</v>
      </c>
      <c r="J21" s="425">
        <f>'Screening Enhanced'!M24</f>
        <v>94.4</v>
      </c>
      <c r="K21" s="425">
        <f>'Screening Enhanced'!N24</f>
        <v>65.7</v>
      </c>
      <c r="M21" s="424">
        <f>'Screening Enhanced'!K24/'Screening Enhanced'!J24</f>
        <v>0.32133776647760609</v>
      </c>
      <c r="O21" s="424">
        <f>'Screening Enhanced'!L24/'Screening Enhanced'!J24</f>
        <v>0.20066497164091529</v>
      </c>
      <c r="Q21" s="426"/>
    </row>
    <row r="22" spans="2:17" x14ac:dyDescent="0.3">
      <c r="B22" s="688" t="str">
        <f>'Screening Enhanced'!B25</f>
        <v xml:space="preserve">Sartorius Stedim Biotech S.A. </v>
      </c>
      <c r="C22" s="689" t="str">
        <f>'Screening Enhanced'!F25</f>
        <v xml:space="preserve">SARopean Developed Markets </v>
      </c>
      <c r="D22" s="690">
        <f>'Screening Enhanced'!H25</f>
        <v>35563.1</v>
      </c>
      <c r="E22" s="690">
        <f>'Screening Enhanced'!G25</f>
        <v>36064.800000000003</v>
      </c>
      <c r="F22" s="690"/>
      <c r="G22" s="691">
        <f>'Screening Enhanced'!O25</f>
        <v>39.200000000000003</v>
      </c>
      <c r="H22" s="691">
        <f>'Screening Enhanced'!P25</f>
        <v>30.6</v>
      </c>
      <c r="I22" s="690"/>
      <c r="J22" s="691">
        <f>'Screening Enhanced'!M25</f>
        <v>67.900000000000006</v>
      </c>
      <c r="K22" s="691">
        <f>'Screening Enhanced'!N25</f>
        <v>47.3</v>
      </c>
      <c r="L22" s="690"/>
      <c r="M22" s="692">
        <f>'Screening Enhanced'!K25/'Screening Enhanced'!J25</f>
        <v>0.34415609016859255</v>
      </c>
      <c r="N22" s="690"/>
      <c r="O22" s="692">
        <f>'Screening Enhanced'!L25/'Screening Enhanced'!J25</f>
        <v>0.19818147376397047</v>
      </c>
    </row>
    <row r="23" spans="2:17" x14ac:dyDescent="0.3">
      <c r="B23" s="688" t="str">
        <f>'Screening Enhanced'!B26</f>
        <v xml:space="preserve">Siegfried Holding AG </v>
      </c>
      <c r="C23" s="689" t="str">
        <f>'Screening Enhanced'!F26</f>
        <v xml:space="preserve">SARopean Developed Markets </v>
      </c>
      <c r="D23" s="690">
        <f>'Screening Enhanced'!H26</f>
        <v>2950.5</v>
      </c>
      <c r="E23" s="690">
        <f>'Screening Enhanced'!G26</f>
        <v>3141.6</v>
      </c>
      <c r="F23" s="690"/>
      <c r="G23" s="691">
        <f>'Screening Enhanced'!O26</f>
        <v>21.1</v>
      </c>
      <c r="H23" s="691">
        <f>'Screening Enhanced'!P26</f>
        <v>15</v>
      </c>
      <c r="I23" s="690"/>
      <c r="J23" s="691">
        <f>'Screening Enhanced'!M26</f>
        <v>46.1</v>
      </c>
      <c r="K23" s="691">
        <f>'Screening Enhanced'!N26</f>
        <v>29.6</v>
      </c>
      <c r="L23" s="690"/>
      <c r="M23" s="692">
        <f>'Screening Enhanced'!K26/'Screening Enhanced'!J26</f>
        <v>0.16907925961082107</v>
      </c>
      <c r="N23" s="690"/>
      <c r="O23" s="692">
        <f>'Screening Enhanced'!L26/'Screening Enhanced'!J26</f>
        <v>7.5225439012814435E-2</v>
      </c>
      <c r="Q23" s="426"/>
    </row>
    <row r="24" spans="2:17" x14ac:dyDescent="0.3">
      <c r="B24" s="688" t="str">
        <f>'Screening Enhanced'!B27</f>
        <v xml:space="preserve">Sotera Health Company </v>
      </c>
      <c r="C24" s="689" t="str">
        <f>'Screening Enhanced'!F27</f>
        <v xml:space="preserve">United States and Canada </v>
      </c>
      <c r="D24" s="690">
        <f>'Screening Enhanced'!H27</f>
        <v>5268</v>
      </c>
      <c r="E24" s="690">
        <f>'Screening Enhanced'!G27</f>
        <v>6764.4</v>
      </c>
      <c r="F24" s="690"/>
      <c r="G24" s="691">
        <f>'Screening Enhanced'!O27</f>
        <v>17.2</v>
      </c>
      <c r="H24" s="691">
        <f>'Screening Enhanced'!P27</f>
        <v>15.4</v>
      </c>
      <c r="I24" s="690"/>
      <c r="J24" s="691">
        <f>'Screening Enhanced'!M27</f>
        <v>156.1</v>
      </c>
      <c r="K24" s="691">
        <f>'Screening Enhanced'!N27</f>
        <v>21.9</v>
      </c>
      <c r="L24" s="690"/>
      <c r="M24" s="692">
        <f>'Screening Enhanced'!K27/'Screening Enhanced'!J27</f>
        <v>0.47853309481216455</v>
      </c>
      <c r="N24" s="690"/>
      <c r="O24" s="692">
        <f>'Screening Enhanced'!L27/'Screening Enhanced'!J27</f>
        <v>4.1017122412471248E-2</v>
      </c>
      <c r="Q24" s="426"/>
    </row>
    <row r="25" spans="2:17" x14ac:dyDescent="0.3">
      <c r="B25" s="688" t="str">
        <f>'Screening Enhanced'!B28</f>
        <v xml:space="preserve">Stevanato Group S.p.A. </v>
      </c>
      <c r="C25" s="689" t="str">
        <f>'Screening Enhanced'!F28</f>
        <v xml:space="preserve">SARopean Developed Markets </v>
      </c>
      <c r="D25" s="690">
        <f>'Screening Enhanced'!H28</f>
        <v>4160.2</v>
      </c>
      <c r="E25" s="690">
        <f>'Screening Enhanced'!G28</f>
        <v>3996.7</v>
      </c>
      <c r="F25" s="690"/>
      <c r="G25" s="691">
        <f>'Screening Enhanced'!O28</f>
        <v>19.7</v>
      </c>
      <c r="H25" s="691">
        <f>'Screening Enhanced'!P28</f>
        <v>17</v>
      </c>
      <c r="I25" s="690"/>
      <c r="J25" s="691">
        <f>'Screening Enhanced'!M28</f>
        <v>31.2</v>
      </c>
      <c r="K25" s="691">
        <f>'Screening Enhanced'!N28</f>
        <v>36.1</v>
      </c>
      <c r="L25" s="690"/>
      <c r="M25" s="692">
        <f>'Screening Enhanced'!K28/'Screening Enhanced'!J28</f>
        <v>0.23627918347390295</v>
      </c>
      <c r="N25" s="690"/>
      <c r="O25" s="692">
        <f>'Screening Enhanced'!L28/'Screening Enhanced'!J28</f>
        <v>0.1508373059528175</v>
      </c>
      <c r="Q25" s="426"/>
    </row>
    <row r="26" spans="2:17" x14ac:dyDescent="0.3">
      <c r="B26" s="688" t="str">
        <f>'Screening Enhanced'!B29</f>
        <v xml:space="preserve">Tecan Group Ltd. </v>
      </c>
      <c r="C26" s="689" t="str">
        <f>'Screening Enhanced'!F29</f>
        <v xml:space="preserve">SARopean Developed Markets </v>
      </c>
      <c r="D26" s="690">
        <f>'Screening Enhanced'!H29</f>
        <v>5402.3</v>
      </c>
      <c r="E26" s="690">
        <f>'Screening Enhanced'!G29</f>
        <v>4926</v>
      </c>
      <c r="F26" s="690"/>
      <c r="G26" s="691">
        <f>'Screening Enhanced'!O29</f>
        <v>25</v>
      </c>
      <c r="H26" s="691">
        <f>'Screening Enhanced'!P29</f>
        <v>22.2</v>
      </c>
      <c r="I26" s="690"/>
      <c r="J26" s="691">
        <f>'Screening Enhanced'!M29</f>
        <v>35.9</v>
      </c>
      <c r="K26" s="691">
        <f>'Screening Enhanced'!N29</f>
        <v>35.5</v>
      </c>
      <c r="L26" s="690"/>
      <c r="M26" s="692">
        <f>'Screening Enhanced'!K29/'Screening Enhanced'!J29</f>
        <v>0.22365618343565968</v>
      </c>
      <c r="N26" s="690"/>
      <c r="O26" s="692">
        <f>'Screening Enhanced'!L29/'Screening Enhanced'!J29</f>
        <v>0.17165768700664077</v>
      </c>
      <c r="Q26" s="426"/>
    </row>
    <row r="27" spans="2:17" x14ac:dyDescent="0.3">
      <c r="B27" s="688" t="str">
        <f>'Screening Enhanced'!B30</f>
        <v xml:space="preserve">Waters Corporation </v>
      </c>
      <c r="C27" s="689" t="str">
        <f>'Screening Enhanced'!F30</f>
        <v xml:space="preserve">United States and Canada </v>
      </c>
      <c r="D27" s="690">
        <f>'Screening Enhanced'!H30</f>
        <v>17543</v>
      </c>
      <c r="E27" s="690">
        <f>'Screening Enhanced'!G30</f>
        <v>18369.2</v>
      </c>
      <c r="F27" s="690"/>
      <c r="G27" s="691">
        <f>'Screening Enhanced'!O30</f>
        <v>21.7</v>
      </c>
      <c r="H27" s="691">
        <f>'Screening Enhanced'!P30</f>
        <v>20.6</v>
      </c>
      <c r="I27" s="690"/>
      <c r="J27" s="691">
        <f>'Screening Enhanced'!M30</f>
        <v>29.4</v>
      </c>
      <c r="K27" s="691">
        <f>'Screening Enhanced'!N30</f>
        <v>27.6</v>
      </c>
      <c r="L27" s="690"/>
      <c r="M27" s="692">
        <f>'Screening Enhanced'!K30/'Screening Enhanced'!J30</f>
        <v>0.3466688438928805</v>
      </c>
      <c r="N27" s="690"/>
      <c r="O27" s="692">
        <f>'Screening Enhanced'!L30/'Screening Enhanced'!J30</f>
        <v>0.24869366427171785</v>
      </c>
    </row>
    <row r="28" spans="2:17" x14ac:dyDescent="0.3">
      <c r="B28" s="688" t="str">
        <f>'Screening Enhanced'!B31</f>
        <v xml:space="preserve">West Pharmaceutical Services, Inc. </v>
      </c>
      <c r="C28" s="689" t="str">
        <f>'Screening Enhanced'!F31</f>
        <v xml:space="preserve">United States and Canada </v>
      </c>
      <c r="D28" s="690">
        <f>'Screening Enhanced'!H31</f>
        <v>26055.3</v>
      </c>
      <c r="E28" s="690">
        <f>'Screening Enhanced'!G31</f>
        <v>25729.599999999999</v>
      </c>
      <c r="F28" s="690"/>
      <c r="G28" s="691">
        <f>'Screening Enhanced'!O31</f>
        <v>34.6</v>
      </c>
      <c r="H28" s="691">
        <f>'Screening Enhanced'!P31</f>
        <v>30.7</v>
      </c>
      <c r="I28" s="690"/>
      <c r="J28" s="691">
        <f>'Screening Enhanced'!M31</f>
        <v>49.9</v>
      </c>
      <c r="K28" s="691">
        <f>'Screening Enhanced'!N31</f>
        <v>45.8</v>
      </c>
      <c r="L28" s="690"/>
      <c r="M28" s="692">
        <f>'Screening Enhanced'!K31/'Screening Enhanced'!J31</f>
        <v>0.30140065709839187</v>
      </c>
      <c r="N28" s="690"/>
      <c r="O28" s="692">
        <f>'Screening Enhanced'!L31/'Screening Enhanced'!J31</f>
        <v>0.22847138163582917</v>
      </c>
    </row>
    <row r="29" spans="2:17" x14ac:dyDescent="0.3">
      <c r="B29" s="428"/>
      <c r="G29" s="425"/>
      <c r="H29" s="425"/>
      <c r="J29" s="425"/>
      <c r="K29" s="425"/>
      <c r="M29" s="424"/>
      <c r="O29" s="424"/>
    </row>
    <row r="30" spans="2:17" x14ac:dyDescent="0.3">
      <c r="B30" s="423" t="s">
        <v>1099</v>
      </c>
      <c r="D30" s="757" t="s">
        <v>1135</v>
      </c>
      <c r="E30" s="693" t="s">
        <v>685</v>
      </c>
      <c r="F30" s="694"/>
      <c r="G30" s="695">
        <f>IFERROR(+AVERAGE(G10,G12,G13,G14,G18,G7,G16,G20),"-")</f>
        <v>16.646250000000002</v>
      </c>
      <c r="H30" s="695">
        <f>IFERROR(+AVERAGE(H10,H12,H13,H14,H18,H7,H16,H20,),"-")</f>
        <v>18.377777777777776</v>
      </c>
      <c r="I30" s="694"/>
      <c r="J30" s="695">
        <f>IFERROR(+AVERAGE(J10,J12,J13,J14,J18,J7,J16,J20,),"-")</f>
        <v>23.669999999999998</v>
      </c>
      <c r="K30" s="695">
        <f>IFERROR(+AVERAGE(K10,K12,K13,K14,K18,K7,K16,K20,),"-")</f>
        <v>26.188888888888894</v>
      </c>
      <c r="L30" s="694"/>
      <c r="M30" s="696">
        <f>IFERROR(+AVERAGE(M10,M12,M13,M14,M18,M7,M16,M20,),"-")</f>
        <v>0.2619425374444318</v>
      </c>
      <c r="N30" s="694"/>
      <c r="O30" s="696">
        <f>IFERROR(+AVERAGE(O10,O12,O13,O14,O18,O7,O16,O20,),"-")</f>
        <v>0.38769391855581142</v>
      </c>
      <c r="P30" s="426"/>
    </row>
    <row r="31" spans="2:17" x14ac:dyDescent="0.3">
      <c r="B31" s="423" t="s">
        <v>681</v>
      </c>
      <c r="D31" s="757"/>
      <c r="E31" s="693" t="s">
        <v>684</v>
      </c>
      <c r="F31" s="694"/>
      <c r="G31" s="695">
        <f>IFERROR(+MEDIAN(G10,G12,G13,G14,G18,G7,G16,G20),"-")</f>
        <v>17.399999999999999</v>
      </c>
      <c r="H31" s="695">
        <f>IFERROR(+MEDIAN(H10,H12,H13,H14,H18,H7,H16,H20),"-")</f>
        <v>19.75</v>
      </c>
      <c r="I31" s="694"/>
      <c r="J31" s="695">
        <f>IFERROR(+MEDIAN(J10,J12,J13,J14,J18,J7,J16,J20),"-")</f>
        <v>29.95</v>
      </c>
      <c r="K31" s="695">
        <f>IFERROR(+MEDIAN(K10,K12,K13,K14,K18,K7,K16,K20),"-")</f>
        <v>30.9</v>
      </c>
      <c r="L31" s="694"/>
      <c r="M31" s="696">
        <f>IFERROR(+MEDIAN(M10,M12,M13,M14,M18,M7,M16,M20),"-")</f>
        <v>0.22893573801774841</v>
      </c>
      <c r="N31" s="696"/>
      <c r="O31" s="696">
        <f>IFERROR(+MEDIAN(O10,O12,O13,O14,O18,O7,O16,O20),"-")</f>
        <v>0.14139843971208074</v>
      </c>
      <c r="P31" s="426"/>
    </row>
    <row r="32" spans="2:17" x14ac:dyDescent="0.3">
      <c r="B32" s="423" t="s">
        <v>680</v>
      </c>
      <c r="D32" s="757"/>
      <c r="E32" s="693" t="s">
        <v>683</v>
      </c>
      <c r="F32" s="694"/>
      <c r="G32" s="695">
        <f>+MIN(G10,G12,G13,G14,G18,G7,G16,G20)</f>
        <v>6.37</v>
      </c>
      <c r="H32" s="695">
        <f>+MIN(H10,H12,H13,H14,H18,H7,H16,H20)</f>
        <v>10.4</v>
      </c>
      <c r="I32" s="695" t="e">
        <f>+MIN(#REF!,I$6:I$19)</f>
        <v>#REF!</v>
      </c>
      <c r="J32" s="695">
        <f>+MIN(J10,J12,J13,J14,J18,J7,J16,J20)</f>
        <v>2.83</v>
      </c>
      <c r="K32" s="695">
        <f>+MIN(K10,K12,K13,K14,K18,K7,K16,K20)</f>
        <v>16.7</v>
      </c>
      <c r="L32" s="694"/>
      <c r="M32" s="697">
        <f t="shared" ref="M32:O32" si="0">+MIN(M10,M12,M13,M14,M18,M7,M16,M20)</f>
        <v>0.19635420222571176</v>
      </c>
      <c r="N32" s="694"/>
      <c r="O32" s="697">
        <f t="shared" si="0"/>
        <v>5.7878340711592063E-2</v>
      </c>
    </row>
    <row r="33" spans="4:16" x14ac:dyDescent="0.3">
      <c r="D33" s="757"/>
      <c r="E33" s="693" t="s">
        <v>682</v>
      </c>
      <c r="F33" s="694"/>
      <c r="G33" s="695">
        <f>+MAX(G10,G12,G13,G14,G18,G7,G16,G20)</f>
        <v>23.2</v>
      </c>
      <c r="H33" s="695">
        <f>+MAX(H10,H12,H13,H14,H18,H7,H16,H20)</f>
        <v>33.299999999999997</v>
      </c>
      <c r="I33" s="694"/>
      <c r="J33" s="695">
        <f t="shared" ref="J33:K33" si="1">+MAX(J10,J12,J13,J14,J18,J7,J16,J20)</f>
        <v>43.7</v>
      </c>
      <c r="K33" s="695">
        <f t="shared" si="1"/>
        <v>49.9</v>
      </c>
      <c r="L33" s="694"/>
      <c r="M33" s="697">
        <f>+MAX(M10,M12,M13,M14,M18,M7,M16,M20)</f>
        <v>0.67276051188299824</v>
      </c>
      <c r="N33" s="694"/>
      <c r="O33" s="697">
        <f>+MAX(O10,O12,O13,O14,O18,O7,O16,O20)</f>
        <v>2.234751828224677</v>
      </c>
      <c r="P33" s="426"/>
    </row>
    <row r="34" spans="4:16" x14ac:dyDescent="0.3">
      <c r="P34" s="426"/>
    </row>
    <row r="36" spans="4:16" x14ac:dyDescent="0.3">
      <c r="D36" s="757" t="s">
        <v>1134</v>
      </c>
      <c r="E36" s="693" t="s">
        <v>685</v>
      </c>
      <c r="F36" s="694"/>
      <c r="G36" s="695">
        <f>IFERROR(+AVERAGE(G6:G28),"-")</f>
        <v>27.52476190476191</v>
      </c>
      <c r="H36" s="695">
        <f>IFERROR(+AVERAGE(H6:H28),"-")</f>
        <v>24.864285714285714</v>
      </c>
      <c r="I36" s="694"/>
      <c r="J36" s="695">
        <f>IFERROR(+AVERAGE(J6:J28),"-")</f>
        <v>45.720909090909089</v>
      </c>
      <c r="K36" s="695">
        <f>IFERROR(+AVERAGE(K6:K28),"-")</f>
        <v>37.847619047619048</v>
      </c>
      <c r="L36" s="694"/>
      <c r="M36" s="696">
        <f>IFERROR(+AVERAGE(M6:M28),"-")</f>
        <v>0.27539571687543385</v>
      </c>
      <c r="N36" s="694"/>
      <c r="O36" s="696">
        <f>IFERROR(+AVERAGE(O6:O28),"-")</f>
        <v>0.22083161227542084</v>
      </c>
    </row>
    <row r="37" spans="4:16" x14ac:dyDescent="0.3">
      <c r="D37" s="757"/>
      <c r="E37" s="693" t="s">
        <v>684</v>
      </c>
      <c r="F37" s="694"/>
      <c r="G37" s="695">
        <f>IFERROR(+MEDIAN(G6:G28),"-")</f>
        <v>21.7</v>
      </c>
      <c r="H37" s="695">
        <f>IFERROR(+MEDIAN(H6:H28),"-")</f>
        <v>22.2</v>
      </c>
      <c r="I37" s="694"/>
      <c r="J37" s="695">
        <f>IFERROR(+MEDIAN(J6:J28),"-")</f>
        <v>36.9</v>
      </c>
      <c r="K37" s="695">
        <f>IFERROR(+MEDIAN(K6:K28),"-")</f>
        <v>33.799999999999997</v>
      </c>
      <c r="L37" s="694"/>
      <c r="M37" s="697">
        <f>IFERROR(+MEDIAN(M6:M28),"-")</f>
        <v>0.24293379814757851</v>
      </c>
      <c r="N37" s="694"/>
      <c r="O37" s="697">
        <f>IFERROR(+MEDIAN(O6:O28),"-")</f>
        <v>0.17165768700664077</v>
      </c>
    </row>
    <row r="38" spans="4:16" x14ac:dyDescent="0.3">
      <c r="D38" s="757"/>
      <c r="E38" s="693" t="s">
        <v>683</v>
      </c>
      <c r="F38" s="694"/>
      <c r="G38" s="695">
        <f>+MIN(G$6:G$28)</f>
        <v>6.37</v>
      </c>
      <c r="H38" s="695">
        <f>+MIN(H$6:H$28)</f>
        <v>6.85</v>
      </c>
      <c r="I38" s="695" t="e">
        <f>+MIN(#REF!,I$6:I$19)</f>
        <v>#REF!</v>
      </c>
      <c r="J38" s="695">
        <f>+MIN(J$6:J$28)</f>
        <v>2.83</v>
      </c>
      <c r="K38" s="695">
        <f>+MIN(K$6:K$28)</f>
        <v>16.7</v>
      </c>
      <c r="L38" s="694"/>
      <c r="M38" s="697">
        <f>+MIN(M$6:M$19)</f>
        <v>-4.9722362443210502E-2</v>
      </c>
      <c r="N38" s="694"/>
      <c r="O38" s="697">
        <f>+MIN(O$6:O$28)</f>
        <v>-0.99167087329631498</v>
      </c>
    </row>
    <row r="39" spans="4:16" x14ac:dyDescent="0.3">
      <c r="D39" s="757"/>
      <c r="E39" s="693" t="s">
        <v>682</v>
      </c>
      <c r="F39" s="694"/>
      <c r="G39" s="695">
        <f>+MAX(G$6:G$28)</f>
        <v>77.599999999999994</v>
      </c>
      <c r="H39" s="695">
        <f>+MAX(H$6:H$28)</f>
        <v>52.5</v>
      </c>
      <c r="I39" s="694"/>
      <c r="J39" s="695">
        <f>+MAX(J$6:J$19)</f>
        <v>79.599999999999994</v>
      </c>
      <c r="K39" s="695">
        <f>+MAX(K$6:K$28)</f>
        <v>73.900000000000006</v>
      </c>
      <c r="L39" s="694"/>
      <c r="M39" s="697">
        <f>+MAX(M$6:M$28)</f>
        <v>0.67313355274553965</v>
      </c>
      <c r="N39" s="694"/>
      <c r="O39" s="697">
        <f>+MAX(O$6:O$28)</f>
        <v>2.234751828224677</v>
      </c>
    </row>
  </sheetData>
  <mergeCells count="6">
    <mergeCell ref="D36:D39"/>
    <mergeCell ref="B3:B4"/>
    <mergeCell ref="C3:C4"/>
    <mergeCell ref="J3:K3"/>
    <mergeCell ref="G3:H3"/>
    <mergeCell ref="D30:D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2413-741E-4591-90C9-9DAF5BEFDA25}">
  <sheetPr>
    <tabColor rgb="FF0000FF"/>
    <outlinePr summaryBelow="0" summaryRight="0"/>
    <pageSetUpPr autoPageBreaks="0"/>
  </sheetPr>
  <dimension ref="A5:Y34"/>
  <sheetViews>
    <sheetView zoomScale="85" zoomScaleNormal="85" workbookViewId="0"/>
  </sheetViews>
  <sheetFormatPr defaultColWidth="9.109375" defaultRowHeight="10.199999999999999" x14ac:dyDescent="0.2"/>
  <cols>
    <col min="1" max="1" width="9.109375" style="398"/>
    <col min="2" max="2" width="43.44140625" style="398" customWidth="1"/>
    <col min="3" max="3" width="15.88671875" style="398" hidden="1" customWidth="1"/>
    <col min="4" max="4" width="32.6640625" style="398" customWidth="1"/>
    <col min="5" max="5" width="14.88671875" style="398" hidden="1" customWidth="1"/>
    <col min="6" max="6" width="10.88671875" style="398" customWidth="1"/>
    <col min="7" max="24" width="11" style="398" customWidth="1"/>
    <col min="25" max="25" width="255.44140625" style="398" customWidth="1"/>
    <col min="26" max="16384" width="9.109375" style="398"/>
  </cols>
  <sheetData>
    <row r="5" spans="1:25" x14ac:dyDescent="0.2">
      <c r="B5" s="420" t="s">
        <v>1099</v>
      </c>
    </row>
    <row r="6" spans="1:25" ht="16.2" x14ac:dyDescent="0.25">
      <c r="B6" s="405" t="s">
        <v>1126</v>
      </c>
      <c r="W6" s="398">
        <v>100</v>
      </c>
    </row>
    <row r="8" spans="1:25" ht="36" x14ac:dyDescent="0.35">
      <c r="B8" s="403" t="s">
        <v>583</v>
      </c>
      <c r="C8" s="403" t="s">
        <v>655</v>
      </c>
      <c r="D8" s="403" t="s">
        <v>654</v>
      </c>
      <c r="E8" s="403" t="s">
        <v>653</v>
      </c>
      <c r="F8" s="403" t="s">
        <v>589</v>
      </c>
      <c r="G8" s="404" t="s">
        <v>679</v>
      </c>
      <c r="H8" s="404" t="s">
        <v>678</v>
      </c>
      <c r="I8" s="404" t="s">
        <v>677</v>
      </c>
      <c r="J8" s="404" t="s">
        <v>10</v>
      </c>
      <c r="K8" s="404" t="s">
        <v>676</v>
      </c>
      <c r="L8" s="404" t="s">
        <v>675</v>
      </c>
      <c r="M8" s="404" t="s">
        <v>674</v>
      </c>
      <c r="N8" s="404" t="s">
        <v>673</v>
      </c>
      <c r="O8" s="404" t="s">
        <v>672</v>
      </c>
      <c r="P8" s="404" t="s">
        <v>671</v>
      </c>
      <c r="Q8" s="404" t="s">
        <v>670</v>
      </c>
      <c r="R8" s="404" t="s">
        <v>669</v>
      </c>
      <c r="S8" s="404" t="s">
        <v>532</v>
      </c>
      <c r="T8" s="404" t="s">
        <v>68</v>
      </c>
      <c r="U8" s="404" t="s">
        <v>668</v>
      </c>
      <c r="V8" s="404" t="s">
        <v>667</v>
      </c>
      <c r="W8" s="404" t="s">
        <v>666</v>
      </c>
      <c r="X8" s="404" t="s">
        <v>635</v>
      </c>
      <c r="Y8" s="403" t="s">
        <v>634</v>
      </c>
    </row>
    <row r="9" spans="1:25" ht="15" customHeight="1" x14ac:dyDescent="0.2">
      <c r="A9" s="398">
        <v>1</v>
      </c>
      <c r="B9" s="686" t="s">
        <v>1076</v>
      </c>
      <c r="C9" s="686" t="s">
        <v>633</v>
      </c>
      <c r="D9" s="703" t="s">
        <v>1131</v>
      </c>
      <c r="E9" s="402" t="s">
        <v>608</v>
      </c>
      <c r="F9" s="704" t="s">
        <v>1132</v>
      </c>
      <c r="G9" s="705">
        <v>8379</v>
      </c>
      <c r="H9" s="705">
        <v>8834</v>
      </c>
      <c r="I9" s="706">
        <v>79.08</v>
      </c>
      <c r="J9" s="705">
        <v>396.2</v>
      </c>
      <c r="K9" s="705">
        <v>-19.7</v>
      </c>
      <c r="L9" s="705">
        <v>-392.9</v>
      </c>
      <c r="M9" s="705" t="s">
        <v>614</v>
      </c>
      <c r="N9" s="705" t="s">
        <v>614</v>
      </c>
      <c r="O9" s="706" t="s">
        <v>614</v>
      </c>
      <c r="P9" s="706" t="s">
        <v>614</v>
      </c>
      <c r="Q9" s="705">
        <v>542.5</v>
      </c>
      <c r="R9" s="705">
        <v>759.7</v>
      </c>
      <c r="S9" s="705">
        <v>51.5</v>
      </c>
      <c r="T9" s="705">
        <v>690.4</v>
      </c>
      <c r="U9" s="705">
        <v>82</v>
      </c>
      <c r="V9" s="707" t="s">
        <v>609</v>
      </c>
      <c r="W9" s="708" t="s">
        <v>614</v>
      </c>
      <c r="X9" s="706">
        <v>1.65</v>
      </c>
      <c r="Y9" s="401" t="s">
        <v>1212</v>
      </c>
    </row>
    <row r="10" spans="1:25" ht="15" customHeight="1" x14ac:dyDescent="0.2">
      <c r="A10" s="398">
        <v>2</v>
      </c>
      <c r="B10" s="687" t="s">
        <v>1077</v>
      </c>
      <c r="C10" s="687" t="s">
        <v>632</v>
      </c>
      <c r="D10" s="709" t="s">
        <v>1131</v>
      </c>
      <c r="E10" s="400" t="s">
        <v>608</v>
      </c>
      <c r="F10" s="710" t="s">
        <v>1132</v>
      </c>
      <c r="G10" s="711">
        <v>1669</v>
      </c>
      <c r="H10" s="711">
        <v>2300.1999999999998</v>
      </c>
      <c r="I10" s="712">
        <v>8.17</v>
      </c>
      <c r="J10" s="711">
        <v>382.9</v>
      </c>
      <c r="K10" s="711">
        <v>257.60000000000002</v>
      </c>
      <c r="L10" s="711">
        <v>181.6</v>
      </c>
      <c r="M10" s="711">
        <v>14.5</v>
      </c>
      <c r="N10" s="711">
        <v>33.799999999999997</v>
      </c>
      <c r="O10" s="711">
        <v>6.37</v>
      </c>
      <c r="P10" s="711">
        <v>33.299999999999997</v>
      </c>
      <c r="Q10" s="712">
        <v>485.7</v>
      </c>
      <c r="R10" s="711">
        <v>822</v>
      </c>
      <c r="S10" s="711">
        <v>5.54</v>
      </c>
      <c r="T10" s="711">
        <v>822.6</v>
      </c>
      <c r="U10" s="712">
        <v>43.6</v>
      </c>
      <c r="V10" s="712" t="s">
        <v>609</v>
      </c>
      <c r="W10" s="713">
        <v>0.27500000000000002</v>
      </c>
      <c r="X10" s="714" t="s">
        <v>609</v>
      </c>
      <c r="Y10" s="399" t="s">
        <v>1104</v>
      </c>
    </row>
    <row r="11" spans="1:25" ht="15" customHeight="1" x14ac:dyDescent="0.2">
      <c r="A11" s="398">
        <v>3</v>
      </c>
      <c r="B11" s="687" t="s">
        <v>1078</v>
      </c>
      <c r="C11" s="687" t="s">
        <v>631</v>
      </c>
      <c r="D11" s="709" t="s">
        <v>1131</v>
      </c>
      <c r="E11" s="400" t="s">
        <v>608</v>
      </c>
      <c r="F11" s="710" t="s">
        <v>1213</v>
      </c>
      <c r="G11" s="711">
        <v>3446.4</v>
      </c>
      <c r="H11" s="711">
        <v>3071.8</v>
      </c>
      <c r="I11" s="712">
        <v>25.19</v>
      </c>
      <c r="J11" s="711">
        <v>777.3</v>
      </c>
      <c r="K11" s="711">
        <v>140.30000000000001</v>
      </c>
      <c r="L11" s="711">
        <v>69.900000000000006</v>
      </c>
      <c r="M11" s="715">
        <v>40.6</v>
      </c>
      <c r="N11" s="711">
        <v>46.4</v>
      </c>
      <c r="O11" s="711">
        <v>24.2</v>
      </c>
      <c r="P11" s="711">
        <v>24.7</v>
      </c>
      <c r="Q11" s="711">
        <v>33.5</v>
      </c>
      <c r="R11" s="711">
        <v>1030.4000000000001</v>
      </c>
      <c r="S11" s="711">
        <v>398.9</v>
      </c>
      <c r="T11" s="711">
        <v>417.3</v>
      </c>
      <c r="U11" s="711">
        <v>13</v>
      </c>
      <c r="V11" s="716" t="s">
        <v>609</v>
      </c>
      <c r="W11" s="717">
        <v>0.222</v>
      </c>
      <c r="X11" s="714">
        <v>0.90800000000000003</v>
      </c>
      <c r="Y11" s="399" t="s">
        <v>1214</v>
      </c>
    </row>
    <row r="12" spans="1:25" ht="15" customHeight="1" x14ac:dyDescent="0.2">
      <c r="A12" s="398">
        <v>4</v>
      </c>
      <c r="B12" s="687" t="s">
        <v>1079</v>
      </c>
      <c r="C12" s="687" t="s">
        <v>630</v>
      </c>
      <c r="D12" s="709" t="s">
        <v>1131</v>
      </c>
      <c r="E12" s="400" t="s">
        <v>608</v>
      </c>
      <c r="F12" s="710" t="s">
        <v>1213</v>
      </c>
      <c r="G12" s="711">
        <v>7862</v>
      </c>
      <c r="H12" s="711">
        <v>7742.1</v>
      </c>
      <c r="I12" s="712">
        <v>525.02</v>
      </c>
      <c r="J12" s="711">
        <v>423.3</v>
      </c>
      <c r="K12" s="711">
        <v>129.6</v>
      </c>
      <c r="L12" s="711">
        <v>89.7</v>
      </c>
      <c r="M12" s="711">
        <v>78.400000000000006</v>
      </c>
      <c r="N12" s="712">
        <v>60.9</v>
      </c>
      <c r="O12" s="712">
        <v>58.1</v>
      </c>
      <c r="P12" s="712">
        <v>44.1</v>
      </c>
      <c r="Q12" s="711">
        <v>21.7</v>
      </c>
      <c r="R12" s="711">
        <v>656.8</v>
      </c>
      <c r="S12" s="711">
        <v>99.4</v>
      </c>
      <c r="T12" s="711">
        <v>445</v>
      </c>
      <c r="U12" s="711">
        <v>84.3</v>
      </c>
      <c r="V12" s="714">
        <v>2.96</v>
      </c>
      <c r="W12" s="713">
        <v>0.13900000000000001</v>
      </c>
      <c r="X12" s="714">
        <v>0.53800000000000003</v>
      </c>
      <c r="Y12" s="399" t="s">
        <v>1106</v>
      </c>
    </row>
    <row r="13" spans="1:25" ht="15" customHeight="1" x14ac:dyDescent="0.2">
      <c r="A13" s="398">
        <v>5</v>
      </c>
      <c r="B13" s="687" t="s">
        <v>1080</v>
      </c>
      <c r="C13" s="687" t="s">
        <v>629</v>
      </c>
      <c r="D13" s="709" t="s">
        <v>1131</v>
      </c>
      <c r="E13" s="400" t="s">
        <v>608</v>
      </c>
      <c r="F13" s="710" t="s">
        <v>1132</v>
      </c>
      <c r="G13" s="711">
        <v>15349.4</v>
      </c>
      <c r="H13" s="711">
        <v>16321.8</v>
      </c>
      <c r="I13" s="714">
        <v>544.79</v>
      </c>
      <c r="J13" s="711">
        <v>2570.8000000000002</v>
      </c>
      <c r="K13" s="711">
        <v>654.79999999999995</v>
      </c>
      <c r="L13" s="711">
        <v>5745.1</v>
      </c>
      <c r="M13" s="712">
        <v>2.83</v>
      </c>
      <c r="N13" s="712">
        <v>49.9</v>
      </c>
      <c r="O13" s="712">
        <v>21.9</v>
      </c>
      <c r="P13" s="712">
        <v>30.7</v>
      </c>
      <c r="Q13" s="711">
        <v>541.4</v>
      </c>
      <c r="R13" s="711">
        <v>10605.1</v>
      </c>
      <c r="S13" s="711">
        <v>184.5</v>
      </c>
      <c r="T13" s="711">
        <v>13228.8</v>
      </c>
      <c r="U13" s="711">
        <v>100.8</v>
      </c>
      <c r="V13" s="716" t="s">
        <v>609</v>
      </c>
      <c r="W13" s="713">
        <v>0.222</v>
      </c>
      <c r="X13" s="714">
        <v>0.95399999999999996</v>
      </c>
      <c r="Y13" s="399" t="s">
        <v>1215</v>
      </c>
    </row>
    <row r="14" spans="1:25" ht="15" customHeight="1" x14ac:dyDescent="0.2">
      <c r="A14" s="398">
        <v>6</v>
      </c>
      <c r="B14" s="687" t="s">
        <v>1081</v>
      </c>
      <c r="C14" s="687" t="s">
        <v>628</v>
      </c>
      <c r="D14" s="709" t="s">
        <v>1131</v>
      </c>
      <c r="E14" s="400" t="s">
        <v>608</v>
      </c>
      <c r="F14" s="710" t="s">
        <v>1132</v>
      </c>
      <c r="G14" s="711">
        <v>14140.5</v>
      </c>
      <c r="H14" s="711">
        <v>14077</v>
      </c>
      <c r="I14" s="712">
        <v>358.24</v>
      </c>
      <c r="J14" s="711">
        <v>905.3</v>
      </c>
      <c r="K14" s="711">
        <v>290.8</v>
      </c>
      <c r="L14" s="711">
        <v>185.1</v>
      </c>
      <c r="M14" s="711">
        <v>79.599999999999994</v>
      </c>
      <c r="N14" s="712">
        <v>49.1</v>
      </c>
      <c r="O14" s="712">
        <v>43.7</v>
      </c>
      <c r="P14" s="712">
        <v>33.299999999999997</v>
      </c>
      <c r="Q14" s="711">
        <v>167.9</v>
      </c>
      <c r="R14" s="711">
        <v>1908.6</v>
      </c>
      <c r="S14" s="711">
        <v>361.8</v>
      </c>
      <c r="T14" s="711">
        <v>1497</v>
      </c>
      <c r="U14" s="711">
        <v>33.6</v>
      </c>
      <c r="V14" s="714">
        <v>0</v>
      </c>
      <c r="W14" s="717">
        <v>2.4E-2</v>
      </c>
      <c r="X14" s="714">
        <v>1.27</v>
      </c>
      <c r="Y14" s="399" t="s">
        <v>1108</v>
      </c>
    </row>
    <row r="15" spans="1:25" ht="15" customHeight="1" x14ac:dyDescent="0.2">
      <c r="A15" s="398">
        <v>7</v>
      </c>
      <c r="B15" s="687" t="s">
        <v>1082</v>
      </c>
      <c r="C15" s="687" t="s">
        <v>627</v>
      </c>
      <c r="D15" s="709" t="s">
        <v>1131</v>
      </c>
      <c r="E15" s="400" t="s">
        <v>608</v>
      </c>
      <c r="F15" s="710" t="s">
        <v>1132</v>
      </c>
      <c r="G15" s="711">
        <v>9071.7999999999993</v>
      </c>
      <c r="H15" s="711">
        <v>8902.6</v>
      </c>
      <c r="I15" s="712">
        <v>58.7</v>
      </c>
      <c r="J15" s="711">
        <v>2037.8</v>
      </c>
      <c r="K15" s="711">
        <v>438</v>
      </c>
      <c r="L15" s="711">
        <v>233.2</v>
      </c>
      <c r="M15" s="711">
        <v>37.9</v>
      </c>
      <c r="N15" s="715">
        <v>31.3</v>
      </c>
      <c r="O15" s="712">
        <v>20.399999999999999</v>
      </c>
      <c r="P15" s="715">
        <v>19</v>
      </c>
      <c r="Q15" s="711">
        <v>557.4</v>
      </c>
      <c r="R15" s="711">
        <v>2492.6</v>
      </c>
      <c r="S15" s="711">
        <v>796.5</v>
      </c>
      <c r="T15" s="711">
        <v>940.4</v>
      </c>
      <c r="U15" s="712">
        <v>79.7</v>
      </c>
      <c r="V15" s="714">
        <v>0.13800000000000001</v>
      </c>
      <c r="W15" s="713">
        <v>0.27399999999999997</v>
      </c>
      <c r="X15" s="714">
        <v>1.31</v>
      </c>
      <c r="Y15" s="399" t="s">
        <v>1216</v>
      </c>
    </row>
    <row r="16" spans="1:25" ht="15" customHeight="1" x14ac:dyDescent="0.2">
      <c r="A16" s="398">
        <v>8</v>
      </c>
      <c r="B16" s="687" t="s">
        <v>1083</v>
      </c>
      <c r="C16" s="687" t="s">
        <v>626</v>
      </c>
      <c r="D16" s="709" t="s">
        <v>1131</v>
      </c>
      <c r="E16" s="400" t="s">
        <v>608</v>
      </c>
      <c r="F16" s="710" t="s">
        <v>1132</v>
      </c>
      <c r="G16" s="711">
        <v>17495.7</v>
      </c>
      <c r="H16" s="711">
        <v>14876.1</v>
      </c>
      <c r="I16" s="715">
        <v>294.77999999999997</v>
      </c>
      <c r="J16" s="711">
        <v>2925.9</v>
      </c>
      <c r="K16" s="711">
        <v>710.8</v>
      </c>
      <c r="L16" s="711">
        <v>338.7</v>
      </c>
      <c r="M16" s="711">
        <v>43.7</v>
      </c>
      <c r="N16" s="715">
        <v>30.5</v>
      </c>
      <c r="O16" s="711">
        <v>20.399999999999999</v>
      </c>
      <c r="P16" s="715">
        <v>20.5</v>
      </c>
      <c r="Q16" s="711">
        <v>187.4</v>
      </c>
      <c r="R16" s="711">
        <v>4505.8</v>
      </c>
      <c r="S16" s="711">
        <v>1772.5</v>
      </c>
      <c r="T16" s="711">
        <v>2104.8000000000002</v>
      </c>
      <c r="U16" s="716">
        <v>186</v>
      </c>
      <c r="V16" s="714" t="s">
        <v>609</v>
      </c>
      <c r="W16" s="717">
        <v>0.17600000000000002</v>
      </c>
      <c r="X16" s="714">
        <v>1.21</v>
      </c>
      <c r="Y16" s="399" t="s">
        <v>1217</v>
      </c>
    </row>
    <row r="17" spans="1:25" ht="15" customHeight="1" x14ac:dyDescent="0.2">
      <c r="A17" s="398">
        <v>9</v>
      </c>
      <c r="B17" s="687" t="s">
        <v>1084</v>
      </c>
      <c r="C17" s="687" t="s">
        <v>625</v>
      </c>
      <c r="D17" s="709" t="s">
        <v>1131</v>
      </c>
      <c r="E17" s="400" t="s">
        <v>608</v>
      </c>
      <c r="F17" s="710" t="s">
        <v>1213</v>
      </c>
      <c r="G17" s="711">
        <v>1847.4</v>
      </c>
      <c r="H17" s="711">
        <v>1447.5</v>
      </c>
      <c r="I17" s="714">
        <v>10.85</v>
      </c>
      <c r="J17" s="711">
        <v>609.9</v>
      </c>
      <c r="K17" s="711">
        <v>125.7</v>
      </c>
      <c r="L17" s="711">
        <v>35.299999999999997</v>
      </c>
      <c r="M17" s="712">
        <v>31.2</v>
      </c>
      <c r="N17" s="715">
        <v>16.7</v>
      </c>
      <c r="O17" s="711">
        <v>14.4</v>
      </c>
      <c r="P17" s="715">
        <v>12.6</v>
      </c>
      <c r="Q17" s="711">
        <v>96.6</v>
      </c>
      <c r="R17" s="711">
        <v>1241.2</v>
      </c>
      <c r="S17" s="711">
        <v>487.7</v>
      </c>
      <c r="T17" s="711">
        <v>520.70000000000005</v>
      </c>
      <c r="U17" s="714">
        <v>5.94</v>
      </c>
      <c r="V17" s="716">
        <v>8.8999999999999996E-2</v>
      </c>
      <c r="W17" s="713">
        <v>0.23399999999999999</v>
      </c>
      <c r="X17" s="714">
        <v>1.44</v>
      </c>
      <c r="Y17" s="399" t="s">
        <v>1218</v>
      </c>
    </row>
    <row r="18" spans="1:25" ht="15" customHeight="1" x14ac:dyDescent="0.2">
      <c r="A18" s="398">
        <v>10</v>
      </c>
      <c r="B18" s="687" t="s">
        <v>1085</v>
      </c>
      <c r="C18" s="687" t="s">
        <v>624</v>
      </c>
      <c r="D18" s="709" t="s">
        <v>1131</v>
      </c>
      <c r="E18" s="400" t="s">
        <v>608</v>
      </c>
      <c r="F18" s="710" t="s">
        <v>1213</v>
      </c>
      <c r="G18" s="711">
        <v>6487.7</v>
      </c>
      <c r="H18" s="711">
        <v>6414.3</v>
      </c>
      <c r="I18" s="714">
        <v>36.299999999999997</v>
      </c>
      <c r="J18" s="711">
        <v>571.5</v>
      </c>
      <c r="K18" s="711">
        <v>83.4</v>
      </c>
      <c r="L18" s="711">
        <v>247.4</v>
      </c>
      <c r="M18" s="712">
        <v>24.3</v>
      </c>
      <c r="N18" s="715">
        <v>73.900000000000006</v>
      </c>
      <c r="O18" s="712">
        <v>77.599999999999994</v>
      </c>
      <c r="P18" s="715">
        <v>52.5</v>
      </c>
      <c r="Q18" s="711">
        <v>422.6</v>
      </c>
      <c r="R18" s="711">
        <v>1462.9</v>
      </c>
      <c r="S18" s="711">
        <v>492</v>
      </c>
      <c r="T18" s="711">
        <v>992.7</v>
      </c>
      <c r="U18" s="714">
        <v>143.9</v>
      </c>
      <c r="V18" s="716" t="s">
        <v>609</v>
      </c>
      <c r="W18" s="713">
        <v>5.3200000000000004E-2</v>
      </c>
      <c r="X18" s="714">
        <v>0.94199999999999995</v>
      </c>
      <c r="Y18" s="399" t="s">
        <v>1219</v>
      </c>
    </row>
    <row r="19" spans="1:25" ht="15" customHeight="1" x14ac:dyDescent="0.2">
      <c r="A19" s="398">
        <v>11</v>
      </c>
      <c r="B19" s="687" t="s">
        <v>1086</v>
      </c>
      <c r="C19" s="687" t="s">
        <v>623</v>
      </c>
      <c r="D19" s="709" t="s">
        <v>1131</v>
      </c>
      <c r="E19" s="400" t="s">
        <v>608</v>
      </c>
      <c r="F19" s="710" t="s">
        <v>1213</v>
      </c>
      <c r="G19" s="715">
        <v>3573</v>
      </c>
      <c r="H19" s="711">
        <v>2485.3000000000002</v>
      </c>
      <c r="I19" s="712">
        <v>79.150000000000006</v>
      </c>
      <c r="J19" s="711">
        <v>1464.7</v>
      </c>
      <c r="K19" s="716">
        <v>287.60000000000002</v>
      </c>
      <c r="L19" s="711">
        <v>86.5</v>
      </c>
      <c r="M19" s="712">
        <v>28.7</v>
      </c>
      <c r="N19" s="712">
        <v>17</v>
      </c>
      <c r="O19" s="715">
        <v>12.4</v>
      </c>
      <c r="P19" s="715">
        <v>10.4</v>
      </c>
      <c r="Q19" s="711">
        <v>88</v>
      </c>
      <c r="R19" s="711">
        <v>2616.6</v>
      </c>
      <c r="S19" s="711">
        <v>1045.3</v>
      </c>
      <c r="T19" s="711">
        <v>934.3</v>
      </c>
      <c r="U19" s="711">
        <v>201.5</v>
      </c>
      <c r="V19" s="714">
        <v>1.25</v>
      </c>
      <c r="W19" s="713">
        <v>0.318</v>
      </c>
      <c r="X19" s="714">
        <v>0.96899999999999997</v>
      </c>
      <c r="Y19" s="399" t="s">
        <v>1113</v>
      </c>
    </row>
    <row r="20" spans="1:25" ht="15" customHeight="1" x14ac:dyDescent="0.2">
      <c r="A20" s="398">
        <v>12</v>
      </c>
      <c r="B20" s="687" t="s">
        <v>1087</v>
      </c>
      <c r="C20" s="687" t="s">
        <v>622</v>
      </c>
      <c r="D20" s="709" t="s">
        <v>1131</v>
      </c>
      <c r="E20" s="400" t="s">
        <v>608</v>
      </c>
      <c r="F20" s="710" t="s">
        <v>1132</v>
      </c>
      <c r="G20" s="711">
        <v>3554.3</v>
      </c>
      <c r="H20" s="711">
        <v>3377.9</v>
      </c>
      <c r="I20" s="712">
        <v>25.7</v>
      </c>
      <c r="J20" s="711">
        <v>577.29999999999995</v>
      </c>
      <c r="K20" s="711">
        <v>388.6</v>
      </c>
      <c r="L20" s="711">
        <v>131</v>
      </c>
      <c r="M20" s="712">
        <v>6.23</v>
      </c>
      <c r="N20" s="711">
        <v>19.3</v>
      </c>
      <c r="O20" s="712">
        <v>8.9499999999999993</v>
      </c>
      <c r="P20" s="715">
        <v>6.85</v>
      </c>
      <c r="Q20" s="711">
        <v>193.1</v>
      </c>
      <c r="R20" s="711">
        <v>1038.8</v>
      </c>
      <c r="S20" s="711">
        <v>483.6</v>
      </c>
      <c r="T20" s="711">
        <v>391.4</v>
      </c>
      <c r="U20" s="711">
        <v>15.6</v>
      </c>
      <c r="V20" s="716" t="s">
        <v>609</v>
      </c>
      <c r="W20" s="713">
        <v>0.11</v>
      </c>
      <c r="X20" s="715" t="s">
        <v>609</v>
      </c>
      <c r="Y20" s="399" t="s">
        <v>1114</v>
      </c>
    </row>
    <row r="21" spans="1:25" ht="15" customHeight="1" x14ac:dyDescent="0.2">
      <c r="A21" s="398">
        <v>13</v>
      </c>
      <c r="B21" s="687" t="s">
        <v>1088</v>
      </c>
      <c r="C21" s="687" t="s">
        <v>621</v>
      </c>
      <c r="D21" s="709" t="s">
        <v>1131</v>
      </c>
      <c r="E21" s="400" t="s">
        <v>608</v>
      </c>
      <c r="F21" s="710" t="s">
        <v>1132</v>
      </c>
      <c r="G21" s="711">
        <v>5067.8</v>
      </c>
      <c r="H21" s="711">
        <v>5291</v>
      </c>
      <c r="I21" s="712">
        <v>147.97999999999999</v>
      </c>
      <c r="J21" s="711">
        <v>943.5</v>
      </c>
      <c r="K21" s="711">
        <v>189.7</v>
      </c>
      <c r="L21" s="711">
        <v>157.6</v>
      </c>
      <c r="M21" s="712">
        <v>35</v>
      </c>
      <c r="N21" s="715">
        <v>32.700000000000003</v>
      </c>
      <c r="O21" s="715">
        <v>23.2</v>
      </c>
      <c r="P21" s="715">
        <v>22.8</v>
      </c>
      <c r="Q21" s="711">
        <v>227.1</v>
      </c>
      <c r="R21" s="711">
        <v>1136.9000000000001</v>
      </c>
      <c r="S21" s="711">
        <v>107.1</v>
      </c>
      <c r="T21" s="711">
        <v>774.9</v>
      </c>
      <c r="U21" s="711">
        <v>23.2</v>
      </c>
      <c r="V21" s="714" t="s">
        <v>609</v>
      </c>
      <c r="W21" s="713">
        <v>8.9499999999999996E-2</v>
      </c>
      <c r="X21" s="714">
        <v>1.39</v>
      </c>
      <c r="Y21" s="399" t="s">
        <v>1220</v>
      </c>
    </row>
    <row r="22" spans="1:25" ht="15" customHeight="1" x14ac:dyDescent="0.2">
      <c r="A22" s="398">
        <v>14</v>
      </c>
      <c r="B22" s="687" t="s">
        <v>1089</v>
      </c>
      <c r="C22" s="687" t="s">
        <v>620</v>
      </c>
      <c r="D22" s="709" t="s">
        <v>1131</v>
      </c>
      <c r="E22" s="400" t="s">
        <v>608</v>
      </c>
      <c r="F22" s="710" t="s">
        <v>1132</v>
      </c>
      <c r="G22" s="715">
        <v>2351.6999999999998</v>
      </c>
      <c r="H22" s="711">
        <v>2290.4</v>
      </c>
      <c r="I22" s="712">
        <v>18.600000000000001</v>
      </c>
      <c r="J22" s="711">
        <v>418.1</v>
      </c>
      <c r="K22" s="711">
        <v>-9.08</v>
      </c>
      <c r="L22" s="711">
        <v>42.1</v>
      </c>
      <c r="M22" s="715">
        <v>52.8</v>
      </c>
      <c r="N22" s="715" t="s">
        <v>614</v>
      </c>
      <c r="O22" s="715" t="s">
        <v>614</v>
      </c>
      <c r="P22" s="715" t="s">
        <v>614</v>
      </c>
      <c r="Q22" s="711">
        <v>187</v>
      </c>
      <c r="R22" s="711">
        <v>808</v>
      </c>
      <c r="S22" s="711">
        <v>179.2</v>
      </c>
      <c r="T22" s="711">
        <v>981.2</v>
      </c>
      <c r="U22" s="711">
        <v>54.9</v>
      </c>
      <c r="V22" s="716" t="s">
        <v>609</v>
      </c>
      <c r="W22" s="713" t="s">
        <v>609</v>
      </c>
      <c r="X22" s="715">
        <v>0.80800000000000005</v>
      </c>
      <c r="Y22" s="399" t="s">
        <v>1221</v>
      </c>
    </row>
    <row r="23" spans="1:25" ht="15" customHeight="1" x14ac:dyDescent="0.2">
      <c r="A23" s="398">
        <v>15</v>
      </c>
      <c r="B23" s="687" t="s">
        <v>1090</v>
      </c>
      <c r="C23" s="687" t="s">
        <v>619</v>
      </c>
      <c r="D23" s="709" t="s">
        <v>1131</v>
      </c>
      <c r="E23" s="400" t="s">
        <v>608</v>
      </c>
      <c r="F23" s="710" t="s">
        <v>1213</v>
      </c>
      <c r="G23" s="711">
        <v>10602.7</v>
      </c>
      <c r="H23" s="711">
        <v>9739.2000000000007</v>
      </c>
      <c r="I23" s="712">
        <v>42.9</v>
      </c>
      <c r="J23" s="711">
        <v>1933.1</v>
      </c>
      <c r="K23" s="711">
        <v>712.6</v>
      </c>
      <c r="L23" s="711">
        <v>514.29999999999995</v>
      </c>
      <c r="M23" s="711">
        <v>19.2</v>
      </c>
      <c r="N23" s="715">
        <v>23.8</v>
      </c>
      <c r="O23" s="711">
        <v>14.1</v>
      </c>
      <c r="P23" s="715">
        <v>16.100000000000001</v>
      </c>
      <c r="Q23" s="711">
        <v>488.9</v>
      </c>
      <c r="R23" s="711">
        <v>4833.5</v>
      </c>
      <c r="S23" s="711">
        <v>1675.2</v>
      </c>
      <c r="T23" s="711">
        <v>2600.3000000000002</v>
      </c>
      <c r="U23" s="711">
        <v>158.9</v>
      </c>
      <c r="V23" s="716" t="s">
        <v>609</v>
      </c>
      <c r="W23" s="717">
        <v>0.16899999999999998</v>
      </c>
      <c r="X23" s="714">
        <v>0.28199999999999997</v>
      </c>
      <c r="Y23" s="399" t="s">
        <v>1117</v>
      </c>
    </row>
    <row r="24" spans="1:25" ht="15" customHeight="1" x14ac:dyDescent="0.2">
      <c r="A24" s="398">
        <v>16</v>
      </c>
      <c r="B24" s="687" t="s">
        <v>1091</v>
      </c>
      <c r="C24" s="687" t="s">
        <v>618</v>
      </c>
      <c r="D24" s="709" t="s">
        <v>1131</v>
      </c>
      <c r="E24" s="400" t="s">
        <v>608</v>
      </c>
      <c r="F24" s="710" t="s">
        <v>1132</v>
      </c>
      <c r="G24" s="711">
        <v>9323</v>
      </c>
      <c r="H24" s="711">
        <v>9591.7999999999993</v>
      </c>
      <c r="I24" s="714">
        <v>173.49</v>
      </c>
      <c r="J24" s="711">
        <v>511.3</v>
      </c>
      <c r="K24" s="711">
        <v>164.3</v>
      </c>
      <c r="L24" s="711">
        <v>102.6</v>
      </c>
      <c r="M24" s="711">
        <v>94.4</v>
      </c>
      <c r="N24" s="712">
        <v>65.7</v>
      </c>
      <c r="O24" s="712">
        <v>53.8</v>
      </c>
      <c r="P24" s="712">
        <v>43.8</v>
      </c>
      <c r="Q24" s="711">
        <v>586.4</v>
      </c>
      <c r="R24" s="711">
        <v>1555.6</v>
      </c>
      <c r="S24" s="711">
        <v>225.2</v>
      </c>
      <c r="T24" s="711">
        <v>1479.9</v>
      </c>
      <c r="U24" s="711">
        <v>40</v>
      </c>
      <c r="V24" s="714" t="s">
        <v>609</v>
      </c>
      <c r="W24" s="713">
        <v>0.109</v>
      </c>
      <c r="X24" s="714">
        <v>0.90600000000000003</v>
      </c>
      <c r="Y24" s="399" t="s">
        <v>1222</v>
      </c>
    </row>
    <row r="25" spans="1:25" ht="15" customHeight="1" x14ac:dyDescent="0.2">
      <c r="A25" s="398">
        <v>17</v>
      </c>
      <c r="B25" s="687" t="s">
        <v>1092</v>
      </c>
      <c r="C25" s="687" t="s">
        <v>617</v>
      </c>
      <c r="D25" s="709" t="s">
        <v>1131</v>
      </c>
      <c r="E25" s="400" t="s">
        <v>608</v>
      </c>
      <c r="F25" s="710" t="s">
        <v>1213</v>
      </c>
      <c r="G25" s="711">
        <v>36064.800000000003</v>
      </c>
      <c r="H25" s="711">
        <v>35563.1</v>
      </c>
      <c r="I25" s="712">
        <v>385.8</v>
      </c>
      <c r="J25" s="711">
        <v>2639.5</v>
      </c>
      <c r="K25" s="711">
        <v>908.4</v>
      </c>
      <c r="L25" s="711">
        <v>523.1</v>
      </c>
      <c r="M25" s="711">
        <v>67.900000000000006</v>
      </c>
      <c r="N25" s="715">
        <v>47.3</v>
      </c>
      <c r="O25" s="712">
        <v>39.200000000000003</v>
      </c>
      <c r="P25" s="715">
        <v>30.6</v>
      </c>
      <c r="Q25" s="711">
        <v>59.8</v>
      </c>
      <c r="R25" s="711">
        <v>3069.3</v>
      </c>
      <c r="S25" s="711">
        <v>586.79999999999995</v>
      </c>
      <c r="T25" s="711">
        <v>1763.4</v>
      </c>
      <c r="U25" s="715">
        <v>268</v>
      </c>
      <c r="V25" s="712" t="s">
        <v>609</v>
      </c>
      <c r="W25" s="713">
        <v>0.28100000000000003</v>
      </c>
      <c r="X25" s="714">
        <v>0.13400000000000001</v>
      </c>
      <c r="Y25" s="399" t="s">
        <v>1119</v>
      </c>
    </row>
    <row r="26" spans="1:25" ht="15" customHeight="1" x14ac:dyDescent="0.2">
      <c r="A26" s="398">
        <v>18</v>
      </c>
      <c r="B26" s="687" t="s">
        <v>1093</v>
      </c>
      <c r="C26" s="687" t="s">
        <v>616</v>
      </c>
      <c r="D26" s="709" t="s">
        <v>1131</v>
      </c>
      <c r="E26" s="400" t="s">
        <v>608</v>
      </c>
      <c r="F26" s="710" t="s">
        <v>1213</v>
      </c>
      <c r="G26" s="711">
        <v>3141.6</v>
      </c>
      <c r="H26" s="711">
        <v>2950.5</v>
      </c>
      <c r="I26" s="712">
        <v>705.58</v>
      </c>
      <c r="J26" s="711">
        <v>842.8</v>
      </c>
      <c r="K26" s="711">
        <v>142.5</v>
      </c>
      <c r="L26" s="711">
        <v>63.4</v>
      </c>
      <c r="M26" s="711">
        <v>46.1</v>
      </c>
      <c r="N26" s="711">
        <v>29.6</v>
      </c>
      <c r="O26" s="711">
        <v>21.1</v>
      </c>
      <c r="P26" s="711">
        <v>15</v>
      </c>
      <c r="Q26" s="711">
        <v>50.3</v>
      </c>
      <c r="R26" s="711">
        <v>1147.9000000000001</v>
      </c>
      <c r="S26" s="711">
        <v>129.30000000000001</v>
      </c>
      <c r="T26" s="711">
        <v>723.4</v>
      </c>
      <c r="U26" s="711">
        <v>93.9</v>
      </c>
      <c r="V26" s="714">
        <v>2.74</v>
      </c>
      <c r="W26" s="713">
        <v>0.18</v>
      </c>
      <c r="X26" s="714">
        <v>0.74</v>
      </c>
      <c r="Y26" s="399" t="s">
        <v>1120</v>
      </c>
    </row>
    <row r="27" spans="1:25" ht="15" customHeight="1" x14ac:dyDescent="0.2">
      <c r="A27" s="398">
        <v>19</v>
      </c>
      <c r="B27" s="687" t="s">
        <v>1094</v>
      </c>
      <c r="C27" s="687" t="s">
        <v>615</v>
      </c>
      <c r="D27" s="709" t="s">
        <v>1131</v>
      </c>
      <c r="E27" s="400" t="s">
        <v>608</v>
      </c>
      <c r="F27" s="710" t="s">
        <v>1132</v>
      </c>
      <c r="G27" s="711">
        <v>6764.4</v>
      </c>
      <c r="H27" s="711">
        <v>5268</v>
      </c>
      <c r="I27" s="712">
        <v>18.62</v>
      </c>
      <c r="J27" s="711">
        <v>782.6</v>
      </c>
      <c r="K27" s="711">
        <v>374.5</v>
      </c>
      <c r="L27" s="711">
        <v>32.1</v>
      </c>
      <c r="M27" s="712">
        <v>156.1</v>
      </c>
      <c r="N27" s="711">
        <v>21.9</v>
      </c>
      <c r="O27" s="715">
        <v>17.2</v>
      </c>
      <c r="P27" s="715">
        <v>15.4</v>
      </c>
      <c r="Q27" s="711">
        <v>83.8</v>
      </c>
      <c r="R27" s="711">
        <v>2257.3000000000002</v>
      </c>
      <c r="S27" s="711">
        <v>1560.8</v>
      </c>
      <c r="T27" s="711">
        <v>453.6</v>
      </c>
      <c r="U27" s="711">
        <v>69.7</v>
      </c>
      <c r="V27" s="716" t="s">
        <v>609</v>
      </c>
      <c r="W27" s="713">
        <v>0.53900000000000003</v>
      </c>
      <c r="X27" s="714" t="s">
        <v>609</v>
      </c>
      <c r="Y27" s="399" t="s">
        <v>1223</v>
      </c>
    </row>
    <row r="28" spans="1:25" ht="15" customHeight="1" x14ac:dyDescent="0.2">
      <c r="A28" s="398">
        <v>20</v>
      </c>
      <c r="B28" s="687" t="s">
        <v>1095</v>
      </c>
      <c r="C28" s="687" t="s">
        <v>613</v>
      </c>
      <c r="D28" s="709" t="s">
        <v>1131</v>
      </c>
      <c r="E28" s="400" t="s">
        <v>608</v>
      </c>
      <c r="F28" s="710" t="s">
        <v>1213</v>
      </c>
      <c r="G28" s="711">
        <v>3996.7</v>
      </c>
      <c r="H28" s="711">
        <v>4160.2</v>
      </c>
      <c r="I28" s="712">
        <v>15.72</v>
      </c>
      <c r="J28" s="711">
        <v>818.1</v>
      </c>
      <c r="K28" s="711">
        <v>193.3</v>
      </c>
      <c r="L28" s="711">
        <v>123.4</v>
      </c>
      <c r="M28" s="711">
        <v>31.2</v>
      </c>
      <c r="N28" s="711">
        <v>36.1</v>
      </c>
      <c r="O28" s="711">
        <v>19.7</v>
      </c>
      <c r="P28" s="711">
        <v>17</v>
      </c>
      <c r="Q28" s="711">
        <v>115.6</v>
      </c>
      <c r="R28" s="711">
        <v>968</v>
      </c>
      <c r="S28" s="711">
        <v>367.4</v>
      </c>
      <c r="T28" s="711">
        <v>791.5</v>
      </c>
      <c r="U28" s="711">
        <v>100.2</v>
      </c>
      <c r="V28" s="712" t="s">
        <v>609</v>
      </c>
      <c r="W28" s="713">
        <v>0.16399999999999998</v>
      </c>
      <c r="X28" s="714" t="s">
        <v>609</v>
      </c>
      <c r="Y28" s="399" t="s">
        <v>1122</v>
      </c>
    </row>
    <row r="29" spans="1:25" ht="15" customHeight="1" x14ac:dyDescent="0.2">
      <c r="A29" s="398">
        <v>21</v>
      </c>
      <c r="B29" s="687" t="s">
        <v>1096</v>
      </c>
      <c r="C29" s="687" t="s">
        <v>612</v>
      </c>
      <c r="D29" s="709" t="s">
        <v>1131</v>
      </c>
      <c r="E29" s="400" t="s">
        <v>608</v>
      </c>
      <c r="F29" s="710" t="s">
        <v>1213</v>
      </c>
      <c r="G29" s="711">
        <v>4926</v>
      </c>
      <c r="H29" s="711">
        <v>5402.3</v>
      </c>
      <c r="I29" s="712">
        <v>426.11</v>
      </c>
      <c r="J29" s="711">
        <v>798.1</v>
      </c>
      <c r="K29" s="711">
        <v>178.5</v>
      </c>
      <c r="L29" s="711">
        <v>137</v>
      </c>
      <c r="M29" s="711">
        <v>35.9</v>
      </c>
      <c r="N29" s="715">
        <v>35.5</v>
      </c>
      <c r="O29" s="712">
        <v>25</v>
      </c>
      <c r="P29" s="715">
        <v>22.2</v>
      </c>
      <c r="Q29" s="711">
        <v>137.19999999999999</v>
      </c>
      <c r="R29" s="711">
        <v>1024.4000000000001</v>
      </c>
      <c r="S29" s="711">
        <v>35.799999999999997</v>
      </c>
      <c r="T29" s="711">
        <v>747.7</v>
      </c>
      <c r="U29" s="715">
        <v>26</v>
      </c>
      <c r="V29" s="712">
        <v>2.1</v>
      </c>
      <c r="W29" s="713">
        <v>0.126</v>
      </c>
      <c r="X29" s="712">
        <v>0.25800000000000001</v>
      </c>
      <c r="Y29" s="399" t="s">
        <v>1224</v>
      </c>
    </row>
    <row r="30" spans="1:25" ht="15" customHeight="1" x14ac:dyDescent="0.2">
      <c r="A30" s="398">
        <v>22</v>
      </c>
      <c r="B30" s="687" t="s">
        <v>1097</v>
      </c>
      <c r="C30" s="687" t="s">
        <v>611</v>
      </c>
      <c r="D30" s="709" t="s">
        <v>1131</v>
      </c>
      <c r="E30" s="400" t="s">
        <v>608</v>
      </c>
      <c r="F30" s="710" t="s">
        <v>1132</v>
      </c>
      <c r="G30" s="711">
        <v>18369.2</v>
      </c>
      <c r="H30" s="711">
        <v>17543</v>
      </c>
      <c r="I30" s="714">
        <v>287.42</v>
      </c>
      <c r="J30" s="711">
        <v>2449.6</v>
      </c>
      <c r="K30" s="711">
        <v>849.2</v>
      </c>
      <c r="L30" s="711">
        <v>609.20000000000005</v>
      </c>
      <c r="M30" s="711">
        <v>29.4</v>
      </c>
      <c r="N30" s="715">
        <v>27.6</v>
      </c>
      <c r="O30" s="711">
        <v>21.7</v>
      </c>
      <c r="P30" s="715">
        <v>20.6</v>
      </c>
      <c r="Q30" s="711">
        <v>440.7</v>
      </c>
      <c r="R30" s="711">
        <v>2721.4</v>
      </c>
      <c r="S30" s="711">
        <v>1331.1</v>
      </c>
      <c r="T30" s="711">
        <v>323.2</v>
      </c>
      <c r="U30" s="711">
        <v>141.80000000000001</v>
      </c>
      <c r="V30" s="716" t="s">
        <v>609</v>
      </c>
      <c r="W30" s="713">
        <v>0.14099999999999999</v>
      </c>
      <c r="X30" s="714">
        <v>0.91900000000000004</v>
      </c>
      <c r="Y30" s="399" t="s">
        <v>1225</v>
      </c>
    </row>
    <row r="31" spans="1:25" ht="15" customHeight="1" x14ac:dyDescent="0.2">
      <c r="A31" s="398">
        <v>23</v>
      </c>
      <c r="B31" s="687" t="s">
        <v>1098</v>
      </c>
      <c r="C31" s="687" t="s">
        <v>610</v>
      </c>
      <c r="D31" s="709" t="s">
        <v>1131</v>
      </c>
      <c r="E31" s="400" t="s">
        <v>608</v>
      </c>
      <c r="F31" s="710" t="s">
        <v>1132</v>
      </c>
      <c r="G31" s="711">
        <v>25729.599999999999</v>
      </c>
      <c r="H31" s="711">
        <v>26055.3</v>
      </c>
      <c r="I31" s="712">
        <v>351.72</v>
      </c>
      <c r="J31" s="711">
        <v>2313.1999999999998</v>
      </c>
      <c r="K31" s="711">
        <v>697.2</v>
      </c>
      <c r="L31" s="711">
        <v>528.5</v>
      </c>
      <c r="M31" s="711">
        <v>49.9</v>
      </c>
      <c r="N31" s="711">
        <v>45.8</v>
      </c>
      <c r="O31" s="712">
        <v>34.6</v>
      </c>
      <c r="P31" s="712">
        <v>30.7</v>
      </c>
      <c r="Q31" s="711">
        <v>503.2</v>
      </c>
      <c r="R31" s="711">
        <v>2283.9</v>
      </c>
      <c r="S31" s="711">
        <v>270.8</v>
      </c>
      <c r="T31" s="711">
        <v>1900.1</v>
      </c>
      <c r="U31" s="711">
        <v>202.4</v>
      </c>
      <c r="V31" s="716">
        <v>0.58699999999999997</v>
      </c>
      <c r="W31" s="713">
        <v>0.13200000000000001</v>
      </c>
      <c r="X31" s="714">
        <v>1.04</v>
      </c>
      <c r="Y31" s="399" t="s">
        <v>1226</v>
      </c>
    </row>
    <row r="32" spans="1:25" ht="84" x14ac:dyDescent="0.2">
      <c r="B32" s="419" t="s">
        <v>665</v>
      </c>
      <c r="D32" s="419"/>
      <c r="F32" s="419" t="s">
        <v>652</v>
      </c>
      <c r="G32" s="418" t="s">
        <v>651</v>
      </c>
      <c r="H32" s="418" t="s">
        <v>650</v>
      </c>
      <c r="I32" s="418" t="s">
        <v>649</v>
      </c>
      <c r="J32" s="418" t="s">
        <v>648</v>
      </c>
      <c r="K32" s="418" t="s">
        <v>647</v>
      </c>
      <c r="L32" s="418" t="s">
        <v>646</v>
      </c>
      <c r="M32" s="418" t="s">
        <v>645</v>
      </c>
      <c r="N32" s="418" t="s">
        <v>642</v>
      </c>
      <c r="O32" s="418" t="s">
        <v>644</v>
      </c>
      <c r="P32" s="418" t="s">
        <v>643</v>
      </c>
      <c r="Q32" s="418" t="s">
        <v>641</v>
      </c>
      <c r="R32" s="418" t="s">
        <v>640</v>
      </c>
      <c r="S32" s="418" t="s">
        <v>639</v>
      </c>
      <c r="T32" s="418" t="s">
        <v>638</v>
      </c>
      <c r="U32" s="418" t="s">
        <v>637</v>
      </c>
      <c r="V32" s="418" t="s">
        <v>636</v>
      </c>
      <c r="W32" s="418" t="s">
        <v>664</v>
      </c>
      <c r="X32" s="418" t="s">
        <v>635</v>
      </c>
    </row>
    <row r="34" spans="14:14" x14ac:dyDescent="0.2">
      <c r="N34" s="417"/>
    </row>
  </sheetData>
  <pageMargins left="0.2" right="0.2" top="0.5" bottom="0.5" header="0.5" footer="0.5"/>
  <pageSetup fitToWidth="0" fitToHeight="0" orientation="landscape" horizontalDpi="300" verticalDpi="300"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94DE-A775-4C3C-999F-6A2FDFDBE3EC}">
  <sheetPr>
    <outlinePr summaryBelow="0" summaryRight="0"/>
    <pageSetUpPr autoPageBreaks="0"/>
  </sheetPr>
  <dimension ref="A6:X31"/>
  <sheetViews>
    <sheetView topLeftCell="N3" zoomScaleNormal="100" workbookViewId="0">
      <selection activeCell="V10" sqref="V10"/>
    </sheetView>
  </sheetViews>
  <sheetFormatPr defaultColWidth="8.88671875" defaultRowHeight="10.199999999999999" x14ac:dyDescent="0.2"/>
  <cols>
    <col min="1" max="1" width="25.88671875" style="406" customWidth="1"/>
    <col min="2" max="2" width="15.88671875" style="406" customWidth="1"/>
    <col min="3" max="3" width="14.88671875" style="406" customWidth="1"/>
    <col min="4" max="5" width="40.88671875" style="406" customWidth="1"/>
    <col min="6" max="23" width="25.88671875" style="406" customWidth="1"/>
    <col min="24" max="24" width="40.88671875" style="406" customWidth="1"/>
    <col min="25" max="256" width="9.109375" style="406"/>
    <col min="257" max="257" width="25.88671875" style="406" customWidth="1"/>
    <col min="258" max="258" width="15.88671875" style="406" customWidth="1"/>
    <col min="259" max="259" width="14.88671875" style="406" customWidth="1"/>
    <col min="260" max="261" width="40.88671875" style="406" customWidth="1"/>
    <col min="262" max="279" width="25.88671875" style="406" customWidth="1"/>
    <col min="280" max="280" width="40.88671875" style="406" customWidth="1"/>
    <col min="281" max="512" width="9.109375" style="406"/>
    <col min="513" max="513" width="25.88671875" style="406" customWidth="1"/>
    <col min="514" max="514" width="15.88671875" style="406" customWidth="1"/>
    <col min="515" max="515" width="14.88671875" style="406" customWidth="1"/>
    <col min="516" max="517" width="40.88671875" style="406" customWidth="1"/>
    <col min="518" max="535" width="25.88671875" style="406" customWidth="1"/>
    <col min="536" max="536" width="40.88671875" style="406" customWidth="1"/>
    <col min="537" max="768" width="9.109375" style="406"/>
    <col min="769" max="769" width="25.88671875" style="406" customWidth="1"/>
    <col min="770" max="770" width="15.88671875" style="406" customWidth="1"/>
    <col min="771" max="771" width="14.88671875" style="406" customWidth="1"/>
    <col min="772" max="773" width="40.88671875" style="406" customWidth="1"/>
    <col min="774" max="791" width="25.88671875" style="406" customWidth="1"/>
    <col min="792" max="792" width="40.88671875" style="406" customWidth="1"/>
    <col min="793" max="1024" width="9.109375" style="406"/>
    <col min="1025" max="1025" width="25.88671875" style="406" customWidth="1"/>
    <col min="1026" max="1026" width="15.88671875" style="406" customWidth="1"/>
    <col min="1027" max="1027" width="14.88671875" style="406" customWidth="1"/>
    <col min="1028" max="1029" width="40.88671875" style="406" customWidth="1"/>
    <col min="1030" max="1047" width="25.88671875" style="406" customWidth="1"/>
    <col min="1048" max="1048" width="40.88671875" style="406" customWidth="1"/>
    <col min="1049" max="1280" width="9.109375" style="406"/>
    <col min="1281" max="1281" width="25.88671875" style="406" customWidth="1"/>
    <col min="1282" max="1282" width="15.88671875" style="406" customWidth="1"/>
    <col min="1283" max="1283" width="14.88671875" style="406" customWidth="1"/>
    <col min="1284" max="1285" width="40.88671875" style="406" customWidth="1"/>
    <col min="1286" max="1303" width="25.88671875" style="406" customWidth="1"/>
    <col min="1304" max="1304" width="40.88671875" style="406" customWidth="1"/>
    <col min="1305" max="1536" width="9.109375" style="406"/>
    <col min="1537" max="1537" width="25.88671875" style="406" customWidth="1"/>
    <col min="1538" max="1538" width="15.88671875" style="406" customWidth="1"/>
    <col min="1539" max="1539" width="14.88671875" style="406" customWidth="1"/>
    <col min="1540" max="1541" width="40.88671875" style="406" customWidth="1"/>
    <col min="1542" max="1559" width="25.88671875" style="406" customWidth="1"/>
    <col min="1560" max="1560" width="40.88671875" style="406" customWidth="1"/>
    <col min="1561" max="1792" width="9.109375" style="406"/>
    <col min="1793" max="1793" width="25.88671875" style="406" customWidth="1"/>
    <col min="1794" max="1794" width="15.88671875" style="406" customWidth="1"/>
    <col min="1795" max="1795" width="14.88671875" style="406" customWidth="1"/>
    <col min="1796" max="1797" width="40.88671875" style="406" customWidth="1"/>
    <col min="1798" max="1815" width="25.88671875" style="406" customWidth="1"/>
    <col min="1816" max="1816" width="40.88671875" style="406" customWidth="1"/>
    <col min="1817" max="2048" width="9.109375" style="406"/>
    <col min="2049" max="2049" width="25.88671875" style="406" customWidth="1"/>
    <col min="2050" max="2050" width="15.88671875" style="406" customWidth="1"/>
    <col min="2051" max="2051" width="14.88671875" style="406" customWidth="1"/>
    <col min="2052" max="2053" width="40.88671875" style="406" customWidth="1"/>
    <col min="2054" max="2071" width="25.88671875" style="406" customWidth="1"/>
    <col min="2072" max="2072" width="40.88671875" style="406" customWidth="1"/>
    <col min="2073" max="2304" width="9.109375" style="406"/>
    <col min="2305" max="2305" width="25.88671875" style="406" customWidth="1"/>
    <col min="2306" max="2306" width="15.88671875" style="406" customWidth="1"/>
    <col min="2307" max="2307" width="14.88671875" style="406" customWidth="1"/>
    <col min="2308" max="2309" width="40.88671875" style="406" customWidth="1"/>
    <col min="2310" max="2327" width="25.88671875" style="406" customWidth="1"/>
    <col min="2328" max="2328" width="40.88671875" style="406" customWidth="1"/>
    <col min="2329" max="2560" width="9.109375" style="406"/>
    <col min="2561" max="2561" width="25.88671875" style="406" customWidth="1"/>
    <col min="2562" max="2562" width="15.88671875" style="406" customWidth="1"/>
    <col min="2563" max="2563" width="14.88671875" style="406" customWidth="1"/>
    <col min="2564" max="2565" width="40.88671875" style="406" customWidth="1"/>
    <col min="2566" max="2583" width="25.88671875" style="406" customWidth="1"/>
    <col min="2584" max="2584" width="40.88671875" style="406" customWidth="1"/>
    <col min="2585" max="2816" width="9.109375" style="406"/>
    <col min="2817" max="2817" width="25.88671875" style="406" customWidth="1"/>
    <col min="2818" max="2818" width="15.88671875" style="406" customWidth="1"/>
    <col min="2819" max="2819" width="14.88671875" style="406" customWidth="1"/>
    <col min="2820" max="2821" width="40.88671875" style="406" customWidth="1"/>
    <col min="2822" max="2839" width="25.88671875" style="406" customWidth="1"/>
    <col min="2840" max="2840" width="40.88671875" style="406" customWidth="1"/>
    <col min="2841" max="3072" width="9.109375" style="406"/>
    <col min="3073" max="3073" width="25.88671875" style="406" customWidth="1"/>
    <col min="3074" max="3074" width="15.88671875" style="406" customWidth="1"/>
    <col min="3075" max="3075" width="14.88671875" style="406" customWidth="1"/>
    <col min="3076" max="3077" width="40.88671875" style="406" customWidth="1"/>
    <col min="3078" max="3095" width="25.88671875" style="406" customWidth="1"/>
    <col min="3096" max="3096" width="40.88671875" style="406" customWidth="1"/>
    <col min="3097" max="3328" width="9.109375" style="406"/>
    <col min="3329" max="3329" width="25.88671875" style="406" customWidth="1"/>
    <col min="3330" max="3330" width="15.88671875" style="406" customWidth="1"/>
    <col min="3331" max="3331" width="14.88671875" style="406" customWidth="1"/>
    <col min="3332" max="3333" width="40.88671875" style="406" customWidth="1"/>
    <col min="3334" max="3351" width="25.88671875" style="406" customWidth="1"/>
    <col min="3352" max="3352" width="40.88671875" style="406" customWidth="1"/>
    <col min="3353" max="3584" width="9.109375" style="406"/>
    <col min="3585" max="3585" width="25.88671875" style="406" customWidth="1"/>
    <col min="3586" max="3586" width="15.88671875" style="406" customWidth="1"/>
    <col min="3587" max="3587" width="14.88671875" style="406" customWidth="1"/>
    <col min="3588" max="3589" width="40.88671875" style="406" customWidth="1"/>
    <col min="3590" max="3607" width="25.88671875" style="406" customWidth="1"/>
    <col min="3608" max="3608" width="40.88671875" style="406" customWidth="1"/>
    <col min="3609" max="3840" width="9.109375" style="406"/>
    <col min="3841" max="3841" width="25.88671875" style="406" customWidth="1"/>
    <col min="3842" max="3842" width="15.88671875" style="406" customWidth="1"/>
    <col min="3843" max="3843" width="14.88671875" style="406" customWidth="1"/>
    <col min="3844" max="3845" width="40.88671875" style="406" customWidth="1"/>
    <col min="3846" max="3863" width="25.88671875" style="406" customWidth="1"/>
    <col min="3864" max="3864" width="40.88671875" style="406" customWidth="1"/>
    <col min="3865" max="4096" width="9.109375" style="406"/>
    <col min="4097" max="4097" width="25.88671875" style="406" customWidth="1"/>
    <col min="4098" max="4098" width="15.88671875" style="406" customWidth="1"/>
    <col min="4099" max="4099" width="14.88671875" style="406" customWidth="1"/>
    <col min="4100" max="4101" width="40.88671875" style="406" customWidth="1"/>
    <col min="4102" max="4119" width="25.88671875" style="406" customWidth="1"/>
    <col min="4120" max="4120" width="40.88671875" style="406" customWidth="1"/>
    <col min="4121" max="4352" width="9.109375" style="406"/>
    <col min="4353" max="4353" width="25.88671875" style="406" customWidth="1"/>
    <col min="4354" max="4354" width="15.88671875" style="406" customWidth="1"/>
    <col min="4355" max="4355" width="14.88671875" style="406" customWidth="1"/>
    <col min="4356" max="4357" width="40.88671875" style="406" customWidth="1"/>
    <col min="4358" max="4375" width="25.88671875" style="406" customWidth="1"/>
    <col min="4376" max="4376" width="40.88671875" style="406" customWidth="1"/>
    <col min="4377" max="4608" width="9.109375" style="406"/>
    <col min="4609" max="4609" width="25.88671875" style="406" customWidth="1"/>
    <col min="4610" max="4610" width="15.88671875" style="406" customWidth="1"/>
    <col min="4611" max="4611" width="14.88671875" style="406" customWidth="1"/>
    <col min="4612" max="4613" width="40.88671875" style="406" customWidth="1"/>
    <col min="4614" max="4631" width="25.88671875" style="406" customWidth="1"/>
    <col min="4632" max="4632" width="40.88671875" style="406" customWidth="1"/>
    <col min="4633" max="4864" width="9.109375" style="406"/>
    <col min="4865" max="4865" width="25.88671875" style="406" customWidth="1"/>
    <col min="4866" max="4866" width="15.88671875" style="406" customWidth="1"/>
    <col min="4867" max="4867" width="14.88671875" style="406" customWidth="1"/>
    <col min="4868" max="4869" width="40.88671875" style="406" customWidth="1"/>
    <col min="4870" max="4887" width="25.88671875" style="406" customWidth="1"/>
    <col min="4888" max="4888" width="40.88671875" style="406" customWidth="1"/>
    <col min="4889" max="5120" width="9.109375" style="406"/>
    <col min="5121" max="5121" width="25.88671875" style="406" customWidth="1"/>
    <col min="5122" max="5122" width="15.88671875" style="406" customWidth="1"/>
    <col min="5123" max="5123" width="14.88671875" style="406" customWidth="1"/>
    <col min="5124" max="5125" width="40.88671875" style="406" customWidth="1"/>
    <col min="5126" max="5143" width="25.88671875" style="406" customWidth="1"/>
    <col min="5144" max="5144" width="40.88671875" style="406" customWidth="1"/>
    <col min="5145" max="5376" width="9.109375" style="406"/>
    <col min="5377" max="5377" width="25.88671875" style="406" customWidth="1"/>
    <col min="5378" max="5378" width="15.88671875" style="406" customWidth="1"/>
    <col min="5379" max="5379" width="14.88671875" style="406" customWidth="1"/>
    <col min="5380" max="5381" width="40.88671875" style="406" customWidth="1"/>
    <col min="5382" max="5399" width="25.88671875" style="406" customWidth="1"/>
    <col min="5400" max="5400" width="40.88671875" style="406" customWidth="1"/>
    <col min="5401" max="5632" width="9.109375" style="406"/>
    <col min="5633" max="5633" width="25.88671875" style="406" customWidth="1"/>
    <col min="5634" max="5634" width="15.88671875" style="406" customWidth="1"/>
    <col min="5635" max="5635" width="14.88671875" style="406" customWidth="1"/>
    <col min="5636" max="5637" width="40.88671875" style="406" customWidth="1"/>
    <col min="5638" max="5655" width="25.88671875" style="406" customWidth="1"/>
    <col min="5656" max="5656" width="40.88671875" style="406" customWidth="1"/>
    <col min="5657" max="5888" width="9.109375" style="406"/>
    <col min="5889" max="5889" width="25.88671875" style="406" customWidth="1"/>
    <col min="5890" max="5890" width="15.88671875" style="406" customWidth="1"/>
    <col min="5891" max="5891" width="14.88671875" style="406" customWidth="1"/>
    <col min="5892" max="5893" width="40.88671875" style="406" customWidth="1"/>
    <col min="5894" max="5911" width="25.88671875" style="406" customWidth="1"/>
    <col min="5912" max="5912" width="40.88671875" style="406" customWidth="1"/>
    <col min="5913" max="6144" width="9.109375" style="406"/>
    <col min="6145" max="6145" width="25.88671875" style="406" customWidth="1"/>
    <col min="6146" max="6146" width="15.88671875" style="406" customWidth="1"/>
    <col min="6147" max="6147" width="14.88671875" style="406" customWidth="1"/>
    <col min="6148" max="6149" width="40.88671875" style="406" customWidth="1"/>
    <col min="6150" max="6167" width="25.88671875" style="406" customWidth="1"/>
    <col min="6168" max="6168" width="40.88671875" style="406" customWidth="1"/>
    <col min="6169" max="6400" width="9.109375" style="406"/>
    <col min="6401" max="6401" width="25.88671875" style="406" customWidth="1"/>
    <col min="6402" max="6402" width="15.88671875" style="406" customWidth="1"/>
    <col min="6403" max="6403" width="14.88671875" style="406" customWidth="1"/>
    <col min="6404" max="6405" width="40.88671875" style="406" customWidth="1"/>
    <col min="6406" max="6423" width="25.88671875" style="406" customWidth="1"/>
    <col min="6424" max="6424" width="40.88671875" style="406" customWidth="1"/>
    <col min="6425" max="6656" width="9.109375" style="406"/>
    <col min="6657" max="6657" width="25.88671875" style="406" customWidth="1"/>
    <col min="6658" max="6658" width="15.88671875" style="406" customWidth="1"/>
    <col min="6659" max="6659" width="14.88671875" style="406" customWidth="1"/>
    <col min="6660" max="6661" width="40.88671875" style="406" customWidth="1"/>
    <col min="6662" max="6679" width="25.88671875" style="406" customWidth="1"/>
    <col min="6680" max="6680" width="40.88671875" style="406" customWidth="1"/>
    <col min="6681" max="6912" width="9.109375" style="406"/>
    <col min="6913" max="6913" width="25.88671875" style="406" customWidth="1"/>
    <col min="6914" max="6914" width="15.88671875" style="406" customWidth="1"/>
    <col min="6915" max="6915" width="14.88671875" style="406" customWidth="1"/>
    <col min="6916" max="6917" width="40.88671875" style="406" customWidth="1"/>
    <col min="6918" max="6935" width="25.88671875" style="406" customWidth="1"/>
    <col min="6936" max="6936" width="40.88671875" style="406" customWidth="1"/>
    <col min="6937" max="7168" width="9.109375" style="406"/>
    <col min="7169" max="7169" width="25.88671875" style="406" customWidth="1"/>
    <col min="7170" max="7170" width="15.88671875" style="406" customWidth="1"/>
    <col min="7171" max="7171" width="14.88671875" style="406" customWidth="1"/>
    <col min="7172" max="7173" width="40.88671875" style="406" customWidth="1"/>
    <col min="7174" max="7191" width="25.88671875" style="406" customWidth="1"/>
    <col min="7192" max="7192" width="40.88671875" style="406" customWidth="1"/>
    <col min="7193" max="7424" width="9.109375" style="406"/>
    <col min="7425" max="7425" width="25.88671875" style="406" customWidth="1"/>
    <col min="7426" max="7426" width="15.88671875" style="406" customWidth="1"/>
    <col min="7427" max="7427" width="14.88671875" style="406" customWidth="1"/>
    <col min="7428" max="7429" width="40.88671875" style="406" customWidth="1"/>
    <col min="7430" max="7447" width="25.88671875" style="406" customWidth="1"/>
    <col min="7448" max="7448" width="40.88671875" style="406" customWidth="1"/>
    <col min="7449" max="7680" width="9.109375" style="406"/>
    <col min="7681" max="7681" width="25.88671875" style="406" customWidth="1"/>
    <col min="7682" max="7682" width="15.88671875" style="406" customWidth="1"/>
    <col min="7683" max="7683" width="14.88671875" style="406" customWidth="1"/>
    <col min="7684" max="7685" width="40.88671875" style="406" customWidth="1"/>
    <col min="7686" max="7703" width="25.88671875" style="406" customWidth="1"/>
    <col min="7704" max="7704" width="40.88671875" style="406" customWidth="1"/>
    <col min="7705" max="7936" width="9.109375" style="406"/>
    <col min="7937" max="7937" width="25.88671875" style="406" customWidth="1"/>
    <col min="7938" max="7938" width="15.88671875" style="406" customWidth="1"/>
    <col min="7939" max="7939" width="14.88671875" style="406" customWidth="1"/>
    <col min="7940" max="7941" width="40.88671875" style="406" customWidth="1"/>
    <col min="7942" max="7959" width="25.88671875" style="406" customWidth="1"/>
    <col min="7960" max="7960" width="40.88671875" style="406" customWidth="1"/>
    <col min="7961" max="8192" width="9.109375" style="406"/>
    <col min="8193" max="8193" width="25.88671875" style="406" customWidth="1"/>
    <col min="8194" max="8194" width="15.88671875" style="406" customWidth="1"/>
    <col min="8195" max="8195" width="14.88671875" style="406" customWidth="1"/>
    <col min="8196" max="8197" width="40.88671875" style="406" customWidth="1"/>
    <col min="8198" max="8215" width="25.88671875" style="406" customWidth="1"/>
    <col min="8216" max="8216" width="40.88671875" style="406" customWidth="1"/>
    <col min="8217" max="8448" width="9.109375" style="406"/>
    <col min="8449" max="8449" width="25.88671875" style="406" customWidth="1"/>
    <col min="8450" max="8450" width="15.88671875" style="406" customWidth="1"/>
    <col min="8451" max="8451" width="14.88671875" style="406" customWidth="1"/>
    <col min="8452" max="8453" width="40.88671875" style="406" customWidth="1"/>
    <col min="8454" max="8471" width="25.88671875" style="406" customWidth="1"/>
    <col min="8472" max="8472" width="40.88671875" style="406" customWidth="1"/>
    <col min="8473" max="8704" width="9.109375" style="406"/>
    <col min="8705" max="8705" width="25.88671875" style="406" customWidth="1"/>
    <col min="8706" max="8706" width="15.88671875" style="406" customWidth="1"/>
    <col min="8707" max="8707" width="14.88671875" style="406" customWidth="1"/>
    <col min="8708" max="8709" width="40.88671875" style="406" customWidth="1"/>
    <col min="8710" max="8727" width="25.88671875" style="406" customWidth="1"/>
    <col min="8728" max="8728" width="40.88671875" style="406" customWidth="1"/>
    <col min="8729" max="8960" width="9.109375" style="406"/>
    <col min="8961" max="8961" width="25.88671875" style="406" customWidth="1"/>
    <col min="8962" max="8962" width="15.88671875" style="406" customWidth="1"/>
    <col min="8963" max="8963" width="14.88671875" style="406" customWidth="1"/>
    <col min="8964" max="8965" width="40.88671875" style="406" customWidth="1"/>
    <col min="8966" max="8983" width="25.88671875" style="406" customWidth="1"/>
    <col min="8984" max="8984" width="40.88671875" style="406" customWidth="1"/>
    <col min="8985" max="9216" width="9.109375" style="406"/>
    <col min="9217" max="9217" width="25.88671875" style="406" customWidth="1"/>
    <col min="9218" max="9218" width="15.88671875" style="406" customWidth="1"/>
    <col min="9219" max="9219" width="14.88671875" style="406" customWidth="1"/>
    <col min="9220" max="9221" width="40.88671875" style="406" customWidth="1"/>
    <col min="9222" max="9239" width="25.88671875" style="406" customWidth="1"/>
    <col min="9240" max="9240" width="40.88671875" style="406" customWidth="1"/>
    <col min="9241" max="9472" width="9.109375" style="406"/>
    <col min="9473" max="9473" width="25.88671875" style="406" customWidth="1"/>
    <col min="9474" max="9474" width="15.88671875" style="406" customWidth="1"/>
    <col min="9475" max="9475" width="14.88671875" style="406" customWidth="1"/>
    <col min="9476" max="9477" width="40.88671875" style="406" customWidth="1"/>
    <col min="9478" max="9495" width="25.88671875" style="406" customWidth="1"/>
    <col min="9496" max="9496" width="40.88671875" style="406" customWidth="1"/>
    <col min="9497" max="9728" width="9.109375" style="406"/>
    <col min="9729" max="9729" width="25.88671875" style="406" customWidth="1"/>
    <col min="9730" max="9730" width="15.88671875" style="406" customWidth="1"/>
    <col min="9731" max="9731" width="14.88671875" style="406" customWidth="1"/>
    <col min="9732" max="9733" width="40.88671875" style="406" customWidth="1"/>
    <col min="9734" max="9751" width="25.88671875" style="406" customWidth="1"/>
    <col min="9752" max="9752" width="40.88671875" style="406" customWidth="1"/>
    <col min="9753" max="9984" width="9.109375" style="406"/>
    <col min="9985" max="9985" width="25.88671875" style="406" customWidth="1"/>
    <col min="9986" max="9986" width="15.88671875" style="406" customWidth="1"/>
    <col min="9987" max="9987" width="14.88671875" style="406" customWidth="1"/>
    <col min="9988" max="9989" width="40.88671875" style="406" customWidth="1"/>
    <col min="9990" max="10007" width="25.88671875" style="406" customWidth="1"/>
    <col min="10008" max="10008" width="40.88671875" style="406" customWidth="1"/>
    <col min="10009" max="10240" width="9.109375" style="406"/>
    <col min="10241" max="10241" width="25.88671875" style="406" customWidth="1"/>
    <col min="10242" max="10242" width="15.88671875" style="406" customWidth="1"/>
    <col min="10243" max="10243" width="14.88671875" style="406" customWidth="1"/>
    <col min="10244" max="10245" width="40.88671875" style="406" customWidth="1"/>
    <col min="10246" max="10263" width="25.88671875" style="406" customWidth="1"/>
    <col min="10264" max="10264" width="40.88671875" style="406" customWidth="1"/>
    <col min="10265" max="10496" width="9.109375" style="406"/>
    <col min="10497" max="10497" width="25.88671875" style="406" customWidth="1"/>
    <col min="10498" max="10498" width="15.88671875" style="406" customWidth="1"/>
    <col min="10499" max="10499" width="14.88671875" style="406" customWidth="1"/>
    <col min="10500" max="10501" width="40.88671875" style="406" customWidth="1"/>
    <col min="10502" max="10519" width="25.88671875" style="406" customWidth="1"/>
    <col min="10520" max="10520" width="40.88671875" style="406" customWidth="1"/>
    <col min="10521" max="10752" width="9.109375" style="406"/>
    <col min="10753" max="10753" width="25.88671875" style="406" customWidth="1"/>
    <col min="10754" max="10754" width="15.88671875" style="406" customWidth="1"/>
    <col min="10755" max="10755" width="14.88671875" style="406" customWidth="1"/>
    <col min="10756" max="10757" width="40.88671875" style="406" customWidth="1"/>
    <col min="10758" max="10775" width="25.88671875" style="406" customWidth="1"/>
    <col min="10776" max="10776" width="40.88671875" style="406" customWidth="1"/>
    <col min="10777" max="11008" width="9.109375" style="406"/>
    <col min="11009" max="11009" width="25.88671875" style="406" customWidth="1"/>
    <col min="11010" max="11010" width="15.88671875" style="406" customWidth="1"/>
    <col min="11011" max="11011" width="14.88671875" style="406" customWidth="1"/>
    <col min="11012" max="11013" width="40.88671875" style="406" customWidth="1"/>
    <col min="11014" max="11031" width="25.88671875" style="406" customWidth="1"/>
    <col min="11032" max="11032" width="40.88671875" style="406" customWidth="1"/>
    <col min="11033" max="11264" width="9.109375" style="406"/>
    <col min="11265" max="11265" width="25.88671875" style="406" customWidth="1"/>
    <col min="11266" max="11266" width="15.88671875" style="406" customWidth="1"/>
    <col min="11267" max="11267" width="14.88671875" style="406" customWidth="1"/>
    <col min="11268" max="11269" width="40.88671875" style="406" customWidth="1"/>
    <col min="11270" max="11287" width="25.88671875" style="406" customWidth="1"/>
    <col min="11288" max="11288" width="40.88671875" style="406" customWidth="1"/>
    <col min="11289" max="11520" width="9.109375" style="406"/>
    <col min="11521" max="11521" width="25.88671875" style="406" customWidth="1"/>
    <col min="11522" max="11522" width="15.88671875" style="406" customWidth="1"/>
    <col min="11523" max="11523" width="14.88671875" style="406" customWidth="1"/>
    <col min="11524" max="11525" width="40.88671875" style="406" customWidth="1"/>
    <col min="11526" max="11543" width="25.88671875" style="406" customWidth="1"/>
    <col min="11544" max="11544" width="40.88671875" style="406" customWidth="1"/>
    <col min="11545" max="11776" width="9.109375" style="406"/>
    <col min="11777" max="11777" width="25.88671875" style="406" customWidth="1"/>
    <col min="11778" max="11778" width="15.88671875" style="406" customWidth="1"/>
    <col min="11779" max="11779" width="14.88671875" style="406" customWidth="1"/>
    <col min="11780" max="11781" width="40.88671875" style="406" customWidth="1"/>
    <col min="11782" max="11799" width="25.88671875" style="406" customWidth="1"/>
    <col min="11800" max="11800" width="40.88671875" style="406" customWidth="1"/>
    <col min="11801" max="12032" width="9.109375" style="406"/>
    <col min="12033" max="12033" width="25.88671875" style="406" customWidth="1"/>
    <col min="12034" max="12034" width="15.88671875" style="406" customWidth="1"/>
    <col min="12035" max="12035" width="14.88671875" style="406" customWidth="1"/>
    <col min="12036" max="12037" width="40.88671875" style="406" customWidth="1"/>
    <col min="12038" max="12055" width="25.88671875" style="406" customWidth="1"/>
    <col min="12056" max="12056" width="40.88671875" style="406" customWidth="1"/>
    <col min="12057" max="12288" width="9.109375" style="406"/>
    <col min="12289" max="12289" width="25.88671875" style="406" customWidth="1"/>
    <col min="12290" max="12290" width="15.88671875" style="406" customWidth="1"/>
    <col min="12291" max="12291" width="14.88671875" style="406" customWidth="1"/>
    <col min="12292" max="12293" width="40.88671875" style="406" customWidth="1"/>
    <col min="12294" max="12311" width="25.88671875" style="406" customWidth="1"/>
    <col min="12312" max="12312" width="40.88671875" style="406" customWidth="1"/>
    <col min="12313" max="12544" width="9.109375" style="406"/>
    <col min="12545" max="12545" width="25.88671875" style="406" customWidth="1"/>
    <col min="12546" max="12546" width="15.88671875" style="406" customWidth="1"/>
    <col min="12547" max="12547" width="14.88671875" style="406" customWidth="1"/>
    <col min="12548" max="12549" width="40.88671875" style="406" customWidth="1"/>
    <col min="12550" max="12567" width="25.88671875" style="406" customWidth="1"/>
    <col min="12568" max="12568" width="40.88671875" style="406" customWidth="1"/>
    <col min="12569" max="12800" width="9.109375" style="406"/>
    <col min="12801" max="12801" width="25.88671875" style="406" customWidth="1"/>
    <col min="12802" max="12802" width="15.88671875" style="406" customWidth="1"/>
    <col min="12803" max="12803" width="14.88671875" style="406" customWidth="1"/>
    <col min="12804" max="12805" width="40.88671875" style="406" customWidth="1"/>
    <col min="12806" max="12823" width="25.88671875" style="406" customWidth="1"/>
    <col min="12824" max="12824" width="40.88671875" style="406" customWidth="1"/>
    <col min="12825" max="13056" width="9.109375" style="406"/>
    <col min="13057" max="13057" width="25.88671875" style="406" customWidth="1"/>
    <col min="13058" max="13058" width="15.88671875" style="406" customWidth="1"/>
    <col min="13059" max="13059" width="14.88671875" style="406" customWidth="1"/>
    <col min="13060" max="13061" width="40.88671875" style="406" customWidth="1"/>
    <col min="13062" max="13079" width="25.88671875" style="406" customWidth="1"/>
    <col min="13080" max="13080" width="40.88671875" style="406" customWidth="1"/>
    <col min="13081" max="13312" width="9.109375" style="406"/>
    <col min="13313" max="13313" width="25.88671875" style="406" customWidth="1"/>
    <col min="13314" max="13314" width="15.88671875" style="406" customWidth="1"/>
    <col min="13315" max="13315" width="14.88671875" style="406" customWidth="1"/>
    <col min="13316" max="13317" width="40.88671875" style="406" customWidth="1"/>
    <col min="13318" max="13335" width="25.88671875" style="406" customWidth="1"/>
    <col min="13336" max="13336" width="40.88671875" style="406" customWidth="1"/>
    <col min="13337" max="13568" width="9.109375" style="406"/>
    <col min="13569" max="13569" width="25.88671875" style="406" customWidth="1"/>
    <col min="13570" max="13570" width="15.88671875" style="406" customWidth="1"/>
    <col min="13571" max="13571" width="14.88671875" style="406" customWidth="1"/>
    <col min="13572" max="13573" width="40.88671875" style="406" customWidth="1"/>
    <col min="13574" max="13591" width="25.88671875" style="406" customWidth="1"/>
    <col min="13592" max="13592" width="40.88671875" style="406" customWidth="1"/>
    <col min="13593" max="13824" width="9.109375" style="406"/>
    <col min="13825" max="13825" width="25.88671875" style="406" customWidth="1"/>
    <col min="13826" max="13826" width="15.88671875" style="406" customWidth="1"/>
    <col min="13827" max="13827" width="14.88671875" style="406" customWidth="1"/>
    <col min="13828" max="13829" width="40.88671875" style="406" customWidth="1"/>
    <col min="13830" max="13847" width="25.88671875" style="406" customWidth="1"/>
    <col min="13848" max="13848" width="40.88671875" style="406" customWidth="1"/>
    <col min="13849" max="14080" width="9.109375" style="406"/>
    <col min="14081" max="14081" width="25.88671875" style="406" customWidth="1"/>
    <col min="14082" max="14082" width="15.88671875" style="406" customWidth="1"/>
    <col min="14083" max="14083" width="14.88671875" style="406" customWidth="1"/>
    <col min="14084" max="14085" width="40.88671875" style="406" customWidth="1"/>
    <col min="14086" max="14103" width="25.88671875" style="406" customWidth="1"/>
    <col min="14104" max="14104" width="40.88671875" style="406" customWidth="1"/>
    <col min="14105" max="14336" width="9.109375" style="406"/>
    <col min="14337" max="14337" width="25.88671875" style="406" customWidth="1"/>
    <col min="14338" max="14338" width="15.88671875" style="406" customWidth="1"/>
    <col min="14339" max="14339" width="14.88671875" style="406" customWidth="1"/>
    <col min="14340" max="14341" width="40.88671875" style="406" customWidth="1"/>
    <col min="14342" max="14359" width="25.88671875" style="406" customWidth="1"/>
    <col min="14360" max="14360" width="40.88671875" style="406" customWidth="1"/>
    <col min="14361" max="14592" width="9.109375" style="406"/>
    <col min="14593" max="14593" width="25.88671875" style="406" customWidth="1"/>
    <col min="14594" max="14594" width="15.88671875" style="406" customWidth="1"/>
    <col min="14595" max="14595" width="14.88671875" style="406" customWidth="1"/>
    <col min="14596" max="14597" width="40.88671875" style="406" customWidth="1"/>
    <col min="14598" max="14615" width="25.88671875" style="406" customWidth="1"/>
    <col min="14616" max="14616" width="40.88671875" style="406" customWidth="1"/>
    <col min="14617" max="14848" width="9.109375" style="406"/>
    <col min="14849" max="14849" width="25.88671875" style="406" customWidth="1"/>
    <col min="14850" max="14850" width="15.88671875" style="406" customWidth="1"/>
    <col min="14851" max="14851" width="14.88671875" style="406" customWidth="1"/>
    <col min="14852" max="14853" width="40.88671875" style="406" customWidth="1"/>
    <col min="14854" max="14871" width="25.88671875" style="406" customWidth="1"/>
    <col min="14872" max="14872" width="40.88671875" style="406" customWidth="1"/>
    <col min="14873" max="15104" width="9.109375" style="406"/>
    <col min="15105" max="15105" width="25.88671875" style="406" customWidth="1"/>
    <col min="15106" max="15106" width="15.88671875" style="406" customWidth="1"/>
    <col min="15107" max="15107" width="14.88671875" style="406" customWidth="1"/>
    <col min="15108" max="15109" width="40.88671875" style="406" customWidth="1"/>
    <col min="15110" max="15127" width="25.88671875" style="406" customWidth="1"/>
    <col min="15128" max="15128" width="40.88671875" style="406" customWidth="1"/>
    <col min="15129" max="15360" width="9.109375" style="406"/>
    <col min="15361" max="15361" width="25.88671875" style="406" customWidth="1"/>
    <col min="15362" max="15362" width="15.88671875" style="406" customWidth="1"/>
    <col min="15363" max="15363" width="14.88671875" style="406" customWidth="1"/>
    <col min="15364" max="15365" width="40.88671875" style="406" customWidth="1"/>
    <col min="15366" max="15383" width="25.88671875" style="406" customWidth="1"/>
    <col min="15384" max="15384" width="40.88671875" style="406" customWidth="1"/>
    <col min="15385" max="15616" width="9.109375" style="406"/>
    <col min="15617" max="15617" width="25.88671875" style="406" customWidth="1"/>
    <col min="15618" max="15618" width="15.88671875" style="406" customWidth="1"/>
    <col min="15619" max="15619" width="14.88671875" style="406" customWidth="1"/>
    <col min="15620" max="15621" width="40.88671875" style="406" customWidth="1"/>
    <col min="15622" max="15639" width="25.88671875" style="406" customWidth="1"/>
    <col min="15640" max="15640" width="40.88671875" style="406" customWidth="1"/>
    <col min="15641" max="15872" width="9.109375" style="406"/>
    <col min="15873" max="15873" width="25.88671875" style="406" customWidth="1"/>
    <col min="15874" max="15874" width="15.88671875" style="406" customWidth="1"/>
    <col min="15875" max="15875" width="14.88671875" style="406" customWidth="1"/>
    <col min="15876" max="15877" width="40.88671875" style="406" customWidth="1"/>
    <col min="15878" max="15895" width="25.88671875" style="406" customWidth="1"/>
    <col min="15896" max="15896" width="40.88671875" style="406" customWidth="1"/>
    <col min="15897" max="16128" width="9.109375" style="406"/>
    <col min="16129" max="16129" width="25.88671875" style="406" customWidth="1"/>
    <col min="16130" max="16130" width="15.88671875" style="406" customWidth="1"/>
    <col min="16131" max="16131" width="14.88671875" style="406" customWidth="1"/>
    <col min="16132" max="16133" width="40.88671875" style="406" customWidth="1"/>
    <col min="16134" max="16151" width="25.88671875" style="406" customWidth="1"/>
    <col min="16152" max="16152" width="40.88671875" style="406" customWidth="1"/>
    <col min="16153" max="16384" width="9.109375" style="406"/>
  </cols>
  <sheetData>
    <row r="6" spans="1:24" ht="16.5" customHeight="1" x14ac:dyDescent="0.25">
      <c r="A6" s="414" t="s">
        <v>1126</v>
      </c>
    </row>
    <row r="8" spans="1:24" ht="86.1" customHeight="1" x14ac:dyDescent="0.35">
      <c r="A8" s="718" t="s">
        <v>583</v>
      </c>
      <c r="B8" s="718" t="s">
        <v>655</v>
      </c>
      <c r="C8" s="718" t="s">
        <v>653</v>
      </c>
      <c r="D8" s="718" t="s">
        <v>696</v>
      </c>
      <c r="E8" s="718" t="s">
        <v>654</v>
      </c>
      <c r="F8" s="719" t="s">
        <v>1145</v>
      </c>
      <c r="G8" s="719" t="s">
        <v>1146</v>
      </c>
      <c r="H8" s="719" t="s">
        <v>1147</v>
      </c>
      <c r="I8" s="719" t="s">
        <v>1148</v>
      </c>
      <c r="J8" s="719" t="s">
        <v>1149</v>
      </c>
      <c r="K8" s="719" t="s">
        <v>1150</v>
      </c>
      <c r="L8" s="719" t="s">
        <v>645</v>
      </c>
      <c r="M8" s="719" t="s">
        <v>642</v>
      </c>
      <c r="N8" s="719" t="s">
        <v>644</v>
      </c>
      <c r="O8" s="719" t="s">
        <v>643</v>
      </c>
      <c r="P8" s="719" t="s">
        <v>1151</v>
      </c>
      <c r="Q8" s="719" t="s">
        <v>1152</v>
      </c>
      <c r="R8" s="719" t="s">
        <v>1153</v>
      </c>
      <c r="S8" s="719" t="s">
        <v>1154</v>
      </c>
      <c r="T8" s="719" t="s">
        <v>1155</v>
      </c>
      <c r="U8" s="719" t="s">
        <v>1156</v>
      </c>
      <c r="V8" s="719" t="s">
        <v>664</v>
      </c>
      <c r="W8" s="719" t="s">
        <v>635</v>
      </c>
      <c r="X8" s="718" t="s">
        <v>634</v>
      </c>
    </row>
    <row r="9" spans="1:24" ht="265.2" x14ac:dyDescent="0.2">
      <c r="A9" s="720" t="s">
        <v>1053</v>
      </c>
      <c r="B9" s="720" t="s">
        <v>1157</v>
      </c>
      <c r="C9" s="441" t="s">
        <v>608</v>
      </c>
      <c r="D9" s="440" t="s">
        <v>1101</v>
      </c>
      <c r="E9" s="440" t="s">
        <v>1100</v>
      </c>
      <c r="F9" s="721">
        <v>8379</v>
      </c>
      <c r="G9" s="721">
        <v>8834</v>
      </c>
      <c r="H9" s="439">
        <v>79.08</v>
      </c>
      <c r="I9" s="721">
        <v>396.2</v>
      </c>
      <c r="J9" s="721">
        <v>-19.7</v>
      </c>
      <c r="K9" s="721">
        <v>-392.9</v>
      </c>
      <c r="L9" s="438" t="s">
        <v>614</v>
      </c>
      <c r="M9" s="438" t="s">
        <v>614</v>
      </c>
      <c r="N9" s="438" t="s">
        <v>614</v>
      </c>
      <c r="O9" s="438" t="s">
        <v>614</v>
      </c>
      <c r="P9" s="721">
        <v>542.5</v>
      </c>
      <c r="Q9" s="721">
        <v>759.7</v>
      </c>
      <c r="R9" s="721">
        <v>51.5</v>
      </c>
      <c r="S9" s="721">
        <v>690.4</v>
      </c>
      <c r="T9" s="721">
        <v>82</v>
      </c>
      <c r="U9" s="438" t="s">
        <v>609</v>
      </c>
      <c r="V9" s="438" t="s">
        <v>614</v>
      </c>
      <c r="W9" s="439">
        <v>1.65</v>
      </c>
      <c r="X9" s="437" t="s">
        <v>1103</v>
      </c>
    </row>
    <row r="10" spans="1:24" ht="91.8" x14ac:dyDescent="0.2">
      <c r="A10" s="720" t="s">
        <v>1054</v>
      </c>
      <c r="B10" s="720" t="s">
        <v>1158</v>
      </c>
      <c r="C10" s="441" t="s">
        <v>608</v>
      </c>
      <c r="D10" s="440" t="s">
        <v>1101</v>
      </c>
      <c r="E10" s="440" t="s">
        <v>1100</v>
      </c>
      <c r="F10" s="721">
        <v>1669</v>
      </c>
      <c r="G10" s="721">
        <v>2300.1999999999998</v>
      </c>
      <c r="H10" s="439">
        <v>8.17</v>
      </c>
      <c r="I10" s="721">
        <v>382.9</v>
      </c>
      <c r="J10" s="721">
        <v>257.60000000000002</v>
      </c>
      <c r="K10" s="721">
        <v>181.6</v>
      </c>
      <c r="L10" s="721">
        <v>14.5</v>
      </c>
      <c r="M10" s="721">
        <v>33.799999999999997</v>
      </c>
      <c r="N10" s="439">
        <v>6.37</v>
      </c>
      <c r="O10" s="721">
        <v>33.299999999999997</v>
      </c>
      <c r="P10" s="721">
        <v>485.7</v>
      </c>
      <c r="Q10" s="721">
        <v>822</v>
      </c>
      <c r="R10" s="439">
        <v>5.54</v>
      </c>
      <c r="S10" s="721">
        <v>822.6</v>
      </c>
      <c r="T10" s="721">
        <v>43.6</v>
      </c>
      <c r="U10" s="438" t="s">
        <v>609</v>
      </c>
      <c r="V10" s="721">
        <v>27.5</v>
      </c>
      <c r="W10" s="438" t="s">
        <v>609</v>
      </c>
      <c r="X10" s="437" t="s">
        <v>1104</v>
      </c>
    </row>
    <row r="11" spans="1:24" ht="224.4" x14ac:dyDescent="0.2">
      <c r="A11" s="720" t="s">
        <v>1055</v>
      </c>
      <c r="B11" s="720" t="s">
        <v>1159</v>
      </c>
      <c r="C11" s="441" t="s">
        <v>608</v>
      </c>
      <c r="D11" s="440" t="s">
        <v>1102</v>
      </c>
      <c r="E11" s="440" t="s">
        <v>1100</v>
      </c>
      <c r="F11" s="721">
        <v>3446.4</v>
      </c>
      <c r="G11" s="721">
        <v>3071.8</v>
      </c>
      <c r="H11" s="439">
        <v>25.19</v>
      </c>
      <c r="I11" s="721">
        <v>777.3</v>
      </c>
      <c r="J11" s="721">
        <v>140.30000000000001</v>
      </c>
      <c r="K11" s="721">
        <v>69.900000000000006</v>
      </c>
      <c r="L11" s="721">
        <v>40.6</v>
      </c>
      <c r="M11" s="721">
        <v>46.4</v>
      </c>
      <c r="N11" s="721">
        <v>24.2</v>
      </c>
      <c r="O11" s="721">
        <v>24.7</v>
      </c>
      <c r="P11" s="721">
        <v>33.5</v>
      </c>
      <c r="Q11" s="721">
        <v>1030.4000000000001</v>
      </c>
      <c r="R11" s="721">
        <v>398.9</v>
      </c>
      <c r="S11" s="721">
        <v>417.3</v>
      </c>
      <c r="T11" s="721">
        <v>13</v>
      </c>
      <c r="U11" s="438" t="s">
        <v>609</v>
      </c>
      <c r="V11" s="721">
        <v>22.2</v>
      </c>
      <c r="W11" s="722">
        <v>0.90800000000000003</v>
      </c>
      <c r="X11" s="437" t="s">
        <v>1105</v>
      </c>
    </row>
    <row r="12" spans="1:24" ht="173.4" x14ac:dyDescent="0.2">
      <c r="A12" s="720" t="s">
        <v>1056</v>
      </c>
      <c r="B12" s="720" t="s">
        <v>1160</v>
      </c>
      <c r="C12" s="441" t="s">
        <v>608</v>
      </c>
      <c r="D12" s="440" t="s">
        <v>1102</v>
      </c>
      <c r="E12" s="440" t="s">
        <v>1100</v>
      </c>
      <c r="F12" s="721">
        <v>7862</v>
      </c>
      <c r="G12" s="721">
        <v>7742.1</v>
      </c>
      <c r="H12" s="439">
        <v>525.02</v>
      </c>
      <c r="I12" s="721">
        <v>423.3</v>
      </c>
      <c r="J12" s="721">
        <v>129.6</v>
      </c>
      <c r="K12" s="721">
        <v>89.7</v>
      </c>
      <c r="L12" s="721">
        <v>78.400000000000006</v>
      </c>
      <c r="M12" s="721">
        <v>60.9</v>
      </c>
      <c r="N12" s="721">
        <v>58.1</v>
      </c>
      <c r="O12" s="721">
        <v>44.1</v>
      </c>
      <c r="P12" s="721">
        <v>21.7</v>
      </c>
      <c r="Q12" s="721">
        <v>656.8</v>
      </c>
      <c r="R12" s="721">
        <v>99.4</v>
      </c>
      <c r="S12" s="721">
        <v>445</v>
      </c>
      <c r="T12" s="721">
        <v>84.3</v>
      </c>
      <c r="U12" s="439">
        <v>2.96</v>
      </c>
      <c r="V12" s="721">
        <v>13.9</v>
      </c>
      <c r="W12" s="722">
        <v>0.53800000000000003</v>
      </c>
      <c r="X12" s="437" t="s">
        <v>1106</v>
      </c>
    </row>
    <row r="13" spans="1:24" ht="316.2" x14ac:dyDescent="0.2">
      <c r="A13" s="720" t="s">
        <v>1057</v>
      </c>
      <c r="B13" s="720" t="s">
        <v>1161</v>
      </c>
      <c r="C13" s="441" t="s">
        <v>608</v>
      </c>
      <c r="D13" s="440" t="s">
        <v>1101</v>
      </c>
      <c r="E13" s="440" t="s">
        <v>1100</v>
      </c>
      <c r="F13" s="721">
        <v>15349.4</v>
      </c>
      <c r="G13" s="721">
        <v>16321.8</v>
      </c>
      <c r="H13" s="439">
        <v>544.79</v>
      </c>
      <c r="I13" s="721">
        <v>2570.8000000000002</v>
      </c>
      <c r="J13" s="721">
        <v>654.79999999999995</v>
      </c>
      <c r="K13" s="721">
        <v>5745.1</v>
      </c>
      <c r="L13" s="439">
        <v>2.83</v>
      </c>
      <c r="M13" s="721">
        <v>49.9</v>
      </c>
      <c r="N13" s="721">
        <v>21.9</v>
      </c>
      <c r="O13" s="721">
        <v>30.7</v>
      </c>
      <c r="P13" s="721">
        <v>541.4</v>
      </c>
      <c r="Q13" s="721">
        <v>10605.1</v>
      </c>
      <c r="R13" s="721">
        <v>184.5</v>
      </c>
      <c r="S13" s="721">
        <v>13228.8</v>
      </c>
      <c r="T13" s="721">
        <v>100.8</v>
      </c>
      <c r="U13" s="438" t="s">
        <v>609</v>
      </c>
      <c r="V13" s="721">
        <v>22.2</v>
      </c>
      <c r="W13" s="722">
        <v>0.95399999999999996</v>
      </c>
      <c r="X13" s="437" t="s">
        <v>1107</v>
      </c>
    </row>
    <row r="14" spans="1:24" ht="357" x14ac:dyDescent="0.2">
      <c r="A14" s="720" t="s">
        <v>1058</v>
      </c>
      <c r="B14" s="720" t="s">
        <v>1162</v>
      </c>
      <c r="C14" s="441" t="s">
        <v>608</v>
      </c>
      <c r="D14" s="440" t="s">
        <v>1101</v>
      </c>
      <c r="E14" s="440" t="s">
        <v>1100</v>
      </c>
      <c r="F14" s="721">
        <v>14140.5</v>
      </c>
      <c r="G14" s="721">
        <v>14077</v>
      </c>
      <c r="H14" s="439">
        <v>358.24</v>
      </c>
      <c r="I14" s="721">
        <v>905.3</v>
      </c>
      <c r="J14" s="721">
        <v>290.8</v>
      </c>
      <c r="K14" s="721">
        <v>185.1</v>
      </c>
      <c r="L14" s="721">
        <v>79.599999999999994</v>
      </c>
      <c r="M14" s="721">
        <v>49.1</v>
      </c>
      <c r="N14" s="721">
        <v>43.7</v>
      </c>
      <c r="O14" s="721">
        <v>33.299999999999997</v>
      </c>
      <c r="P14" s="721">
        <v>167.9</v>
      </c>
      <c r="Q14" s="721">
        <v>1908.6</v>
      </c>
      <c r="R14" s="721">
        <v>361.8</v>
      </c>
      <c r="S14" s="721">
        <v>1497</v>
      </c>
      <c r="T14" s="721">
        <v>33.6</v>
      </c>
      <c r="U14" s="722">
        <v>0</v>
      </c>
      <c r="V14" s="439">
        <v>2.4</v>
      </c>
      <c r="W14" s="439">
        <v>1.27</v>
      </c>
      <c r="X14" s="437" t="s">
        <v>1108</v>
      </c>
    </row>
    <row r="15" spans="1:24" ht="367.2" x14ac:dyDescent="0.2">
      <c r="A15" s="720" t="s">
        <v>1059</v>
      </c>
      <c r="B15" s="720" t="s">
        <v>1163</v>
      </c>
      <c r="C15" s="441" t="s">
        <v>608</v>
      </c>
      <c r="D15" s="440" t="s">
        <v>1101</v>
      </c>
      <c r="E15" s="440" t="s">
        <v>1100</v>
      </c>
      <c r="F15" s="721">
        <v>9071.7999999999993</v>
      </c>
      <c r="G15" s="721">
        <v>8902.6</v>
      </c>
      <c r="H15" s="439">
        <v>58.7</v>
      </c>
      <c r="I15" s="721">
        <v>2037.8</v>
      </c>
      <c r="J15" s="721">
        <v>438</v>
      </c>
      <c r="K15" s="721">
        <v>233.2</v>
      </c>
      <c r="L15" s="721">
        <v>37.9</v>
      </c>
      <c r="M15" s="721">
        <v>31.3</v>
      </c>
      <c r="N15" s="721">
        <v>20.399999999999999</v>
      </c>
      <c r="O15" s="721">
        <v>19</v>
      </c>
      <c r="P15" s="721">
        <v>557.4</v>
      </c>
      <c r="Q15" s="721">
        <v>2492.6</v>
      </c>
      <c r="R15" s="721">
        <v>796.5</v>
      </c>
      <c r="S15" s="721">
        <v>940.4</v>
      </c>
      <c r="T15" s="721">
        <v>79.7</v>
      </c>
      <c r="U15" s="722">
        <v>0.13800000000000001</v>
      </c>
      <c r="V15" s="721">
        <v>27.4</v>
      </c>
      <c r="W15" s="439">
        <v>1.31</v>
      </c>
      <c r="X15" s="437" t="s">
        <v>1109</v>
      </c>
    </row>
    <row r="16" spans="1:24" ht="306" x14ac:dyDescent="0.2">
      <c r="A16" s="720" t="s">
        <v>1060</v>
      </c>
      <c r="B16" s="720" t="s">
        <v>1164</v>
      </c>
      <c r="C16" s="441" t="s">
        <v>608</v>
      </c>
      <c r="D16" s="440" t="s">
        <v>1101</v>
      </c>
      <c r="E16" s="440" t="s">
        <v>1100</v>
      </c>
      <c r="F16" s="721">
        <v>17495.7</v>
      </c>
      <c r="G16" s="721">
        <v>14876.1</v>
      </c>
      <c r="H16" s="439">
        <v>294.77999999999997</v>
      </c>
      <c r="I16" s="721">
        <v>2925.9</v>
      </c>
      <c r="J16" s="721">
        <v>710.8</v>
      </c>
      <c r="K16" s="721">
        <v>338.7</v>
      </c>
      <c r="L16" s="721">
        <v>43.7</v>
      </c>
      <c r="M16" s="721">
        <v>30.5</v>
      </c>
      <c r="N16" s="721">
        <v>20.399999999999999</v>
      </c>
      <c r="O16" s="721">
        <v>20.5</v>
      </c>
      <c r="P16" s="721">
        <v>187.4</v>
      </c>
      <c r="Q16" s="721">
        <v>4505.8</v>
      </c>
      <c r="R16" s="721">
        <v>1772.5</v>
      </c>
      <c r="S16" s="721">
        <v>2104.8000000000002</v>
      </c>
      <c r="T16" s="721">
        <v>186</v>
      </c>
      <c r="U16" s="438" t="s">
        <v>609</v>
      </c>
      <c r="V16" s="721">
        <v>17.600000000000001</v>
      </c>
      <c r="W16" s="439">
        <v>1.21</v>
      </c>
      <c r="X16" s="437" t="s">
        <v>1110</v>
      </c>
    </row>
    <row r="17" spans="1:24" ht="316.2" x14ac:dyDescent="0.2">
      <c r="A17" s="720" t="s">
        <v>1061</v>
      </c>
      <c r="B17" s="720" t="s">
        <v>1165</v>
      </c>
      <c r="C17" s="441" t="s">
        <v>608</v>
      </c>
      <c r="D17" s="440" t="s">
        <v>1102</v>
      </c>
      <c r="E17" s="440" t="s">
        <v>1100</v>
      </c>
      <c r="F17" s="721">
        <v>1847.4</v>
      </c>
      <c r="G17" s="721">
        <v>1447.5</v>
      </c>
      <c r="H17" s="439">
        <v>10.85</v>
      </c>
      <c r="I17" s="721">
        <v>609.9</v>
      </c>
      <c r="J17" s="721">
        <v>125.7</v>
      </c>
      <c r="K17" s="721">
        <v>35.299999999999997</v>
      </c>
      <c r="L17" s="721">
        <v>31.2</v>
      </c>
      <c r="M17" s="721">
        <v>16.7</v>
      </c>
      <c r="N17" s="721">
        <v>14.4</v>
      </c>
      <c r="O17" s="721">
        <v>12.6</v>
      </c>
      <c r="P17" s="721">
        <v>96.6</v>
      </c>
      <c r="Q17" s="721">
        <v>1241.2</v>
      </c>
      <c r="R17" s="721">
        <v>487.7</v>
      </c>
      <c r="S17" s="721">
        <v>520.70000000000005</v>
      </c>
      <c r="T17" s="439">
        <v>5.94</v>
      </c>
      <c r="U17" s="722">
        <v>8.8999999999999996E-2</v>
      </c>
      <c r="V17" s="721">
        <v>23.4</v>
      </c>
      <c r="W17" s="439">
        <v>1.44</v>
      </c>
      <c r="X17" s="437" t="s">
        <v>1111</v>
      </c>
    </row>
    <row r="18" spans="1:24" ht="153" x14ac:dyDescent="0.2">
      <c r="A18" s="720" t="s">
        <v>1062</v>
      </c>
      <c r="B18" s="720" t="s">
        <v>1166</v>
      </c>
      <c r="C18" s="441" t="s">
        <v>608</v>
      </c>
      <c r="D18" s="440" t="s">
        <v>1102</v>
      </c>
      <c r="E18" s="440" t="s">
        <v>1100</v>
      </c>
      <c r="F18" s="721">
        <v>6487.7</v>
      </c>
      <c r="G18" s="721">
        <v>6414.3</v>
      </c>
      <c r="H18" s="439">
        <v>36.299999999999997</v>
      </c>
      <c r="I18" s="721">
        <v>571.5</v>
      </c>
      <c r="J18" s="721">
        <v>83.4</v>
      </c>
      <c r="K18" s="721">
        <v>247.4</v>
      </c>
      <c r="L18" s="721">
        <v>24.3</v>
      </c>
      <c r="M18" s="721">
        <v>73.900000000000006</v>
      </c>
      <c r="N18" s="721">
        <v>77.599999999999994</v>
      </c>
      <c r="O18" s="721">
        <v>52.5</v>
      </c>
      <c r="P18" s="721">
        <v>422.6</v>
      </c>
      <c r="Q18" s="721">
        <v>1462.9</v>
      </c>
      <c r="R18" s="721">
        <v>492</v>
      </c>
      <c r="S18" s="721">
        <v>992.7</v>
      </c>
      <c r="T18" s="721">
        <v>143.9</v>
      </c>
      <c r="U18" s="438" t="s">
        <v>609</v>
      </c>
      <c r="V18" s="439">
        <v>5.32</v>
      </c>
      <c r="W18" s="722">
        <v>0.94199999999999995</v>
      </c>
      <c r="X18" s="437" t="s">
        <v>1112</v>
      </c>
    </row>
    <row r="19" spans="1:24" ht="306" x14ac:dyDescent="0.2">
      <c r="A19" s="720" t="s">
        <v>1063</v>
      </c>
      <c r="B19" s="720" t="s">
        <v>1167</v>
      </c>
      <c r="C19" s="441" t="s">
        <v>608</v>
      </c>
      <c r="D19" s="440" t="s">
        <v>1102</v>
      </c>
      <c r="E19" s="440" t="s">
        <v>1100</v>
      </c>
      <c r="F19" s="721">
        <v>3573</v>
      </c>
      <c r="G19" s="721">
        <v>2485.3000000000002</v>
      </c>
      <c r="H19" s="439">
        <v>79.150000000000006</v>
      </c>
      <c r="I19" s="721">
        <v>1464.7</v>
      </c>
      <c r="J19" s="721">
        <v>287.60000000000002</v>
      </c>
      <c r="K19" s="721">
        <v>86.5</v>
      </c>
      <c r="L19" s="721">
        <v>28.7</v>
      </c>
      <c r="M19" s="721">
        <v>17</v>
      </c>
      <c r="N19" s="721">
        <v>12.4</v>
      </c>
      <c r="O19" s="721">
        <v>10.4</v>
      </c>
      <c r="P19" s="721">
        <v>88</v>
      </c>
      <c r="Q19" s="721">
        <v>2616.6</v>
      </c>
      <c r="R19" s="721">
        <v>1045.3</v>
      </c>
      <c r="S19" s="721">
        <v>934.3</v>
      </c>
      <c r="T19" s="721">
        <v>201.5</v>
      </c>
      <c r="U19" s="439">
        <v>1.25</v>
      </c>
      <c r="V19" s="721">
        <v>31.8</v>
      </c>
      <c r="W19" s="722">
        <v>0.96899999999999997</v>
      </c>
      <c r="X19" s="437" t="s">
        <v>1113</v>
      </c>
    </row>
    <row r="20" spans="1:24" ht="367.2" x14ac:dyDescent="0.2">
      <c r="A20" s="720" t="s">
        <v>1064</v>
      </c>
      <c r="B20" s="720" t="s">
        <v>1168</v>
      </c>
      <c r="C20" s="441" t="s">
        <v>608</v>
      </c>
      <c r="D20" s="440" t="s">
        <v>1101</v>
      </c>
      <c r="E20" s="440" t="s">
        <v>1100</v>
      </c>
      <c r="F20" s="721">
        <v>3554.3</v>
      </c>
      <c r="G20" s="721">
        <v>3377.9</v>
      </c>
      <c r="H20" s="439">
        <v>25.7</v>
      </c>
      <c r="I20" s="721">
        <v>577.29999999999995</v>
      </c>
      <c r="J20" s="721">
        <v>388.6</v>
      </c>
      <c r="K20" s="721">
        <v>131</v>
      </c>
      <c r="L20" s="439">
        <v>6.23</v>
      </c>
      <c r="M20" s="721">
        <v>19.3</v>
      </c>
      <c r="N20" s="439">
        <v>8.9499999999999993</v>
      </c>
      <c r="O20" s="439">
        <v>6.85</v>
      </c>
      <c r="P20" s="721">
        <v>193.1</v>
      </c>
      <c r="Q20" s="721">
        <v>1038.8</v>
      </c>
      <c r="R20" s="721">
        <v>483.6</v>
      </c>
      <c r="S20" s="721">
        <v>391.4</v>
      </c>
      <c r="T20" s="721">
        <v>15.6</v>
      </c>
      <c r="U20" s="438" t="s">
        <v>609</v>
      </c>
      <c r="V20" s="721">
        <v>11</v>
      </c>
      <c r="W20" s="438" t="s">
        <v>609</v>
      </c>
      <c r="X20" s="437" t="s">
        <v>1114</v>
      </c>
    </row>
    <row r="21" spans="1:24" ht="163.19999999999999" x14ac:dyDescent="0.2">
      <c r="A21" s="720" t="s">
        <v>1065</v>
      </c>
      <c r="B21" s="720" t="s">
        <v>1169</v>
      </c>
      <c r="C21" s="441" t="s">
        <v>608</v>
      </c>
      <c r="D21" s="440" t="s">
        <v>1101</v>
      </c>
      <c r="E21" s="440" t="s">
        <v>1100</v>
      </c>
      <c r="F21" s="721">
        <v>5067.8</v>
      </c>
      <c r="G21" s="721">
        <v>5291</v>
      </c>
      <c r="H21" s="439">
        <v>147.97999999999999</v>
      </c>
      <c r="I21" s="721">
        <v>943.5</v>
      </c>
      <c r="J21" s="721">
        <v>189.7</v>
      </c>
      <c r="K21" s="721">
        <v>157.6</v>
      </c>
      <c r="L21" s="721">
        <v>35</v>
      </c>
      <c r="M21" s="721">
        <v>32.700000000000003</v>
      </c>
      <c r="N21" s="721">
        <v>23.2</v>
      </c>
      <c r="O21" s="721">
        <v>22.8</v>
      </c>
      <c r="P21" s="721">
        <v>227.1</v>
      </c>
      <c r="Q21" s="721">
        <v>1136.9000000000001</v>
      </c>
      <c r="R21" s="721">
        <v>107.1</v>
      </c>
      <c r="S21" s="721">
        <v>774.9</v>
      </c>
      <c r="T21" s="721">
        <v>23.2</v>
      </c>
      <c r="U21" s="438" t="s">
        <v>609</v>
      </c>
      <c r="V21" s="439">
        <v>8.9499999999999993</v>
      </c>
      <c r="W21" s="439">
        <v>1.39</v>
      </c>
      <c r="X21" s="437" t="s">
        <v>1115</v>
      </c>
    </row>
    <row r="22" spans="1:24" ht="316.2" x14ac:dyDescent="0.2">
      <c r="A22" s="720" t="s">
        <v>1066</v>
      </c>
      <c r="B22" s="720" t="s">
        <v>1170</v>
      </c>
      <c r="C22" s="441" t="s">
        <v>608</v>
      </c>
      <c r="D22" s="440" t="s">
        <v>1101</v>
      </c>
      <c r="E22" s="440" t="s">
        <v>1100</v>
      </c>
      <c r="F22" s="721">
        <v>2351.6999999999998</v>
      </c>
      <c r="G22" s="721">
        <v>2290.4</v>
      </c>
      <c r="H22" s="439">
        <v>18.600000000000001</v>
      </c>
      <c r="I22" s="721">
        <v>418.1</v>
      </c>
      <c r="J22" s="439">
        <v>-9.08</v>
      </c>
      <c r="K22" s="721">
        <v>42.1</v>
      </c>
      <c r="L22" s="721">
        <v>52.8</v>
      </c>
      <c r="M22" s="438" t="s">
        <v>614</v>
      </c>
      <c r="N22" s="438" t="s">
        <v>614</v>
      </c>
      <c r="O22" s="438" t="s">
        <v>614</v>
      </c>
      <c r="P22" s="721">
        <v>187</v>
      </c>
      <c r="Q22" s="721">
        <v>808</v>
      </c>
      <c r="R22" s="721">
        <v>179.2</v>
      </c>
      <c r="S22" s="721">
        <v>981.2</v>
      </c>
      <c r="T22" s="721">
        <v>54.9</v>
      </c>
      <c r="U22" s="438" t="s">
        <v>609</v>
      </c>
      <c r="V22" s="438" t="s">
        <v>609</v>
      </c>
      <c r="W22" s="722">
        <v>0.80800000000000005</v>
      </c>
      <c r="X22" s="437" t="s">
        <v>1116</v>
      </c>
    </row>
    <row r="23" spans="1:24" ht="367.2" x14ac:dyDescent="0.2">
      <c r="A23" s="720" t="s">
        <v>1067</v>
      </c>
      <c r="B23" s="720" t="s">
        <v>1171</v>
      </c>
      <c r="C23" s="441" t="s">
        <v>608</v>
      </c>
      <c r="D23" s="440" t="s">
        <v>1102</v>
      </c>
      <c r="E23" s="440" t="s">
        <v>1100</v>
      </c>
      <c r="F23" s="721">
        <v>10602.7</v>
      </c>
      <c r="G23" s="721">
        <v>9739.2000000000007</v>
      </c>
      <c r="H23" s="439">
        <v>42.9</v>
      </c>
      <c r="I23" s="721">
        <v>1933.1</v>
      </c>
      <c r="J23" s="721">
        <v>712.6</v>
      </c>
      <c r="K23" s="721">
        <v>514.29999999999995</v>
      </c>
      <c r="L23" s="721">
        <v>19.2</v>
      </c>
      <c r="M23" s="721">
        <v>23.8</v>
      </c>
      <c r="N23" s="721">
        <v>14.1</v>
      </c>
      <c r="O23" s="721">
        <v>16.100000000000001</v>
      </c>
      <c r="P23" s="721">
        <v>488.9</v>
      </c>
      <c r="Q23" s="721">
        <v>4833.5</v>
      </c>
      <c r="R23" s="721">
        <v>1675.2</v>
      </c>
      <c r="S23" s="721">
        <v>2600.3000000000002</v>
      </c>
      <c r="T23" s="721">
        <v>158.9</v>
      </c>
      <c r="U23" s="438" t="s">
        <v>609</v>
      </c>
      <c r="V23" s="721">
        <v>16.899999999999999</v>
      </c>
      <c r="W23" s="722">
        <v>0.28199999999999997</v>
      </c>
      <c r="X23" s="437" t="s">
        <v>1117</v>
      </c>
    </row>
    <row r="24" spans="1:24" ht="336.6" x14ac:dyDescent="0.2">
      <c r="A24" s="720" t="s">
        <v>1068</v>
      </c>
      <c r="B24" s="720" t="s">
        <v>1172</v>
      </c>
      <c r="C24" s="441" t="s">
        <v>608</v>
      </c>
      <c r="D24" s="440" t="s">
        <v>1101</v>
      </c>
      <c r="E24" s="440" t="s">
        <v>1100</v>
      </c>
      <c r="F24" s="721">
        <v>9323</v>
      </c>
      <c r="G24" s="721">
        <v>9591.7999999999993</v>
      </c>
      <c r="H24" s="439">
        <v>173.49</v>
      </c>
      <c r="I24" s="721">
        <v>511.3</v>
      </c>
      <c r="J24" s="721">
        <v>164.3</v>
      </c>
      <c r="K24" s="721">
        <v>102.6</v>
      </c>
      <c r="L24" s="721">
        <v>94.4</v>
      </c>
      <c r="M24" s="721">
        <v>65.7</v>
      </c>
      <c r="N24" s="721">
        <v>53.8</v>
      </c>
      <c r="O24" s="721">
        <v>43.8</v>
      </c>
      <c r="P24" s="721">
        <v>586.4</v>
      </c>
      <c r="Q24" s="721">
        <v>1555.6</v>
      </c>
      <c r="R24" s="721">
        <v>225.2</v>
      </c>
      <c r="S24" s="721">
        <v>1479.9</v>
      </c>
      <c r="T24" s="721">
        <v>40</v>
      </c>
      <c r="U24" s="438" t="s">
        <v>609</v>
      </c>
      <c r="V24" s="721">
        <v>10.9</v>
      </c>
      <c r="W24" s="722">
        <v>0.90600000000000003</v>
      </c>
      <c r="X24" s="437" t="s">
        <v>1118</v>
      </c>
    </row>
    <row r="25" spans="1:24" ht="204" x14ac:dyDescent="0.2">
      <c r="A25" s="720" t="s">
        <v>1069</v>
      </c>
      <c r="B25" s="720" t="s">
        <v>1173</v>
      </c>
      <c r="C25" s="441" t="s">
        <v>608</v>
      </c>
      <c r="D25" s="440" t="s">
        <v>1102</v>
      </c>
      <c r="E25" s="440" t="s">
        <v>1100</v>
      </c>
      <c r="F25" s="721">
        <v>36064.800000000003</v>
      </c>
      <c r="G25" s="721">
        <v>35563.1</v>
      </c>
      <c r="H25" s="439">
        <v>385.8</v>
      </c>
      <c r="I25" s="721">
        <v>2639.5</v>
      </c>
      <c r="J25" s="721">
        <v>908.4</v>
      </c>
      <c r="K25" s="721">
        <v>523.1</v>
      </c>
      <c r="L25" s="721">
        <v>67.900000000000006</v>
      </c>
      <c r="M25" s="721">
        <v>47.3</v>
      </c>
      <c r="N25" s="721">
        <v>39.200000000000003</v>
      </c>
      <c r="O25" s="721">
        <v>30.6</v>
      </c>
      <c r="P25" s="721">
        <v>59.8</v>
      </c>
      <c r="Q25" s="721">
        <v>3069.3</v>
      </c>
      <c r="R25" s="721">
        <v>586.79999999999995</v>
      </c>
      <c r="S25" s="721">
        <v>1763.4</v>
      </c>
      <c r="T25" s="721">
        <v>268</v>
      </c>
      <c r="U25" s="438" t="s">
        <v>609</v>
      </c>
      <c r="V25" s="721">
        <v>28.1</v>
      </c>
      <c r="W25" s="722">
        <v>0.13400000000000001</v>
      </c>
      <c r="X25" s="437" t="s">
        <v>1119</v>
      </c>
    </row>
    <row r="26" spans="1:24" ht="173.4" x14ac:dyDescent="0.2">
      <c r="A26" s="720" t="s">
        <v>1070</v>
      </c>
      <c r="B26" s="720" t="s">
        <v>1174</v>
      </c>
      <c r="C26" s="441" t="s">
        <v>608</v>
      </c>
      <c r="D26" s="440" t="s">
        <v>1102</v>
      </c>
      <c r="E26" s="440" t="s">
        <v>1100</v>
      </c>
      <c r="F26" s="721">
        <v>3141.6</v>
      </c>
      <c r="G26" s="721">
        <v>2950.5</v>
      </c>
      <c r="H26" s="439">
        <v>705.58</v>
      </c>
      <c r="I26" s="721">
        <v>842.8</v>
      </c>
      <c r="J26" s="721">
        <v>142.5</v>
      </c>
      <c r="K26" s="721">
        <v>63.4</v>
      </c>
      <c r="L26" s="721">
        <v>46.1</v>
      </c>
      <c r="M26" s="721">
        <v>29.6</v>
      </c>
      <c r="N26" s="721">
        <v>21.1</v>
      </c>
      <c r="O26" s="721">
        <v>15</v>
      </c>
      <c r="P26" s="721">
        <v>50.3</v>
      </c>
      <c r="Q26" s="721">
        <v>1147.9000000000001</v>
      </c>
      <c r="R26" s="721">
        <v>129.30000000000001</v>
      </c>
      <c r="S26" s="721">
        <v>723.4</v>
      </c>
      <c r="T26" s="721">
        <v>93.9</v>
      </c>
      <c r="U26" s="439">
        <v>2.74</v>
      </c>
      <c r="V26" s="721">
        <v>18</v>
      </c>
      <c r="W26" s="722">
        <v>0.74</v>
      </c>
      <c r="X26" s="437" t="s">
        <v>1120</v>
      </c>
    </row>
    <row r="27" spans="1:24" ht="153" x14ac:dyDescent="0.2">
      <c r="A27" s="720" t="s">
        <v>1071</v>
      </c>
      <c r="B27" s="720" t="s">
        <v>1175</v>
      </c>
      <c r="C27" s="441" t="s">
        <v>608</v>
      </c>
      <c r="D27" s="440" t="s">
        <v>1101</v>
      </c>
      <c r="E27" s="440" t="s">
        <v>1100</v>
      </c>
      <c r="F27" s="721">
        <v>6764.4</v>
      </c>
      <c r="G27" s="721">
        <v>5268</v>
      </c>
      <c r="H27" s="439">
        <v>18.62</v>
      </c>
      <c r="I27" s="721">
        <v>782.6</v>
      </c>
      <c r="J27" s="721">
        <v>374.5</v>
      </c>
      <c r="K27" s="721">
        <v>32.1</v>
      </c>
      <c r="L27" s="721">
        <v>156.1</v>
      </c>
      <c r="M27" s="721">
        <v>21.9</v>
      </c>
      <c r="N27" s="721">
        <v>17.2</v>
      </c>
      <c r="O27" s="721">
        <v>15.4</v>
      </c>
      <c r="P27" s="721">
        <v>83.8</v>
      </c>
      <c r="Q27" s="721">
        <v>2257.3000000000002</v>
      </c>
      <c r="R27" s="721">
        <v>1560.8</v>
      </c>
      <c r="S27" s="721">
        <v>453.6</v>
      </c>
      <c r="T27" s="721">
        <v>69.7</v>
      </c>
      <c r="U27" s="438" t="s">
        <v>609</v>
      </c>
      <c r="V27" s="721">
        <v>53.9</v>
      </c>
      <c r="W27" s="438" t="s">
        <v>609</v>
      </c>
      <c r="X27" s="437" t="s">
        <v>1121</v>
      </c>
    </row>
    <row r="28" spans="1:24" ht="91.8" x14ac:dyDescent="0.2">
      <c r="A28" s="720" t="s">
        <v>1072</v>
      </c>
      <c r="B28" s="720" t="s">
        <v>1176</v>
      </c>
      <c r="C28" s="441" t="s">
        <v>608</v>
      </c>
      <c r="D28" s="440" t="s">
        <v>1102</v>
      </c>
      <c r="E28" s="440" t="s">
        <v>1100</v>
      </c>
      <c r="F28" s="721">
        <v>3996.7</v>
      </c>
      <c r="G28" s="721">
        <v>4160.2</v>
      </c>
      <c r="H28" s="439">
        <v>15.72</v>
      </c>
      <c r="I28" s="721">
        <v>818.1</v>
      </c>
      <c r="J28" s="721">
        <v>193.3</v>
      </c>
      <c r="K28" s="721">
        <v>123.4</v>
      </c>
      <c r="L28" s="721">
        <v>31.2</v>
      </c>
      <c r="M28" s="721">
        <v>36.1</v>
      </c>
      <c r="N28" s="721">
        <v>19.7</v>
      </c>
      <c r="O28" s="721">
        <v>17</v>
      </c>
      <c r="P28" s="721">
        <v>115.6</v>
      </c>
      <c r="Q28" s="721">
        <v>968</v>
      </c>
      <c r="R28" s="721">
        <v>367.4</v>
      </c>
      <c r="S28" s="721">
        <v>791.5</v>
      </c>
      <c r="T28" s="721">
        <v>100.2</v>
      </c>
      <c r="U28" s="438" t="s">
        <v>609</v>
      </c>
      <c r="V28" s="721">
        <v>16.399999999999999</v>
      </c>
      <c r="W28" s="438" t="s">
        <v>609</v>
      </c>
      <c r="X28" s="437" t="s">
        <v>1122</v>
      </c>
    </row>
    <row r="29" spans="1:24" ht="224.4" x14ac:dyDescent="0.2">
      <c r="A29" s="720" t="s">
        <v>1073</v>
      </c>
      <c r="B29" s="720" t="s">
        <v>1177</v>
      </c>
      <c r="C29" s="441" t="s">
        <v>608</v>
      </c>
      <c r="D29" s="440" t="s">
        <v>1102</v>
      </c>
      <c r="E29" s="440" t="s">
        <v>1100</v>
      </c>
      <c r="F29" s="721">
        <v>4926</v>
      </c>
      <c r="G29" s="721">
        <v>5402.3</v>
      </c>
      <c r="H29" s="439">
        <v>426.11</v>
      </c>
      <c r="I29" s="721">
        <v>798.1</v>
      </c>
      <c r="J29" s="721">
        <v>178.5</v>
      </c>
      <c r="K29" s="721">
        <v>137</v>
      </c>
      <c r="L29" s="721">
        <v>35.9</v>
      </c>
      <c r="M29" s="721">
        <v>35.5</v>
      </c>
      <c r="N29" s="721">
        <v>25</v>
      </c>
      <c r="O29" s="721">
        <v>22.2</v>
      </c>
      <c r="P29" s="721">
        <v>137.19999999999999</v>
      </c>
      <c r="Q29" s="721">
        <v>1024.4000000000001</v>
      </c>
      <c r="R29" s="721">
        <v>35.799999999999997</v>
      </c>
      <c r="S29" s="721">
        <v>747.7</v>
      </c>
      <c r="T29" s="721">
        <v>26</v>
      </c>
      <c r="U29" s="439">
        <v>2.1</v>
      </c>
      <c r="V29" s="721">
        <v>12.6</v>
      </c>
      <c r="W29" s="722">
        <v>0.25800000000000001</v>
      </c>
      <c r="X29" s="437" t="s">
        <v>1123</v>
      </c>
    </row>
    <row r="30" spans="1:24" ht="316.2" x14ac:dyDescent="0.2">
      <c r="A30" s="720" t="s">
        <v>1074</v>
      </c>
      <c r="B30" s="720" t="s">
        <v>1178</v>
      </c>
      <c r="C30" s="441" t="s">
        <v>608</v>
      </c>
      <c r="D30" s="440" t="s">
        <v>1101</v>
      </c>
      <c r="E30" s="440" t="s">
        <v>1100</v>
      </c>
      <c r="F30" s="721">
        <v>18369.2</v>
      </c>
      <c r="G30" s="721">
        <v>17543</v>
      </c>
      <c r="H30" s="439">
        <v>287.42</v>
      </c>
      <c r="I30" s="721">
        <v>2449.6</v>
      </c>
      <c r="J30" s="721">
        <v>849.2</v>
      </c>
      <c r="K30" s="721">
        <v>609.20000000000005</v>
      </c>
      <c r="L30" s="721">
        <v>29.4</v>
      </c>
      <c r="M30" s="721">
        <v>27.6</v>
      </c>
      <c r="N30" s="721">
        <v>21.7</v>
      </c>
      <c r="O30" s="721">
        <v>20.6</v>
      </c>
      <c r="P30" s="721">
        <v>440.7</v>
      </c>
      <c r="Q30" s="721">
        <v>2721.4</v>
      </c>
      <c r="R30" s="721">
        <v>1331.1</v>
      </c>
      <c r="S30" s="721">
        <v>323.2</v>
      </c>
      <c r="T30" s="721">
        <v>141.80000000000001</v>
      </c>
      <c r="U30" s="438" t="s">
        <v>609</v>
      </c>
      <c r="V30" s="721">
        <v>14.1</v>
      </c>
      <c r="W30" s="722">
        <v>0.91900000000000004</v>
      </c>
      <c r="X30" s="437" t="s">
        <v>1124</v>
      </c>
    </row>
    <row r="31" spans="1:24" ht="326.39999999999998" x14ac:dyDescent="0.2">
      <c r="A31" s="720" t="s">
        <v>1075</v>
      </c>
      <c r="B31" s="720" t="s">
        <v>1179</v>
      </c>
      <c r="C31" s="441" t="s">
        <v>608</v>
      </c>
      <c r="D31" s="440" t="s">
        <v>1101</v>
      </c>
      <c r="E31" s="440" t="s">
        <v>1100</v>
      </c>
      <c r="F31" s="721">
        <v>25729.599999999999</v>
      </c>
      <c r="G31" s="721">
        <v>26055.3</v>
      </c>
      <c r="H31" s="439">
        <v>351.72</v>
      </c>
      <c r="I31" s="721">
        <v>2313.1999999999998</v>
      </c>
      <c r="J31" s="721">
        <v>697.2</v>
      </c>
      <c r="K31" s="721">
        <v>528.5</v>
      </c>
      <c r="L31" s="721">
        <v>49.9</v>
      </c>
      <c r="M31" s="721">
        <v>45.8</v>
      </c>
      <c r="N31" s="721">
        <v>34.6</v>
      </c>
      <c r="O31" s="721">
        <v>30.7</v>
      </c>
      <c r="P31" s="721">
        <v>503.2</v>
      </c>
      <c r="Q31" s="721">
        <v>2283.9</v>
      </c>
      <c r="R31" s="721">
        <v>270.8</v>
      </c>
      <c r="S31" s="721">
        <v>1900.1</v>
      </c>
      <c r="T31" s="721">
        <v>202.4</v>
      </c>
      <c r="U31" s="722">
        <v>0.58699999999999997</v>
      </c>
      <c r="V31" s="721">
        <v>13.2</v>
      </c>
      <c r="W31" s="439">
        <v>1.04</v>
      </c>
      <c r="X31" s="437" t="s">
        <v>1125</v>
      </c>
    </row>
  </sheetData>
  <pageMargins left="0.2" right="0.2" top="0.5" bottom="0.5" header="0.5" footer="0.5"/>
  <pageSetup fitToWidth="0" fitToHeight="0" orientation="landscape" horizontalDpi="300" verticalDpi="300"/>
  <headerFooter alignWithMargin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046-548C-4C9C-AFDE-9E82A2C4774A}">
  <sheetPr>
    <outlinePr summaryBelow="0" summaryRight="0"/>
    <pageSetUpPr autoPageBreaks="0"/>
  </sheetPr>
  <dimension ref="A6:IU15"/>
  <sheetViews>
    <sheetView zoomScaleNormal="100" workbookViewId="0">
      <selection activeCell="V10" sqref="V10"/>
    </sheetView>
  </sheetViews>
  <sheetFormatPr defaultColWidth="8.88671875" defaultRowHeight="10.199999999999999" x14ac:dyDescent="0.2"/>
  <cols>
    <col min="1" max="1" width="26.88671875" style="406" customWidth="1"/>
    <col min="2" max="19" width="20.88671875" style="406" customWidth="1"/>
    <col min="20" max="256" width="9.109375" style="406"/>
    <col min="257" max="257" width="26.88671875" style="406" customWidth="1"/>
    <col min="258" max="275" width="20.88671875" style="406" customWidth="1"/>
    <col min="276" max="512" width="9.109375" style="406"/>
    <col min="513" max="513" width="26.88671875" style="406" customWidth="1"/>
    <col min="514" max="531" width="20.88671875" style="406" customWidth="1"/>
    <col min="532" max="768" width="9.109375" style="406"/>
    <col min="769" max="769" width="26.88671875" style="406" customWidth="1"/>
    <col min="770" max="787" width="20.88671875" style="406" customWidth="1"/>
    <col min="788" max="1024" width="9.109375" style="406"/>
    <col min="1025" max="1025" width="26.88671875" style="406" customWidth="1"/>
    <col min="1026" max="1043" width="20.88671875" style="406" customWidth="1"/>
    <col min="1044" max="1280" width="9.109375" style="406"/>
    <col min="1281" max="1281" width="26.88671875" style="406" customWidth="1"/>
    <col min="1282" max="1299" width="20.88671875" style="406" customWidth="1"/>
    <col min="1300" max="1536" width="9.109375" style="406"/>
    <col min="1537" max="1537" width="26.88671875" style="406" customWidth="1"/>
    <col min="1538" max="1555" width="20.88671875" style="406" customWidth="1"/>
    <col min="1556" max="1792" width="9.109375" style="406"/>
    <col min="1793" max="1793" width="26.88671875" style="406" customWidth="1"/>
    <col min="1794" max="1811" width="20.88671875" style="406" customWidth="1"/>
    <col min="1812" max="2048" width="9.109375" style="406"/>
    <col min="2049" max="2049" width="26.88671875" style="406" customWidth="1"/>
    <col min="2050" max="2067" width="20.88671875" style="406" customWidth="1"/>
    <col min="2068" max="2304" width="9.109375" style="406"/>
    <col min="2305" max="2305" width="26.88671875" style="406" customWidth="1"/>
    <col min="2306" max="2323" width="20.88671875" style="406" customWidth="1"/>
    <col min="2324" max="2560" width="9.109375" style="406"/>
    <col min="2561" max="2561" width="26.88671875" style="406" customWidth="1"/>
    <col min="2562" max="2579" width="20.88671875" style="406" customWidth="1"/>
    <col min="2580" max="2816" width="9.109375" style="406"/>
    <col min="2817" max="2817" width="26.88671875" style="406" customWidth="1"/>
    <col min="2818" max="2835" width="20.88671875" style="406" customWidth="1"/>
    <col min="2836" max="3072" width="9.109375" style="406"/>
    <col min="3073" max="3073" width="26.88671875" style="406" customWidth="1"/>
    <col min="3074" max="3091" width="20.88671875" style="406" customWidth="1"/>
    <col min="3092" max="3328" width="9.109375" style="406"/>
    <col min="3329" max="3329" width="26.88671875" style="406" customWidth="1"/>
    <col min="3330" max="3347" width="20.88671875" style="406" customWidth="1"/>
    <col min="3348" max="3584" width="9.109375" style="406"/>
    <col min="3585" max="3585" width="26.88671875" style="406" customWidth="1"/>
    <col min="3586" max="3603" width="20.88671875" style="406" customWidth="1"/>
    <col min="3604" max="3840" width="9.109375" style="406"/>
    <col min="3841" max="3841" width="26.88671875" style="406" customWidth="1"/>
    <col min="3842" max="3859" width="20.88671875" style="406" customWidth="1"/>
    <col min="3860" max="4096" width="9.109375" style="406"/>
    <col min="4097" max="4097" width="26.88671875" style="406" customWidth="1"/>
    <col min="4098" max="4115" width="20.88671875" style="406" customWidth="1"/>
    <col min="4116" max="4352" width="9.109375" style="406"/>
    <col min="4353" max="4353" width="26.88671875" style="406" customWidth="1"/>
    <col min="4354" max="4371" width="20.88671875" style="406" customWidth="1"/>
    <col min="4372" max="4608" width="9.109375" style="406"/>
    <col min="4609" max="4609" width="26.88671875" style="406" customWidth="1"/>
    <col min="4610" max="4627" width="20.88671875" style="406" customWidth="1"/>
    <col min="4628" max="4864" width="9.109375" style="406"/>
    <col min="4865" max="4865" width="26.88671875" style="406" customWidth="1"/>
    <col min="4866" max="4883" width="20.88671875" style="406" customWidth="1"/>
    <col min="4884" max="5120" width="9.109375" style="406"/>
    <col min="5121" max="5121" width="26.88671875" style="406" customWidth="1"/>
    <col min="5122" max="5139" width="20.88671875" style="406" customWidth="1"/>
    <col min="5140" max="5376" width="9.109375" style="406"/>
    <col min="5377" max="5377" width="26.88671875" style="406" customWidth="1"/>
    <col min="5378" max="5395" width="20.88671875" style="406" customWidth="1"/>
    <col min="5396" max="5632" width="9.109375" style="406"/>
    <col min="5633" max="5633" width="26.88671875" style="406" customWidth="1"/>
    <col min="5634" max="5651" width="20.88671875" style="406" customWidth="1"/>
    <col min="5652" max="5888" width="9.109375" style="406"/>
    <col min="5889" max="5889" width="26.88671875" style="406" customWidth="1"/>
    <col min="5890" max="5907" width="20.88671875" style="406" customWidth="1"/>
    <col min="5908" max="6144" width="9.109375" style="406"/>
    <col min="6145" max="6145" width="26.88671875" style="406" customWidth="1"/>
    <col min="6146" max="6163" width="20.88671875" style="406" customWidth="1"/>
    <col min="6164" max="6400" width="9.109375" style="406"/>
    <col min="6401" max="6401" width="26.88671875" style="406" customWidth="1"/>
    <col min="6402" max="6419" width="20.88671875" style="406" customWidth="1"/>
    <col min="6420" max="6656" width="9.109375" style="406"/>
    <col min="6657" max="6657" width="26.88671875" style="406" customWidth="1"/>
    <col min="6658" max="6675" width="20.88671875" style="406" customWidth="1"/>
    <col min="6676" max="6912" width="9.109375" style="406"/>
    <col min="6913" max="6913" width="26.88671875" style="406" customWidth="1"/>
    <col min="6914" max="6931" width="20.88671875" style="406" customWidth="1"/>
    <col min="6932" max="7168" width="9.109375" style="406"/>
    <col min="7169" max="7169" width="26.88671875" style="406" customWidth="1"/>
    <col min="7170" max="7187" width="20.88671875" style="406" customWidth="1"/>
    <col min="7188" max="7424" width="9.109375" style="406"/>
    <col min="7425" max="7425" width="26.88671875" style="406" customWidth="1"/>
    <col min="7426" max="7443" width="20.88671875" style="406" customWidth="1"/>
    <col min="7444" max="7680" width="9.109375" style="406"/>
    <col min="7681" max="7681" width="26.88671875" style="406" customWidth="1"/>
    <col min="7682" max="7699" width="20.88671875" style="406" customWidth="1"/>
    <col min="7700" max="7936" width="9.109375" style="406"/>
    <col min="7937" max="7937" width="26.88671875" style="406" customWidth="1"/>
    <col min="7938" max="7955" width="20.88671875" style="406" customWidth="1"/>
    <col min="7956" max="8192" width="9.109375" style="406"/>
    <col min="8193" max="8193" width="26.88671875" style="406" customWidth="1"/>
    <col min="8194" max="8211" width="20.88671875" style="406" customWidth="1"/>
    <col min="8212" max="8448" width="9.109375" style="406"/>
    <col min="8449" max="8449" width="26.88671875" style="406" customWidth="1"/>
    <col min="8450" max="8467" width="20.88671875" style="406" customWidth="1"/>
    <col min="8468" max="8704" width="9.109375" style="406"/>
    <col min="8705" max="8705" width="26.88671875" style="406" customWidth="1"/>
    <col min="8706" max="8723" width="20.88671875" style="406" customWidth="1"/>
    <col min="8724" max="8960" width="9.109375" style="406"/>
    <col min="8961" max="8961" width="26.88671875" style="406" customWidth="1"/>
    <col min="8962" max="8979" width="20.88671875" style="406" customWidth="1"/>
    <col min="8980" max="9216" width="9.109375" style="406"/>
    <col min="9217" max="9217" width="26.88671875" style="406" customWidth="1"/>
    <col min="9218" max="9235" width="20.88671875" style="406" customWidth="1"/>
    <col min="9236" max="9472" width="9.109375" style="406"/>
    <col min="9473" max="9473" width="26.88671875" style="406" customWidth="1"/>
    <col min="9474" max="9491" width="20.88671875" style="406" customWidth="1"/>
    <col min="9492" max="9728" width="9.109375" style="406"/>
    <col min="9729" max="9729" width="26.88671875" style="406" customWidth="1"/>
    <col min="9730" max="9747" width="20.88671875" style="406" customWidth="1"/>
    <col min="9748" max="9984" width="9.109375" style="406"/>
    <col min="9985" max="9985" width="26.88671875" style="406" customWidth="1"/>
    <col min="9986" max="10003" width="20.88671875" style="406" customWidth="1"/>
    <col min="10004" max="10240" width="9.109375" style="406"/>
    <col min="10241" max="10241" width="26.88671875" style="406" customWidth="1"/>
    <col min="10242" max="10259" width="20.88671875" style="406" customWidth="1"/>
    <col min="10260" max="10496" width="9.109375" style="406"/>
    <col min="10497" max="10497" width="26.88671875" style="406" customWidth="1"/>
    <col min="10498" max="10515" width="20.88671875" style="406" customWidth="1"/>
    <col min="10516" max="10752" width="9.109375" style="406"/>
    <col min="10753" max="10753" width="26.88671875" style="406" customWidth="1"/>
    <col min="10754" max="10771" width="20.88671875" style="406" customWidth="1"/>
    <col min="10772" max="11008" width="9.109375" style="406"/>
    <col min="11009" max="11009" width="26.88671875" style="406" customWidth="1"/>
    <col min="11010" max="11027" width="20.88671875" style="406" customWidth="1"/>
    <col min="11028" max="11264" width="9.109375" style="406"/>
    <col min="11265" max="11265" width="26.88671875" style="406" customWidth="1"/>
    <col min="11266" max="11283" width="20.88671875" style="406" customWidth="1"/>
    <col min="11284" max="11520" width="9.109375" style="406"/>
    <col min="11521" max="11521" width="26.88671875" style="406" customWidth="1"/>
    <col min="11522" max="11539" width="20.88671875" style="406" customWidth="1"/>
    <col min="11540" max="11776" width="9.109375" style="406"/>
    <col min="11777" max="11777" width="26.88671875" style="406" customWidth="1"/>
    <col min="11778" max="11795" width="20.88671875" style="406" customWidth="1"/>
    <col min="11796" max="12032" width="9.109375" style="406"/>
    <col min="12033" max="12033" width="26.88671875" style="406" customWidth="1"/>
    <col min="12034" max="12051" width="20.88671875" style="406" customWidth="1"/>
    <col min="12052" max="12288" width="9.109375" style="406"/>
    <col min="12289" max="12289" width="26.88671875" style="406" customWidth="1"/>
    <col min="12290" max="12307" width="20.88671875" style="406" customWidth="1"/>
    <col min="12308" max="12544" width="9.109375" style="406"/>
    <col min="12545" max="12545" width="26.88671875" style="406" customWidth="1"/>
    <col min="12546" max="12563" width="20.88671875" style="406" customWidth="1"/>
    <col min="12564" max="12800" width="9.109375" style="406"/>
    <col min="12801" max="12801" width="26.88671875" style="406" customWidth="1"/>
    <col min="12802" max="12819" width="20.88671875" style="406" customWidth="1"/>
    <col min="12820" max="13056" width="9.109375" style="406"/>
    <col min="13057" max="13057" width="26.88671875" style="406" customWidth="1"/>
    <col min="13058" max="13075" width="20.88671875" style="406" customWidth="1"/>
    <col min="13076" max="13312" width="9.109375" style="406"/>
    <col min="13313" max="13313" width="26.88671875" style="406" customWidth="1"/>
    <col min="13314" max="13331" width="20.88671875" style="406" customWidth="1"/>
    <col min="13332" max="13568" width="9.109375" style="406"/>
    <col min="13569" max="13569" width="26.88671875" style="406" customWidth="1"/>
    <col min="13570" max="13587" width="20.88671875" style="406" customWidth="1"/>
    <col min="13588" max="13824" width="9.109375" style="406"/>
    <col min="13825" max="13825" width="26.88671875" style="406" customWidth="1"/>
    <col min="13826" max="13843" width="20.88671875" style="406" customWidth="1"/>
    <col min="13844" max="14080" width="9.109375" style="406"/>
    <col min="14081" max="14081" width="26.88671875" style="406" customWidth="1"/>
    <col min="14082" max="14099" width="20.88671875" style="406" customWidth="1"/>
    <col min="14100" max="14336" width="9.109375" style="406"/>
    <col min="14337" max="14337" width="26.88671875" style="406" customWidth="1"/>
    <col min="14338" max="14355" width="20.88671875" style="406" customWidth="1"/>
    <col min="14356" max="14592" width="9.109375" style="406"/>
    <col min="14593" max="14593" width="26.88671875" style="406" customWidth="1"/>
    <col min="14594" max="14611" width="20.88671875" style="406" customWidth="1"/>
    <col min="14612" max="14848" width="9.109375" style="406"/>
    <col min="14849" max="14849" width="26.88671875" style="406" customWidth="1"/>
    <col min="14850" max="14867" width="20.88671875" style="406" customWidth="1"/>
    <col min="14868" max="15104" width="9.109375" style="406"/>
    <col min="15105" max="15105" width="26.88671875" style="406" customWidth="1"/>
    <col min="15106" max="15123" width="20.88671875" style="406" customWidth="1"/>
    <col min="15124" max="15360" width="9.109375" style="406"/>
    <col min="15361" max="15361" width="26.88671875" style="406" customWidth="1"/>
    <col min="15362" max="15379" width="20.88671875" style="406" customWidth="1"/>
    <col min="15380" max="15616" width="9.109375" style="406"/>
    <col min="15617" max="15617" width="26.88671875" style="406" customWidth="1"/>
    <col min="15618" max="15635" width="20.88671875" style="406" customWidth="1"/>
    <col min="15636" max="15872" width="9.109375" style="406"/>
    <col min="15873" max="15873" width="26.88671875" style="406" customWidth="1"/>
    <col min="15874" max="15891" width="20.88671875" style="406" customWidth="1"/>
    <col min="15892" max="16128" width="9.109375" style="406"/>
    <col min="16129" max="16129" width="26.88671875" style="406" customWidth="1"/>
    <col min="16130" max="16147" width="20.88671875" style="406" customWidth="1"/>
    <col min="16148" max="16384" width="9.109375" style="406"/>
  </cols>
  <sheetData>
    <row r="6" spans="1:255" ht="16.5" customHeight="1" x14ac:dyDescent="0.25">
      <c r="A6" s="414" t="s">
        <v>662</v>
      </c>
    </row>
    <row r="8" spans="1:255" x14ac:dyDescent="0.2">
      <c r="A8" s="413" t="s">
        <v>661</v>
      </c>
      <c r="B8" s="412"/>
      <c r="C8" s="412"/>
      <c r="D8" s="412"/>
      <c r="E8" s="412"/>
      <c r="F8" s="412"/>
      <c r="G8" s="412"/>
      <c r="H8" s="412"/>
      <c r="I8" s="412"/>
      <c r="J8" s="412"/>
      <c r="K8" s="412"/>
      <c r="L8" s="412"/>
      <c r="M8" s="412"/>
      <c r="N8" s="412"/>
      <c r="O8" s="412"/>
      <c r="P8" s="412"/>
      <c r="Q8" s="412"/>
      <c r="R8" s="412"/>
      <c r="S8" s="412"/>
      <c r="T8" s="411"/>
      <c r="U8" s="411"/>
      <c r="V8" s="411"/>
      <c r="W8" s="411"/>
      <c r="X8" s="411"/>
      <c r="Y8" s="411"/>
      <c r="Z8" s="411"/>
      <c r="AA8" s="411"/>
      <c r="AB8" s="411"/>
      <c r="AC8" s="411"/>
      <c r="AD8" s="411"/>
      <c r="AE8" s="411"/>
      <c r="AF8" s="411"/>
      <c r="AG8" s="411"/>
      <c r="AH8" s="411"/>
      <c r="AI8" s="411"/>
      <c r="AJ8" s="411"/>
      <c r="AK8" s="411"/>
      <c r="AL8" s="411"/>
      <c r="AM8" s="411"/>
      <c r="AN8" s="411"/>
      <c r="AO8" s="411"/>
      <c r="AP8" s="411"/>
      <c r="AQ8" s="411"/>
      <c r="AR8" s="411"/>
      <c r="AS8" s="411"/>
      <c r="AT8" s="411"/>
      <c r="AU8" s="411"/>
      <c r="AV8" s="411"/>
      <c r="AW8" s="411"/>
      <c r="AX8" s="411"/>
      <c r="AY8" s="411"/>
      <c r="AZ8" s="411"/>
      <c r="BA8" s="411"/>
      <c r="BB8" s="411"/>
      <c r="BC8" s="411"/>
      <c r="BD8" s="411"/>
      <c r="BE8" s="411"/>
      <c r="BF8" s="411"/>
      <c r="BG8" s="411"/>
      <c r="BH8" s="411"/>
      <c r="BI8" s="411"/>
      <c r="BJ8" s="411"/>
      <c r="BK8" s="411"/>
      <c r="BL8" s="411"/>
      <c r="BM8" s="411"/>
      <c r="BN8" s="411"/>
      <c r="BO8" s="411"/>
      <c r="BP8" s="411"/>
      <c r="BQ8" s="411"/>
      <c r="BR8" s="411"/>
      <c r="BS8" s="411"/>
      <c r="BT8" s="411"/>
      <c r="BU8" s="411"/>
      <c r="BV8" s="411"/>
      <c r="BW8" s="411"/>
      <c r="BX8" s="411"/>
      <c r="BY8" s="411"/>
      <c r="BZ8" s="411"/>
      <c r="CA8" s="411"/>
      <c r="CB8" s="411"/>
      <c r="CC8" s="411"/>
      <c r="CD8" s="411"/>
      <c r="CE8" s="411"/>
      <c r="CF8" s="411"/>
      <c r="CG8" s="411"/>
      <c r="CH8" s="411"/>
      <c r="CI8" s="411"/>
      <c r="CJ8" s="411"/>
      <c r="CK8" s="411"/>
      <c r="CL8" s="411"/>
      <c r="CM8" s="411"/>
      <c r="CN8" s="411"/>
      <c r="CO8" s="411"/>
      <c r="CP8" s="411"/>
      <c r="CQ8" s="411"/>
      <c r="CR8" s="411"/>
      <c r="CS8" s="411"/>
      <c r="CT8" s="411"/>
      <c r="CU8" s="411"/>
      <c r="CV8" s="411"/>
      <c r="CW8" s="411"/>
      <c r="CX8" s="411"/>
      <c r="CY8" s="411"/>
      <c r="CZ8" s="411"/>
      <c r="DA8" s="411"/>
      <c r="DB8" s="411"/>
      <c r="DC8" s="411"/>
      <c r="DD8" s="411"/>
      <c r="DE8" s="411"/>
      <c r="DF8" s="411"/>
      <c r="DG8" s="411"/>
      <c r="DH8" s="411"/>
      <c r="DI8" s="411"/>
      <c r="DJ8" s="411"/>
      <c r="DK8" s="411"/>
      <c r="DL8" s="411"/>
      <c r="DM8" s="411"/>
      <c r="DN8" s="411"/>
      <c r="DO8" s="411"/>
      <c r="DP8" s="411"/>
      <c r="DQ8" s="411"/>
      <c r="DR8" s="411"/>
      <c r="DS8" s="411"/>
      <c r="DT8" s="411"/>
      <c r="DU8" s="411"/>
      <c r="DV8" s="411"/>
      <c r="DW8" s="411"/>
      <c r="DX8" s="411"/>
      <c r="DY8" s="411"/>
      <c r="DZ8" s="411"/>
      <c r="EA8" s="411"/>
      <c r="EB8" s="411"/>
      <c r="EC8" s="411"/>
      <c r="ED8" s="411"/>
      <c r="EE8" s="411"/>
      <c r="EF8" s="411"/>
      <c r="EG8" s="411"/>
      <c r="EH8" s="411"/>
      <c r="EI8" s="411"/>
      <c r="EJ8" s="411"/>
      <c r="EK8" s="411"/>
      <c r="EL8" s="411"/>
      <c r="EM8" s="411"/>
      <c r="EN8" s="411"/>
      <c r="EO8" s="411"/>
      <c r="EP8" s="411"/>
      <c r="EQ8" s="411"/>
      <c r="ER8" s="411"/>
      <c r="ES8" s="411"/>
      <c r="ET8" s="411"/>
      <c r="EU8" s="411"/>
      <c r="EV8" s="411"/>
      <c r="EW8" s="411"/>
      <c r="EX8" s="411"/>
      <c r="EY8" s="411"/>
      <c r="EZ8" s="411"/>
      <c r="FA8" s="411"/>
      <c r="FB8" s="411"/>
      <c r="FC8" s="411"/>
      <c r="FD8" s="411"/>
      <c r="FE8" s="411"/>
      <c r="FF8" s="411"/>
      <c r="FG8" s="411"/>
      <c r="FH8" s="411"/>
      <c r="FI8" s="411"/>
      <c r="FJ8" s="411"/>
      <c r="FK8" s="411"/>
      <c r="FL8" s="411"/>
      <c r="FM8" s="411"/>
      <c r="FN8" s="411"/>
      <c r="FO8" s="411"/>
      <c r="FP8" s="411"/>
      <c r="FQ8" s="411"/>
      <c r="FR8" s="411"/>
      <c r="FS8" s="411"/>
      <c r="FT8" s="411"/>
      <c r="FU8" s="411"/>
      <c r="FV8" s="411"/>
      <c r="FW8" s="411"/>
      <c r="FX8" s="411"/>
      <c r="FY8" s="411"/>
      <c r="FZ8" s="411"/>
      <c r="GA8" s="411"/>
      <c r="GB8" s="411"/>
      <c r="GC8" s="411"/>
      <c r="GD8" s="411"/>
      <c r="GE8" s="411"/>
      <c r="GF8" s="411"/>
      <c r="GG8" s="411"/>
      <c r="GH8" s="411"/>
      <c r="GI8" s="411"/>
      <c r="GJ8" s="411"/>
      <c r="GK8" s="411"/>
      <c r="GL8" s="411"/>
      <c r="GM8" s="411"/>
      <c r="GN8" s="411"/>
      <c r="GO8" s="411"/>
      <c r="GP8" s="411"/>
      <c r="GQ8" s="411"/>
      <c r="GR8" s="411"/>
      <c r="GS8" s="411"/>
      <c r="GT8" s="411"/>
      <c r="GU8" s="411"/>
      <c r="GV8" s="411"/>
      <c r="GW8" s="411"/>
      <c r="GX8" s="411"/>
      <c r="GY8" s="411"/>
      <c r="GZ8" s="411"/>
      <c r="HA8" s="411"/>
      <c r="HB8" s="411"/>
      <c r="HC8" s="411"/>
      <c r="HD8" s="411"/>
      <c r="HE8" s="411"/>
      <c r="HF8" s="411"/>
      <c r="HG8" s="411"/>
      <c r="HH8" s="411"/>
      <c r="HI8" s="411"/>
      <c r="HJ8" s="411"/>
      <c r="HK8" s="411"/>
      <c r="HL8" s="411"/>
      <c r="HM8" s="411"/>
      <c r="HN8" s="411"/>
      <c r="HO8" s="411"/>
      <c r="HP8" s="411"/>
      <c r="HQ8" s="411"/>
      <c r="HR8" s="411"/>
      <c r="HS8" s="411"/>
      <c r="HT8" s="411"/>
      <c r="HU8" s="411"/>
      <c r="HV8" s="411"/>
      <c r="HW8" s="411"/>
      <c r="HX8" s="411"/>
      <c r="HY8" s="411"/>
      <c r="HZ8" s="411"/>
      <c r="IA8" s="411"/>
      <c r="IB8" s="411"/>
      <c r="IC8" s="411"/>
      <c r="ID8" s="411"/>
      <c r="IE8" s="411"/>
      <c r="IF8" s="411"/>
      <c r="IG8" s="411"/>
      <c r="IH8" s="411"/>
      <c r="II8" s="411"/>
      <c r="IJ8" s="411"/>
      <c r="IK8" s="411"/>
      <c r="IL8" s="411"/>
      <c r="IM8" s="411"/>
      <c r="IN8" s="411"/>
      <c r="IO8" s="411"/>
      <c r="IP8" s="411"/>
      <c r="IQ8" s="411"/>
      <c r="IR8" s="411"/>
      <c r="IS8" s="411"/>
      <c r="IT8" s="411"/>
      <c r="IU8" s="411"/>
    </row>
    <row r="9" spans="1:255" ht="36" x14ac:dyDescent="0.35">
      <c r="A9" s="410" t="s">
        <v>8</v>
      </c>
      <c r="B9" s="410" t="s">
        <v>1145</v>
      </c>
      <c r="C9" s="410" t="s">
        <v>1146</v>
      </c>
      <c r="D9" s="410" t="s">
        <v>1147</v>
      </c>
      <c r="E9" s="410" t="s">
        <v>1148</v>
      </c>
      <c r="F9" s="410" t="s">
        <v>1149</v>
      </c>
      <c r="G9" s="410" t="s">
        <v>1150</v>
      </c>
      <c r="H9" s="410" t="s">
        <v>645</v>
      </c>
      <c r="I9" s="410" t="s">
        <v>642</v>
      </c>
      <c r="J9" s="410" t="s">
        <v>644</v>
      </c>
      <c r="K9" s="410" t="s">
        <v>643</v>
      </c>
      <c r="L9" s="410" t="s">
        <v>1151</v>
      </c>
      <c r="M9" s="410" t="s">
        <v>1152</v>
      </c>
      <c r="N9" s="410" t="s">
        <v>1153</v>
      </c>
      <c r="O9" s="410" t="s">
        <v>1154</v>
      </c>
      <c r="P9" s="410" t="s">
        <v>1155</v>
      </c>
      <c r="Q9" s="410" t="s">
        <v>1156</v>
      </c>
      <c r="R9" s="410" t="s">
        <v>664</v>
      </c>
      <c r="S9" s="410" t="s">
        <v>635</v>
      </c>
    </row>
    <row r="10" spans="1:255" x14ac:dyDescent="0.2">
      <c r="A10" s="409" t="s">
        <v>67</v>
      </c>
      <c r="B10" s="407">
        <v>219213.4</v>
      </c>
      <c r="C10" s="407">
        <v>213705.4</v>
      </c>
      <c r="D10" s="407">
        <v>4619.8999999999996</v>
      </c>
      <c r="E10" s="407">
        <v>28092.799999999999</v>
      </c>
      <c r="F10" s="407">
        <v>7888.7</v>
      </c>
      <c r="G10" s="407">
        <v>9784.1</v>
      </c>
      <c r="H10" s="407">
        <v>1006</v>
      </c>
      <c r="I10" s="407">
        <v>794.5</v>
      </c>
      <c r="J10" s="407">
        <v>578.1</v>
      </c>
      <c r="K10" s="407">
        <v>522</v>
      </c>
      <c r="L10" s="407">
        <v>6217.4</v>
      </c>
      <c r="M10" s="407">
        <v>50946.7</v>
      </c>
      <c r="N10" s="407">
        <v>12647.9</v>
      </c>
      <c r="O10" s="407">
        <v>35524.5</v>
      </c>
      <c r="P10" s="407">
        <v>2169</v>
      </c>
      <c r="Q10" s="407">
        <v>9.86</v>
      </c>
      <c r="R10" s="407">
        <v>397.9</v>
      </c>
      <c r="S10" s="407">
        <v>17.7</v>
      </c>
    </row>
    <row r="11" spans="1:255" x14ac:dyDescent="0.2">
      <c r="A11" s="409" t="s">
        <v>591</v>
      </c>
      <c r="B11" s="407">
        <v>9531</v>
      </c>
      <c r="C11" s="407">
        <v>9291.5</v>
      </c>
      <c r="D11" s="407">
        <v>200.9</v>
      </c>
      <c r="E11" s="407">
        <v>1221.4000000000001</v>
      </c>
      <c r="F11" s="407">
        <v>343</v>
      </c>
      <c r="G11" s="407">
        <v>425.4</v>
      </c>
      <c r="H11" s="407">
        <v>45.7</v>
      </c>
      <c r="I11" s="407">
        <v>37.799999999999997</v>
      </c>
      <c r="J11" s="407">
        <v>27.5</v>
      </c>
      <c r="K11" s="407">
        <v>24.9</v>
      </c>
      <c r="L11" s="407">
        <v>270.3</v>
      </c>
      <c r="M11" s="407">
        <v>2215.1</v>
      </c>
      <c r="N11" s="407">
        <v>549.9</v>
      </c>
      <c r="O11" s="407">
        <v>1544.5</v>
      </c>
      <c r="P11" s="407">
        <v>94.3</v>
      </c>
      <c r="Q11" s="407">
        <v>1.23</v>
      </c>
      <c r="R11" s="407">
        <v>18.899999999999999</v>
      </c>
      <c r="S11" s="407">
        <v>0.93</v>
      </c>
    </row>
    <row r="12" spans="1:255" x14ac:dyDescent="0.2">
      <c r="A12" s="409" t="s">
        <v>660</v>
      </c>
      <c r="B12" s="407">
        <v>1669</v>
      </c>
      <c r="C12" s="407">
        <v>1447.5</v>
      </c>
      <c r="D12" s="407">
        <v>8.17</v>
      </c>
      <c r="E12" s="407">
        <v>382.9</v>
      </c>
      <c r="F12" s="407">
        <v>-19.7</v>
      </c>
      <c r="G12" s="407">
        <v>-392.9</v>
      </c>
      <c r="H12" s="407">
        <v>2.83</v>
      </c>
      <c r="I12" s="407">
        <v>16.7</v>
      </c>
      <c r="J12" s="407">
        <v>6.37</v>
      </c>
      <c r="K12" s="407">
        <v>6.85</v>
      </c>
      <c r="L12" s="407">
        <v>21.7</v>
      </c>
      <c r="M12" s="407">
        <v>656.8</v>
      </c>
      <c r="N12" s="407">
        <v>5.54</v>
      </c>
      <c r="O12" s="407">
        <v>323.2</v>
      </c>
      <c r="P12" s="407">
        <v>5.94</v>
      </c>
      <c r="Q12" s="407">
        <v>0</v>
      </c>
      <c r="R12" s="407">
        <v>2.4</v>
      </c>
      <c r="S12" s="407">
        <v>0.13400000000000001</v>
      </c>
    </row>
    <row r="13" spans="1:255" x14ac:dyDescent="0.2">
      <c r="A13" s="409" t="s">
        <v>659</v>
      </c>
      <c r="B13" s="407">
        <v>36064.800000000003</v>
      </c>
      <c r="C13" s="407">
        <v>35563.1</v>
      </c>
      <c r="D13" s="407">
        <v>705.6</v>
      </c>
      <c r="E13" s="407">
        <v>2925.9</v>
      </c>
      <c r="F13" s="407">
        <v>908.4</v>
      </c>
      <c r="G13" s="407">
        <v>5745.1</v>
      </c>
      <c r="H13" s="407">
        <v>156.1</v>
      </c>
      <c r="I13" s="407">
        <v>73.900000000000006</v>
      </c>
      <c r="J13" s="407">
        <v>77.599999999999994</v>
      </c>
      <c r="K13" s="407">
        <v>52.5</v>
      </c>
      <c r="L13" s="407">
        <v>586.4</v>
      </c>
      <c r="M13" s="407">
        <v>10605.1</v>
      </c>
      <c r="N13" s="407">
        <v>1772.5</v>
      </c>
      <c r="O13" s="407">
        <v>13228.8</v>
      </c>
      <c r="P13" s="407">
        <v>268</v>
      </c>
      <c r="Q13" s="407">
        <v>2.96</v>
      </c>
      <c r="R13" s="407">
        <v>53.9</v>
      </c>
      <c r="S13" s="407">
        <v>1.65</v>
      </c>
    </row>
    <row r="14" spans="1:255" x14ac:dyDescent="0.2">
      <c r="A14" s="409" t="s">
        <v>658</v>
      </c>
      <c r="B14" s="407">
        <v>8471.2000000000007</v>
      </c>
      <c r="C14" s="407">
        <v>8386.7000000000007</v>
      </c>
      <c r="D14" s="407">
        <v>209.7</v>
      </c>
      <c r="E14" s="407">
        <v>855.6</v>
      </c>
      <c r="F14" s="407">
        <v>277.8</v>
      </c>
      <c r="G14" s="407">
        <v>1179.4000000000001</v>
      </c>
      <c r="H14" s="407">
        <v>33.9</v>
      </c>
      <c r="I14" s="407">
        <v>16</v>
      </c>
      <c r="J14" s="407">
        <v>17.8</v>
      </c>
      <c r="K14" s="407">
        <v>11.9</v>
      </c>
      <c r="L14" s="407">
        <v>203.7</v>
      </c>
      <c r="M14" s="407">
        <v>2156.4</v>
      </c>
      <c r="N14" s="407">
        <v>549.5</v>
      </c>
      <c r="O14" s="407">
        <v>2617.6999999999998</v>
      </c>
      <c r="P14" s="407">
        <v>71.599999999999994</v>
      </c>
      <c r="Q14" s="407">
        <v>1.22</v>
      </c>
      <c r="R14" s="407">
        <v>11.1</v>
      </c>
      <c r="S14" s="407">
        <v>0.41199999999999998</v>
      </c>
    </row>
    <row r="15" spans="1:255" x14ac:dyDescent="0.2">
      <c r="A15" s="409" t="s">
        <v>657</v>
      </c>
      <c r="B15" s="407">
        <v>16814.5</v>
      </c>
      <c r="C15" s="408" t="s">
        <v>656</v>
      </c>
      <c r="D15" s="407">
        <v>279</v>
      </c>
      <c r="E15" s="407">
        <v>1767.3</v>
      </c>
      <c r="F15" s="407">
        <v>528.20000000000005</v>
      </c>
      <c r="G15" s="407">
        <v>726.4</v>
      </c>
      <c r="H15" s="407">
        <v>49.4</v>
      </c>
      <c r="I15" s="407">
        <v>41.8</v>
      </c>
      <c r="J15" s="407">
        <v>31.6</v>
      </c>
      <c r="K15" s="407">
        <v>27.7</v>
      </c>
      <c r="L15" s="407">
        <v>307.2</v>
      </c>
      <c r="M15" s="407">
        <v>2987</v>
      </c>
      <c r="N15" s="407">
        <v>623.20000000000005</v>
      </c>
      <c r="O15" s="407">
        <v>2226.3000000000002</v>
      </c>
      <c r="P15" s="407">
        <v>137</v>
      </c>
      <c r="Q15" s="407">
        <v>0.89900000000000002</v>
      </c>
      <c r="R15" s="407">
        <v>18.3</v>
      </c>
      <c r="S15" s="407">
        <v>0.84299999999999997</v>
      </c>
    </row>
  </sheetData>
  <pageMargins left="0.2" right="0.2" top="0.5" bottom="0.5" header="0.5" footer="0.5"/>
  <pageSetup fitToWidth="0" fitToHeight="0" orientation="landscape" horizontalDpi="300" verticalDpi="300"/>
  <headerFooter alignWithMargins="0"/>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0A6F-B08C-466E-894E-25C326BB481A}">
  <sheetPr>
    <outlinePr summaryBelow="0" summaryRight="0"/>
    <pageSetUpPr autoPageBreaks="0"/>
  </sheetPr>
  <dimension ref="A6:A12"/>
  <sheetViews>
    <sheetView zoomScaleNormal="100" workbookViewId="0">
      <selection activeCell="V10" sqref="V10"/>
    </sheetView>
  </sheetViews>
  <sheetFormatPr defaultColWidth="8.88671875" defaultRowHeight="10.199999999999999" x14ac:dyDescent="0.2"/>
  <cols>
    <col min="1" max="1" width="69.88671875" style="406" customWidth="1"/>
    <col min="2" max="2" width="9.33203125" style="406" customWidth="1"/>
    <col min="3" max="256" width="9.109375" style="406"/>
    <col min="257" max="257" width="69.88671875" style="406" customWidth="1"/>
    <col min="258" max="258" width="9.33203125" style="406" customWidth="1"/>
    <col min="259" max="512" width="9.109375" style="406"/>
    <col min="513" max="513" width="69.88671875" style="406" customWidth="1"/>
    <col min="514" max="514" width="9.33203125" style="406" customWidth="1"/>
    <col min="515" max="768" width="9.109375" style="406"/>
    <col min="769" max="769" width="69.88671875" style="406" customWidth="1"/>
    <col min="770" max="770" width="9.33203125" style="406" customWidth="1"/>
    <col min="771" max="1024" width="9.109375" style="406"/>
    <col min="1025" max="1025" width="69.88671875" style="406" customWidth="1"/>
    <col min="1026" max="1026" width="9.33203125" style="406" customWidth="1"/>
    <col min="1027" max="1280" width="9.109375" style="406"/>
    <col min="1281" max="1281" width="69.88671875" style="406" customWidth="1"/>
    <col min="1282" max="1282" width="9.33203125" style="406" customWidth="1"/>
    <col min="1283" max="1536" width="9.109375" style="406"/>
    <col min="1537" max="1537" width="69.88671875" style="406" customWidth="1"/>
    <col min="1538" max="1538" width="9.33203125" style="406" customWidth="1"/>
    <col min="1539" max="1792" width="9.109375" style="406"/>
    <col min="1793" max="1793" width="69.88671875" style="406" customWidth="1"/>
    <col min="1794" max="1794" width="9.33203125" style="406" customWidth="1"/>
    <col min="1795" max="2048" width="9.109375" style="406"/>
    <col min="2049" max="2049" width="69.88671875" style="406" customWidth="1"/>
    <col min="2050" max="2050" width="9.33203125" style="406" customWidth="1"/>
    <col min="2051" max="2304" width="9.109375" style="406"/>
    <col min="2305" max="2305" width="69.88671875" style="406" customWidth="1"/>
    <col min="2306" max="2306" width="9.33203125" style="406" customWidth="1"/>
    <col min="2307" max="2560" width="9.109375" style="406"/>
    <col min="2561" max="2561" width="69.88671875" style="406" customWidth="1"/>
    <col min="2562" max="2562" width="9.33203125" style="406" customWidth="1"/>
    <col min="2563" max="2816" width="9.109375" style="406"/>
    <col min="2817" max="2817" width="69.88671875" style="406" customWidth="1"/>
    <col min="2818" max="2818" width="9.33203125" style="406" customWidth="1"/>
    <col min="2819" max="3072" width="9.109375" style="406"/>
    <col min="3073" max="3073" width="69.88671875" style="406" customWidth="1"/>
    <col min="3074" max="3074" width="9.33203125" style="406" customWidth="1"/>
    <col min="3075" max="3328" width="9.109375" style="406"/>
    <col min="3329" max="3329" width="69.88671875" style="406" customWidth="1"/>
    <col min="3330" max="3330" width="9.33203125" style="406" customWidth="1"/>
    <col min="3331" max="3584" width="9.109375" style="406"/>
    <col min="3585" max="3585" width="69.88671875" style="406" customWidth="1"/>
    <col min="3586" max="3586" width="9.33203125" style="406" customWidth="1"/>
    <col min="3587" max="3840" width="9.109375" style="406"/>
    <col min="3841" max="3841" width="69.88671875" style="406" customWidth="1"/>
    <col min="3842" max="3842" width="9.33203125" style="406" customWidth="1"/>
    <col min="3843" max="4096" width="9.109375" style="406"/>
    <col min="4097" max="4097" width="69.88671875" style="406" customWidth="1"/>
    <col min="4098" max="4098" width="9.33203125" style="406" customWidth="1"/>
    <col min="4099" max="4352" width="9.109375" style="406"/>
    <col min="4353" max="4353" width="69.88671875" style="406" customWidth="1"/>
    <col min="4354" max="4354" width="9.33203125" style="406" customWidth="1"/>
    <col min="4355" max="4608" width="9.109375" style="406"/>
    <col min="4609" max="4609" width="69.88671875" style="406" customWidth="1"/>
    <col min="4610" max="4610" width="9.33203125" style="406" customWidth="1"/>
    <col min="4611" max="4864" width="9.109375" style="406"/>
    <col min="4865" max="4865" width="69.88671875" style="406" customWidth="1"/>
    <col min="4866" max="4866" width="9.33203125" style="406" customWidth="1"/>
    <col min="4867" max="5120" width="9.109375" style="406"/>
    <col min="5121" max="5121" width="69.88671875" style="406" customWidth="1"/>
    <col min="5122" max="5122" width="9.33203125" style="406" customWidth="1"/>
    <col min="5123" max="5376" width="9.109375" style="406"/>
    <col min="5377" max="5377" width="69.88671875" style="406" customWidth="1"/>
    <col min="5378" max="5378" width="9.33203125" style="406" customWidth="1"/>
    <col min="5379" max="5632" width="9.109375" style="406"/>
    <col min="5633" max="5633" width="69.88671875" style="406" customWidth="1"/>
    <col min="5634" max="5634" width="9.33203125" style="406" customWidth="1"/>
    <col min="5635" max="5888" width="9.109375" style="406"/>
    <col min="5889" max="5889" width="69.88671875" style="406" customWidth="1"/>
    <col min="5890" max="5890" width="9.33203125" style="406" customWidth="1"/>
    <col min="5891" max="6144" width="9.109375" style="406"/>
    <col min="6145" max="6145" width="69.88671875" style="406" customWidth="1"/>
    <col min="6146" max="6146" width="9.33203125" style="406" customWidth="1"/>
    <col min="6147" max="6400" width="9.109375" style="406"/>
    <col min="6401" max="6401" width="69.88671875" style="406" customWidth="1"/>
    <col min="6402" max="6402" width="9.33203125" style="406" customWidth="1"/>
    <col min="6403" max="6656" width="9.109375" style="406"/>
    <col min="6657" max="6657" width="69.88671875" style="406" customWidth="1"/>
    <col min="6658" max="6658" width="9.33203125" style="406" customWidth="1"/>
    <col min="6659" max="6912" width="9.109375" style="406"/>
    <col min="6913" max="6913" width="69.88671875" style="406" customWidth="1"/>
    <col min="6914" max="6914" width="9.33203125" style="406" customWidth="1"/>
    <col min="6915" max="7168" width="9.109375" style="406"/>
    <col min="7169" max="7169" width="69.88671875" style="406" customWidth="1"/>
    <col min="7170" max="7170" width="9.33203125" style="406" customWidth="1"/>
    <col min="7171" max="7424" width="9.109375" style="406"/>
    <col min="7425" max="7425" width="69.88671875" style="406" customWidth="1"/>
    <col min="7426" max="7426" width="9.33203125" style="406" customWidth="1"/>
    <col min="7427" max="7680" width="9.109375" style="406"/>
    <col min="7681" max="7681" width="69.88671875" style="406" customWidth="1"/>
    <col min="7682" max="7682" width="9.33203125" style="406" customWidth="1"/>
    <col min="7683" max="7936" width="9.109375" style="406"/>
    <col min="7937" max="7937" width="69.88671875" style="406" customWidth="1"/>
    <col min="7938" max="7938" width="9.33203125" style="406" customWidth="1"/>
    <col min="7939" max="8192" width="9.109375" style="406"/>
    <col min="8193" max="8193" width="69.88671875" style="406" customWidth="1"/>
    <col min="8194" max="8194" width="9.33203125" style="406" customWidth="1"/>
    <col min="8195" max="8448" width="9.109375" style="406"/>
    <col min="8449" max="8449" width="69.88671875" style="406" customWidth="1"/>
    <col min="8450" max="8450" width="9.33203125" style="406" customWidth="1"/>
    <col min="8451" max="8704" width="9.109375" style="406"/>
    <col min="8705" max="8705" width="69.88671875" style="406" customWidth="1"/>
    <col min="8706" max="8706" width="9.33203125" style="406" customWidth="1"/>
    <col min="8707" max="8960" width="9.109375" style="406"/>
    <col min="8961" max="8961" width="69.88671875" style="406" customWidth="1"/>
    <col min="8962" max="8962" width="9.33203125" style="406" customWidth="1"/>
    <col min="8963" max="9216" width="9.109375" style="406"/>
    <col min="9217" max="9217" width="69.88671875" style="406" customWidth="1"/>
    <col min="9218" max="9218" width="9.33203125" style="406" customWidth="1"/>
    <col min="9219" max="9472" width="9.109375" style="406"/>
    <col min="9473" max="9473" width="69.88671875" style="406" customWidth="1"/>
    <col min="9474" max="9474" width="9.33203125" style="406" customWidth="1"/>
    <col min="9475" max="9728" width="9.109375" style="406"/>
    <col min="9729" max="9729" width="69.88671875" style="406" customWidth="1"/>
    <col min="9730" max="9730" width="9.33203125" style="406" customWidth="1"/>
    <col min="9731" max="9984" width="9.109375" style="406"/>
    <col min="9985" max="9985" width="69.88671875" style="406" customWidth="1"/>
    <col min="9986" max="9986" width="9.33203125" style="406" customWidth="1"/>
    <col min="9987" max="10240" width="9.109375" style="406"/>
    <col min="10241" max="10241" width="69.88671875" style="406" customWidth="1"/>
    <col min="10242" max="10242" width="9.33203125" style="406" customWidth="1"/>
    <col min="10243" max="10496" width="9.109375" style="406"/>
    <col min="10497" max="10497" width="69.88671875" style="406" customWidth="1"/>
    <col min="10498" max="10498" width="9.33203125" style="406" customWidth="1"/>
    <col min="10499" max="10752" width="9.109375" style="406"/>
    <col min="10753" max="10753" width="69.88671875" style="406" customWidth="1"/>
    <col min="10754" max="10754" width="9.33203125" style="406" customWidth="1"/>
    <col min="10755" max="11008" width="9.109375" style="406"/>
    <col min="11009" max="11009" width="69.88671875" style="406" customWidth="1"/>
    <col min="11010" max="11010" width="9.33203125" style="406" customWidth="1"/>
    <col min="11011" max="11264" width="9.109375" style="406"/>
    <col min="11265" max="11265" width="69.88671875" style="406" customWidth="1"/>
    <col min="11266" max="11266" width="9.33203125" style="406" customWidth="1"/>
    <col min="11267" max="11520" width="9.109375" style="406"/>
    <col min="11521" max="11521" width="69.88671875" style="406" customWidth="1"/>
    <col min="11522" max="11522" width="9.33203125" style="406" customWidth="1"/>
    <col min="11523" max="11776" width="9.109375" style="406"/>
    <col min="11777" max="11777" width="69.88671875" style="406" customWidth="1"/>
    <col min="11778" max="11778" width="9.33203125" style="406" customWidth="1"/>
    <col min="11779" max="12032" width="9.109375" style="406"/>
    <col min="12033" max="12033" width="69.88671875" style="406" customWidth="1"/>
    <col min="12034" max="12034" width="9.33203125" style="406" customWidth="1"/>
    <col min="12035" max="12288" width="9.109375" style="406"/>
    <col min="12289" max="12289" width="69.88671875" style="406" customWidth="1"/>
    <col min="12290" max="12290" width="9.33203125" style="406" customWidth="1"/>
    <col min="12291" max="12544" width="9.109375" style="406"/>
    <col min="12545" max="12545" width="69.88671875" style="406" customWidth="1"/>
    <col min="12546" max="12546" width="9.33203125" style="406" customWidth="1"/>
    <col min="12547" max="12800" width="9.109375" style="406"/>
    <col min="12801" max="12801" width="69.88671875" style="406" customWidth="1"/>
    <col min="12802" max="12802" width="9.33203125" style="406" customWidth="1"/>
    <col min="12803" max="13056" width="9.109375" style="406"/>
    <col min="13057" max="13057" width="69.88671875" style="406" customWidth="1"/>
    <col min="13058" max="13058" width="9.33203125" style="406" customWidth="1"/>
    <col min="13059" max="13312" width="9.109375" style="406"/>
    <col min="13313" max="13313" width="69.88671875" style="406" customWidth="1"/>
    <col min="13314" max="13314" width="9.33203125" style="406" customWidth="1"/>
    <col min="13315" max="13568" width="9.109375" style="406"/>
    <col min="13569" max="13569" width="69.88671875" style="406" customWidth="1"/>
    <col min="13570" max="13570" width="9.33203125" style="406" customWidth="1"/>
    <col min="13571" max="13824" width="9.109375" style="406"/>
    <col min="13825" max="13825" width="69.88671875" style="406" customWidth="1"/>
    <col min="13826" max="13826" width="9.33203125" style="406" customWidth="1"/>
    <col min="13827" max="14080" width="9.109375" style="406"/>
    <col min="14081" max="14081" width="69.88671875" style="406" customWidth="1"/>
    <col min="14082" max="14082" width="9.33203125" style="406" customWidth="1"/>
    <col min="14083" max="14336" width="9.109375" style="406"/>
    <col min="14337" max="14337" width="69.88671875" style="406" customWidth="1"/>
    <col min="14338" max="14338" width="9.33203125" style="406" customWidth="1"/>
    <col min="14339" max="14592" width="9.109375" style="406"/>
    <col min="14593" max="14593" width="69.88671875" style="406" customWidth="1"/>
    <col min="14594" max="14594" width="9.33203125" style="406" customWidth="1"/>
    <col min="14595" max="14848" width="9.109375" style="406"/>
    <col min="14849" max="14849" width="69.88671875" style="406" customWidth="1"/>
    <col min="14850" max="14850" width="9.33203125" style="406" customWidth="1"/>
    <col min="14851" max="15104" width="9.109375" style="406"/>
    <col min="15105" max="15105" width="69.88671875" style="406" customWidth="1"/>
    <col min="15106" max="15106" width="9.33203125" style="406" customWidth="1"/>
    <col min="15107" max="15360" width="9.109375" style="406"/>
    <col min="15361" max="15361" width="69.88671875" style="406" customWidth="1"/>
    <col min="15362" max="15362" width="9.33203125" style="406" customWidth="1"/>
    <col min="15363" max="15616" width="9.109375" style="406"/>
    <col min="15617" max="15617" width="69.88671875" style="406" customWidth="1"/>
    <col min="15618" max="15618" width="9.33203125" style="406" customWidth="1"/>
    <col min="15619" max="15872" width="9.109375" style="406"/>
    <col min="15873" max="15873" width="69.88671875" style="406" customWidth="1"/>
    <col min="15874" max="15874" width="9.33203125" style="406" customWidth="1"/>
    <col min="15875" max="16128" width="9.109375" style="406"/>
    <col min="16129" max="16129" width="69.88671875" style="406" customWidth="1"/>
    <col min="16130" max="16130" width="9.33203125" style="406" customWidth="1"/>
    <col min="16131" max="16384" width="9.109375" style="406"/>
  </cols>
  <sheetData>
    <row r="6" spans="1:1" ht="16.5" customHeight="1" x14ac:dyDescent="0.25">
      <c r="A6" s="414" t="s">
        <v>1126</v>
      </c>
    </row>
    <row r="8" spans="1:1" ht="12" x14ac:dyDescent="0.35">
      <c r="A8" s="416" t="s">
        <v>663</v>
      </c>
    </row>
    <row r="9" spans="1:1" x14ac:dyDescent="0.2">
      <c r="A9" s="415" t="s">
        <v>1180</v>
      </c>
    </row>
    <row r="10" spans="1:1" x14ac:dyDescent="0.2">
      <c r="A10" s="415" t="s">
        <v>1181</v>
      </c>
    </row>
    <row r="11" spans="1:1" x14ac:dyDescent="0.2">
      <c r="A11" s="415" t="s">
        <v>1182</v>
      </c>
    </row>
    <row r="12" spans="1:1" x14ac:dyDescent="0.2">
      <c r="A12" s="415" t="s">
        <v>1183</v>
      </c>
    </row>
  </sheetData>
  <pageMargins left="0.2" right="0.2" top="0.5" bottom="0.5" header="0.5" footer="0.5"/>
  <pageSetup fitToWidth="0" fitToHeight="0" orientation="landscape"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410</vt:i4>
      </vt:variant>
    </vt:vector>
  </HeadingPairs>
  <TitlesOfParts>
    <vt:vector size="436" baseType="lpstr">
      <vt:lpstr>Cover</vt:lpstr>
      <vt:lpstr>Contents</vt:lpstr>
      <vt:lpstr>Scenarios</vt:lpstr>
      <vt:lpstr>Support</vt:lpstr>
      <vt:lpstr>Inputs</vt:lpstr>
      <vt:lpstr>IS</vt:lpstr>
      <vt:lpstr>BS</vt:lpstr>
      <vt:lpstr>CF</vt:lpstr>
      <vt:lpstr>Highlights</vt:lpstr>
      <vt:lpstr>Assets Liability</vt:lpstr>
      <vt:lpstr>Revenue &amp; Costs</vt:lpstr>
      <vt:lpstr>Equity</vt:lpstr>
      <vt:lpstr>Financing</vt:lpstr>
      <vt:lpstr>Act IS</vt:lpstr>
      <vt:lpstr>Act BS</vt:lpstr>
      <vt:lpstr>Act CF</vt:lpstr>
      <vt:lpstr>Valuation &gt;</vt:lpstr>
      <vt:lpstr>Val - Income Approach</vt:lpstr>
      <vt:lpstr>WACC </vt:lpstr>
      <vt:lpstr>Valuation Summary</vt:lpstr>
      <vt:lpstr>Reporting Results</vt:lpstr>
      <vt:lpstr>Output</vt:lpstr>
      <vt:lpstr>Screening Enhanced</vt:lpstr>
      <vt:lpstr>Screening</vt:lpstr>
      <vt:lpstr>Aggregates</vt:lpstr>
      <vt:lpstr>Screen Criteria</vt:lpstr>
      <vt:lpstr>_31_12_2020</vt:lpstr>
      <vt:lpstr>Act_BS_Acc_Amort</vt:lpstr>
      <vt:lpstr>Act_BS_Additional_Capital</vt:lpstr>
      <vt:lpstr>Act_BS_Cash</vt:lpstr>
      <vt:lpstr>Act_BS_Contract_Assets</vt:lpstr>
      <vt:lpstr>Act_BS_Contract_Liabilities_Current</vt:lpstr>
      <vt:lpstr>Act_BS_Contract_Liabilities_Non_Current</vt:lpstr>
      <vt:lpstr>Act_BS_Cur_Investments</vt:lpstr>
      <vt:lpstr>Act_BS_Debt_Current</vt:lpstr>
      <vt:lpstr>Act_BS_Debt_LT1</vt:lpstr>
      <vt:lpstr>Act_BS_Debt_LT2</vt:lpstr>
      <vt:lpstr>Act_BS_Debt_LT3</vt:lpstr>
      <vt:lpstr>Act_BS_Debt_LT4</vt:lpstr>
      <vt:lpstr>Act_BS_Debt_Non_Current</vt:lpstr>
      <vt:lpstr>Act_BS_Deferred_Income_Current</vt:lpstr>
      <vt:lpstr>Act_BS_Deferred_Income_Non_Current</vt:lpstr>
      <vt:lpstr>Act_BS_Deferred_Tax</vt:lpstr>
      <vt:lpstr>Act_BS_Goodwill</vt:lpstr>
      <vt:lpstr>Act_BS_Intangible</vt:lpstr>
      <vt:lpstr>Act_BS_Intangible_Cost</vt:lpstr>
      <vt:lpstr>Act_BS_Inventories</vt:lpstr>
      <vt:lpstr>Act_BS_Lease_Current</vt:lpstr>
      <vt:lpstr>Act_BS_Lease_Non_Current</vt:lpstr>
      <vt:lpstr>Act_BS_LT_Investments</vt:lpstr>
      <vt:lpstr>Act_BS_Non_Cur_Tax_Rec</vt:lpstr>
      <vt:lpstr>Act_BS_Other_Curr_FA</vt:lpstr>
      <vt:lpstr>Act_BS_Other_FA_Current</vt:lpstr>
      <vt:lpstr>Act_BS_Other_FA_Non_Current</vt:lpstr>
      <vt:lpstr>Act_BS_Other_FA_NonCur</vt:lpstr>
      <vt:lpstr>Act_BS_Other_NonCur_Assets</vt:lpstr>
      <vt:lpstr>Act_BS_Other_NonCurrent_Assets</vt:lpstr>
      <vt:lpstr>Act_BS_Other_Receivables</vt:lpstr>
      <vt:lpstr>Act_BS_Payables</vt:lpstr>
      <vt:lpstr>Act_BS_PPE</vt:lpstr>
      <vt:lpstr>Act_BS_PPE_Acc_Dep</vt:lpstr>
      <vt:lpstr>Act_BS_PPE_Cost</vt:lpstr>
      <vt:lpstr>Act_BS_Prepaid_Expenses</vt:lpstr>
      <vt:lpstr>Act_BS_Provisions_Current</vt:lpstr>
      <vt:lpstr>Act_BS_Provisions_Non_Current</vt:lpstr>
      <vt:lpstr>Act_BS_Retained_Reserves</vt:lpstr>
      <vt:lpstr>Act_BS_Share_Capital</vt:lpstr>
      <vt:lpstr>Act_BS_Tax_Deferred</vt:lpstr>
      <vt:lpstr>Act_BS_Tax_Payable</vt:lpstr>
      <vt:lpstr>Act_BS_Tax_Receivables</vt:lpstr>
      <vt:lpstr>Act_BS_Trade_Receivables</vt:lpstr>
      <vt:lpstr>Act_CF_Beginning_Cash</vt:lpstr>
      <vt:lpstr>Act_CF_Capital</vt:lpstr>
      <vt:lpstr>Act_CF_Capital_Expenditure</vt:lpstr>
      <vt:lpstr>Act_CF_Capital_Expenditure_Intangibles</vt:lpstr>
      <vt:lpstr>Act_CF_Change_Cash</vt:lpstr>
      <vt:lpstr>Act_CF_Contract_Assets</vt:lpstr>
      <vt:lpstr>Act_CF_Contract_Liabilities_Current</vt:lpstr>
      <vt:lpstr>Act_CF_Debt_Proceeds</vt:lpstr>
      <vt:lpstr>Act_CF_Debt_Repayment</vt:lpstr>
      <vt:lpstr>Act_CF_Dividends</vt:lpstr>
      <vt:lpstr>Act_CF_EBITDA</vt:lpstr>
      <vt:lpstr>Act_CF_Ending_Cash</vt:lpstr>
      <vt:lpstr>Act_CF_FCFE</vt:lpstr>
      <vt:lpstr>Act_CF_FCFF</vt:lpstr>
      <vt:lpstr>Act_CF_Finance_Lease</vt:lpstr>
      <vt:lpstr>Act_CF_Interest_Paid</vt:lpstr>
      <vt:lpstr>Act_CF_Inventories</vt:lpstr>
      <vt:lpstr>Act_CF_Investments</vt:lpstr>
      <vt:lpstr>Act_CF_Operating_CF</vt:lpstr>
      <vt:lpstr>Act_CF_Other_NonCurrent_Assets</vt:lpstr>
      <vt:lpstr>Act_CF_Payables</vt:lpstr>
      <vt:lpstr>Act_CF_Prepaid_Expenses</vt:lpstr>
      <vt:lpstr>Act_CF_Provisions_Current</vt:lpstr>
      <vt:lpstr>Act_CF_Receivables</vt:lpstr>
      <vt:lpstr>Act_CF_Tax_Paid</vt:lpstr>
      <vt:lpstr>Act_CF_Working_Capital_Changes</vt:lpstr>
      <vt:lpstr>Act_IS_Amort</vt:lpstr>
      <vt:lpstr>Act_IS_Dep</vt:lpstr>
      <vt:lpstr>Act_IS_Direct_Costs</vt:lpstr>
      <vt:lpstr>Act_IS_EBITDA</vt:lpstr>
      <vt:lpstr>Act_IS_F_Assets</vt:lpstr>
      <vt:lpstr>Act_IS_F_Currency</vt:lpstr>
      <vt:lpstr>Act_IS_GP</vt:lpstr>
      <vt:lpstr>Act_IS_Impairement</vt:lpstr>
      <vt:lpstr>Act_IS_Income_PreTax</vt:lpstr>
      <vt:lpstr>Act_IS_Interest_Expense</vt:lpstr>
      <vt:lpstr>Act_IS_Investment_Income</vt:lpstr>
      <vt:lpstr>Act_IS_Net_Income</vt:lpstr>
      <vt:lpstr>Act_IS_Other_Expenses</vt:lpstr>
      <vt:lpstr>Act_IS_Other_Income</vt:lpstr>
      <vt:lpstr>Act_IS_Other_Income_Bargain</vt:lpstr>
      <vt:lpstr>Act_IS_Other_LT_Investments</vt:lpstr>
      <vt:lpstr>Act_IS_Other_OP_Results</vt:lpstr>
      <vt:lpstr>Act_IS_Other_SOR</vt:lpstr>
      <vt:lpstr>Act_IS_RD</vt:lpstr>
      <vt:lpstr>Act_IS_Revenue</vt:lpstr>
      <vt:lpstr>Act_IS_SGA</vt:lpstr>
      <vt:lpstr>Act_IS_Tax</vt:lpstr>
      <vt:lpstr>Asset_Liability_Change_In_Contract_Current</vt:lpstr>
      <vt:lpstr>Asset_Liability_Change_In_Contract_NonCurrent</vt:lpstr>
      <vt:lpstr>Asset_Liability_Change_In_Contracts</vt:lpstr>
      <vt:lpstr>Asset_Liability_Change_In_Inventory</vt:lpstr>
      <vt:lpstr>Asset_Liability_Change_In_Payables</vt:lpstr>
      <vt:lpstr>Asset_Liability_Change_In_Prepayments</vt:lpstr>
      <vt:lpstr>Asset_Liability_Change_In_Receivables</vt:lpstr>
      <vt:lpstr>Asset_Liability_Change_OCL</vt:lpstr>
      <vt:lpstr>Asset_Liability_Contract_Current</vt:lpstr>
      <vt:lpstr>Asset_Liability_Contract_NonCurrent</vt:lpstr>
      <vt:lpstr>Asset_Liability_Contracts</vt:lpstr>
      <vt:lpstr>Asset_Liability_IA_Amortization_Charge</vt:lpstr>
      <vt:lpstr>Asset_Liability_IA_Capex</vt:lpstr>
      <vt:lpstr>Asset_Liability_IA_Closing_Bal</vt:lpstr>
      <vt:lpstr>Asset_Liability_Inventory</vt:lpstr>
      <vt:lpstr>Asset_Liability_OCL</vt:lpstr>
      <vt:lpstr>Asset_Liability_Payables</vt:lpstr>
      <vt:lpstr>Asset_Liability_PPE_Capex</vt:lpstr>
      <vt:lpstr>Asset_Liability_PPE_Closing_Bal</vt:lpstr>
      <vt:lpstr>Asset_Liability_PPE_Depreciation_Charge</vt:lpstr>
      <vt:lpstr>Asset_Liability_Pre_Payments</vt:lpstr>
      <vt:lpstr>Asset_Liability_Receivables</vt:lpstr>
      <vt:lpstr>BS_Additional_Capital</vt:lpstr>
      <vt:lpstr>BS_Cash</vt:lpstr>
      <vt:lpstr>BS_Contract_Assets</vt:lpstr>
      <vt:lpstr>BS_Contract_Liabilities_Current</vt:lpstr>
      <vt:lpstr>BS_Contract_Liabilities_Non_Current</vt:lpstr>
      <vt:lpstr>BS_Cur_Investments</vt:lpstr>
      <vt:lpstr>BS_Debt_Current</vt:lpstr>
      <vt:lpstr>BS_Debt_Non_Current</vt:lpstr>
      <vt:lpstr>BS_Deferred_Income_Current</vt:lpstr>
      <vt:lpstr>BS_Deferred_Income_Non_Current</vt:lpstr>
      <vt:lpstr>BS_Deferred_Tax</vt:lpstr>
      <vt:lpstr>BS_Equity</vt:lpstr>
      <vt:lpstr>BS_Goodwill</vt:lpstr>
      <vt:lpstr>BS_Intangible</vt:lpstr>
      <vt:lpstr>BS_Inventories</vt:lpstr>
      <vt:lpstr>BS_Lease_Current</vt:lpstr>
      <vt:lpstr>BS_Lease_Non_Current</vt:lpstr>
      <vt:lpstr>BS_LT_Investments</vt:lpstr>
      <vt:lpstr>BS_Non_Cur_Tax_Rec</vt:lpstr>
      <vt:lpstr>BS_Other_Curr_FA</vt:lpstr>
      <vt:lpstr>BS_Other_FA_Current</vt:lpstr>
      <vt:lpstr>BS_Other_FA_Non_Current</vt:lpstr>
      <vt:lpstr>BS_Other_FA_NonCur</vt:lpstr>
      <vt:lpstr>BS_Other_NonCur_Assets</vt:lpstr>
      <vt:lpstr>BS_Other_NonCurrent_Assets</vt:lpstr>
      <vt:lpstr>BS_Other_NonCurrent_Liabilities</vt:lpstr>
      <vt:lpstr>BS_Other_Receivables</vt:lpstr>
      <vt:lpstr>BS_Payables</vt:lpstr>
      <vt:lpstr>BS_PPE</vt:lpstr>
      <vt:lpstr>BS_Prepaid_Expenses</vt:lpstr>
      <vt:lpstr>BS_Provisions_Current</vt:lpstr>
      <vt:lpstr>BS_Provisions_Non_Current</vt:lpstr>
      <vt:lpstr>BS_Retained_Reserves</vt:lpstr>
      <vt:lpstr>BS_Share_Capital</vt:lpstr>
      <vt:lpstr>BS_Tax_Deferred</vt:lpstr>
      <vt:lpstr>BS_Tax_Payable</vt:lpstr>
      <vt:lpstr>BS_Tax_Receivables</vt:lpstr>
      <vt:lpstr>BS_Total_Assets</vt:lpstr>
      <vt:lpstr>BS_Trade_Receivables</vt:lpstr>
      <vt:lpstr>CF_Beginning_Cash</vt:lpstr>
      <vt:lpstr>CF_Capital</vt:lpstr>
      <vt:lpstr>CF_Capital_Expenditure</vt:lpstr>
      <vt:lpstr>CF_Capital_Expenditure_Intangibles</vt:lpstr>
      <vt:lpstr>CF_Change_Cash</vt:lpstr>
      <vt:lpstr>CF_ContrAssets</vt:lpstr>
      <vt:lpstr>CF_ContrLiabilities_Current</vt:lpstr>
      <vt:lpstr>CF_Debt_Proceeds</vt:lpstr>
      <vt:lpstr>CF_Debt_Repayment</vt:lpstr>
      <vt:lpstr>CF_Dividends</vt:lpstr>
      <vt:lpstr>CF_EBITDA</vt:lpstr>
      <vt:lpstr>CF_Ending_Cash</vt:lpstr>
      <vt:lpstr>CF_FCFE</vt:lpstr>
      <vt:lpstr>CF_FCFF</vt:lpstr>
      <vt:lpstr>CF_Finance_Lease</vt:lpstr>
      <vt:lpstr>CF_Interest_Paid</vt:lpstr>
      <vt:lpstr>CF_Inventories</vt:lpstr>
      <vt:lpstr>CF_Investments</vt:lpstr>
      <vt:lpstr>CF_Operating_CF</vt:lpstr>
      <vt:lpstr>CF_Other_Current_Liabilities</vt:lpstr>
      <vt:lpstr>CF_Other_NonCurrent_Assets</vt:lpstr>
      <vt:lpstr>CF_Other_NonCurrent_Liabilities</vt:lpstr>
      <vt:lpstr>CF_Payables</vt:lpstr>
      <vt:lpstr>CF_Prepaid_Expenses</vt:lpstr>
      <vt:lpstr>CF_Provisions_Current</vt:lpstr>
      <vt:lpstr>CF_Receivables</vt:lpstr>
      <vt:lpstr>CF_Tax_Paid</vt:lpstr>
      <vt:lpstr>CF_Working_Capital_Changes</vt:lpstr>
      <vt:lpstr>Costs_Cost_of_Revenue</vt:lpstr>
      <vt:lpstr>Costs_Other_Expense</vt:lpstr>
      <vt:lpstr>Costs_Other_Income</vt:lpstr>
      <vt:lpstr>Costs_R_D</vt:lpstr>
      <vt:lpstr>Costs_SGA</vt:lpstr>
      <vt:lpstr>Equity_Add_Share_Capital_Closing_Bal</vt:lpstr>
      <vt:lpstr>Equity_Add_Share_Capital_Repayment</vt:lpstr>
      <vt:lpstr>Equity_Dividends_Paid</vt:lpstr>
      <vt:lpstr>Equity_Retained_Earnings_Closing_Bal</vt:lpstr>
      <vt:lpstr>Equity_Share_Capital_Closing_Bal</vt:lpstr>
      <vt:lpstr>Finance_Arrangement_Fee</vt:lpstr>
      <vt:lpstr>Finance_Cash_Sweep_Payment</vt:lpstr>
      <vt:lpstr>Finance_Charges</vt:lpstr>
      <vt:lpstr>Finance_Commitment_Fee</vt:lpstr>
      <vt:lpstr>Finance_Drawdown</vt:lpstr>
      <vt:lpstr>Finance_Loans_Current_Portion</vt:lpstr>
      <vt:lpstr>Finance_Loans_Non_Current_Portion</vt:lpstr>
      <vt:lpstr>Finance_Repayment</vt:lpstr>
      <vt:lpstr>Finance_TL1_Arrangement_Fee</vt:lpstr>
      <vt:lpstr>Finance_TL1_Cash_Sweep</vt:lpstr>
      <vt:lpstr>Finance_TL1_Closing_Bal</vt:lpstr>
      <vt:lpstr>Finance_TL1_Commitment_Fee</vt:lpstr>
      <vt:lpstr>Finance_TL1_Current_Portion</vt:lpstr>
      <vt:lpstr>Finance_TL1_Drawdown</vt:lpstr>
      <vt:lpstr>Finance_TL1_Finance_Charges</vt:lpstr>
      <vt:lpstr>Finance_TL1_Non_Current_Portion</vt:lpstr>
      <vt:lpstr>Finance_TL1_Repayment</vt:lpstr>
      <vt:lpstr>Finance_TL1_Total</vt:lpstr>
      <vt:lpstr>Finance_TL2_Arrangement_Fee</vt:lpstr>
      <vt:lpstr>Finance_TL2_Cash_Sweep</vt:lpstr>
      <vt:lpstr>Finance_TL2_Closing_Bal</vt:lpstr>
      <vt:lpstr>Finance_TL2_Commitment_Fee</vt:lpstr>
      <vt:lpstr>Finance_TL2_Current_Portion</vt:lpstr>
      <vt:lpstr>Finance_TL2_Drawdown</vt:lpstr>
      <vt:lpstr>Finance_TL2_Finance_Charges</vt:lpstr>
      <vt:lpstr>Finance_TL2_Non_Current_Portion</vt:lpstr>
      <vt:lpstr>Finance_TL2_Repayment</vt:lpstr>
      <vt:lpstr>Finance_TL2_Total</vt:lpstr>
      <vt:lpstr>Finance_TL3_Arrangement_Fee</vt:lpstr>
      <vt:lpstr>Finance_TL3_Cash_Sweep</vt:lpstr>
      <vt:lpstr>Finance_TL3_Closing_Bal</vt:lpstr>
      <vt:lpstr>Finance_TL3_Commitment_Fee</vt:lpstr>
      <vt:lpstr>Finance_TL3_Current_Portion</vt:lpstr>
      <vt:lpstr>Finance_TL3_Drawdown</vt:lpstr>
      <vt:lpstr>Finance_TL3_Finance_Charges</vt:lpstr>
      <vt:lpstr>Finance_TL3_Non_Current_Portion</vt:lpstr>
      <vt:lpstr>Finance_TL3_Repayment</vt:lpstr>
      <vt:lpstr>Finance_TL3_Total</vt:lpstr>
      <vt:lpstr>Finance_TL4_Arrangement_Fee</vt:lpstr>
      <vt:lpstr>Finance_TL4_Cash_Sweep</vt:lpstr>
      <vt:lpstr>Finance_TL4_Closing_Bal</vt:lpstr>
      <vt:lpstr>Finance_TL4_Commitment_Fee</vt:lpstr>
      <vt:lpstr>Finance_TL4_Current_Portion</vt:lpstr>
      <vt:lpstr>Finance_TL4_Drawdown</vt:lpstr>
      <vt:lpstr>Finance_TL4_Finance_Charges</vt:lpstr>
      <vt:lpstr>Finance_TL4_Non_Current_Portion</vt:lpstr>
      <vt:lpstr>Finance_TL4_Repayment</vt:lpstr>
      <vt:lpstr>Finance_TL4_Total</vt:lpstr>
      <vt:lpstr>Finance_TL5_Arrangement_Fee</vt:lpstr>
      <vt:lpstr>Finance_TL5_Cash_Sweep</vt:lpstr>
      <vt:lpstr>Finance_TL5_Closing_Bal</vt:lpstr>
      <vt:lpstr>Finance_TL5_Commitment_Fee</vt:lpstr>
      <vt:lpstr>Finance_TL5_Current_Portion</vt:lpstr>
      <vt:lpstr>Finance_TL5_Drawdown</vt:lpstr>
      <vt:lpstr>Finance_TL5_Finance_Charges</vt:lpstr>
      <vt:lpstr>Finance_TL5_Non_Current_Portion</vt:lpstr>
      <vt:lpstr>Finance_TL5_Repayment</vt:lpstr>
      <vt:lpstr>Finance_TL5_Total</vt:lpstr>
      <vt:lpstr>Inputs_Basecase_Capex</vt:lpstr>
      <vt:lpstr>Inputs_Basecase_Eurobor</vt:lpstr>
      <vt:lpstr>Inputs_Basecase_Intangible_Additions</vt:lpstr>
      <vt:lpstr>Inputs_Basecase_Intangible_Amortization</vt:lpstr>
      <vt:lpstr>Inputs_Basecase_PPE_Depreciation</vt:lpstr>
      <vt:lpstr>Inputs_Basecase_TL1_Arrangement_Fee</vt:lpstr>
      <vt:lpstr>Inputs_Basecase_TL1_Availability_Start_Date</vt:lpstr>
      <vt:lpstr>Inputs_Basecase_TL1_Cap_Date</vt:lpstr>
      <vt:lpstr>Inputs_Basecase_TL1_Commitment_Fee</vt:lpstr>
      <vt:lpstr>Inputs_Basecase_TL1_Drawdown</vt:lpstr>
      <vt:lpstr>Inputs_Basecase_TL1_Margin</vt:lpstr>
      <vt:lpstr>Inputs_Basecase_TL1_Maximum_Facility</vt:lpstr>
      <vt:lpstr>Inputs_Basecase_TL1_Months_Oustanding</vt:lpstr>
      <vt:lpstr>Inputs_Basecase_TL1_Repayment_Principal</vt:lpstr>
      <vt:lpstr>Inputs_Basecase_TL2_Arrangement_Fee</vt:lpstr>
      <vt:lpstr>Inputs_Basecase_TL2_Availability_Start_Date</vt:lpstr>
      <vt:lpstr>Inputs_Basecase_TL2_Cap_Date</vt:lpstr>
      <vt:lpstr>Inputs_Basecase_TL2_Commitment_Fee</vt:lpstr>
      <vt:lpstr>Inputs_Basecase_TL2_Drawdown</vt:lpstr>
      <vt:lpstr>Inputs_Basecase_TL2_Margin</vt:lpstr>
      <vt:lpstr>Inputs_Basecase_TL2_Maximum_Facility</vt:lpstr>
      <vt:lpstr>Inputs_Basecase_TL2_Months_Oustanding</vt:lpstr>
      <vt:lpstr>Inputs_Basecase_TL2_Repayment_Principal</vt:lpstr>
      <vt:lpstr>Inputs_Basecase_TL3_Arrangement_Fee</vt:lpstr>
      <vt:lpstr>Inputs_Basecase_TL3_Availability_Start_Date</vt:lpstr>
      <vt:lpstr>Inputs_Basecase_TL3_Cap_Date</vt:lpstr>
      <vt:lpstr>Inputs_Basecase_TL3_Commitment_Fee</vt:lpstr>
      <vt:lpstr>Inputs_Basecase_TL3_Drawdown</vt:lpstr>
      <vt:lpstr>Inputs_Basecase_TL3_Margin</vt:lpstr>
      <vt:lpstr>Inputs_Basecase_TL3_Maximum_Facility</vt:lpstr>
      <vt:lpstr>Inputs_Basecase_TL3_Months_Oustanding</vt:lpstr>
      <vt:lpstr>Inputs_Basecase_TL3_Repayment_Principal</vt:lpstr>
      <vt:lpstr>Inputs_Basecase_TL4_Arrangement_Fee</vt:lpstr>
      <vt:lpstr>Inputs_Basecase_TL4_Availability_Start_Date</vt:lpstr>
      <vt:lpstr>Inputs_Basecase_TL4_Cap_Date</vt:lpstr>
      <vt:lpstr>Inputs_Basecase_TL4_Commitment_Fee</vt:lpstr>
      <vt:lpstr>Inputs_Basecase_TL4_Drawdown</vt:lpstr>
      <vt:lpstr>Inputs_Basecase_TL4_Margin</vt:lpstr>
      <vt:lpstr>Inputs_Basecase_TL4_Maximum_Facility</vt:lpstr>
      <vt:lpstr>Inputs_Basecase_TL4_Months_Oustanding</vt:lpstr>
      <vt:lpstr>Inputs_Basecase_TL4_Repayment_Principal</vt:lpstr>
      <vt:lpstr>Inputs_Basecase_TL5_Arrangement_Fee</vt:lpstr>
      <vt:lpstr>Inputs_Basecase_TL5_Availability_Start_Date</vt:lpstr>
      <vt:lpstr>Inputs_Basecase_TL5_Cap_Date</vt:lpstr>
      <vt:lpstr>Inputs_Basecase_TL5_Commitment_Fee</vt:lpstr>
      <vt:lpstr>Inputs_Basecase_TL5_Drawdown</vt:lpstr>
      <vt:lpstr>Inputs_Basecase_TL5_Margin</vt:lpstr>
      <vt:lpstr>Inputs_Basecase_TL5_Maximum_Facility</vt:lpstr>
      <vt:lpstr>Inputs_Basecase_TL5_Months_Oustanding</vt:lpstr>
      <vt:lpstr>Inputs_Basecase_TL5_Repayment_Principal</vt:lpstr>
      <vt:lpstr>Inputs_Contract_Current_Days</vt:lpstr>
      <vt:lpstr>Inputs_Contract_Days</vt:lpstr>
      <vt:lpstr>Inputs_Contract_NonCurrent_Days</vt:lpstr>
      <vt:lpstr>Inputs_Costs_COR</vt:lpstr>
      <vt:lpstr>Inputs_Costs_Other_Expense</vt:lpstr>
      <vt:lpstr>Inputs_Costs_Other_Income</vt:lpstr>
      <vt:lpstr>Inputs_Costs_RD</vt:lpstr>
      <vt:lpstr>Inputs_Costs_SGA</vt:lpstr>
      <vt:lpstr>Inputs_Inventory_Days</vt:lpstr>
      <vt:lpstr>Inputs_OCL_Days</vt:lpstr>
      <vt:lpstr>Inputs_Payables_Days</vt:lpstr>
      <vt:lpstr>Inputs_Prepaid_Days</vt:lpstr>
      <vt:lpstr>Inputs_Proposed_Dividends</vt:lpstr>
      <vt:lpstr>Inputs_Receivables_Days</vt:lpstr>
      <vt:lpstr>Inputs_Rev_Exc_FTE</vt:lpstr>
      <vt:lpstr>Inputs_Rev_Exc_Licence</vt:lpstr>
      <vt:lpstr>Inputs_Rev_Exc_Milestone</vt:lpstr>
      <vt:lpstr>Inputs_Rev_Exc_Recharges</vt:lpstr>
      <vt:lpstr>Inputs_Rev_Exc_Tech</vt:lpstr>
      <vt:lpstr>Inputs_Rev_Group_Transition</vt:lpstr>
      <vt:lpstr>Inputs_Rev_Inno_FTE</vt:lpstr>
      <vt:lpstr>Inputs_Rev_Inno_Licence</vt:lpstr>
      <vt:lpstr>Inputs_Rev_Inno_Milestone</vt:lpstr>
      <vt:lpstr>Inputs_Rev_Inno_Recharges</vt:lpstr>
      <vt:lpstr>Inputs_Rev_Inno_Tech</vt:lpstr>
      <vt:lpstr>Inputs_Tax_Rate</vt:lpstr>
      <vt:lpstr>Inputs_Thousand</vt:lpstr>
      <vt:lpstr>Inputs_TL10_Arrangement_Fee</vt:lpstr>
      <vt:lpstr>Inputs_TL10_Availability_Start_Date</vt:lpstr>
      <vt:lpstr>Inputs_TL10_Cap_Date</vt:lpstr>
      <vt:lpstr>Inputs_TL10_Commitment_Fee</vt:lpstr>
      <vt:lpstr>Inputs_TL10_Drawdown</vt:lpstr>
      <vt:lpstr>Inputs_TL10_Margin</vt:lpstr>
      <vt:lpstr>Inputs_TL10_Maximum_Facility</vt:lpstr>
      <vt:lpstr>Inputs_TL10_Months_Oustanding</vt:lpstr>
      <vt:lpstr>Inputs_TL10_Repayment</vt:lpstr>
      <vt:lpstr>Inputs_TL11_Arrangement_Fee</vt:lpstr>
      <vt:lpstr>Inputs_TL11_Availability_Start_Date</vt:lpstr>
      <vt:lpstr>Inputs_TL11_Cap_Date</vt:lpstr>
      <vt:lpstr>Inputs_TL11_Commitment_Fee</vt:lpstr>
      <vt:lpstr>Inputs_TL11_Drawdown</vt:lpstr>
      <vt:lpstr>Inputs_TL11_Margin</vt:lpstr>
      <vt:lpstr>Inputs_TL11_Maximum_Facility</vt:lpstr>
      <vt:lpstr>Inputs_TL11_Months_Oustanding</vt:lpstr>
      <vt:lpstr>Inputs_TL11_Repayment_Principal</vt:lpstr>
      <vt:lpstr>Inputs_TL6_Arrangement_Fee</vt:lpstr>
      <vt:lpstr>Inputs_TL6_Availability_Start_Date</vt:lpstr>
      <vt:lpstr>Inputs_TL6_Cap_Date</vt:lpstr>
      <vt:lpstr>Inputs_TL6_Commitment_Fee</vt:lpstr>
      <vt:lpstr>Inputs_TL6_Drawdown</vt:lpstr>
      <vt:lpstr>Inputs_TL6_Margin</vt:lpstr>
      <vt:lpstr>Inputs_TL6_Maximum_Facility</vt:lpstr>
      <vt:lpstr>Inputs_TL6_Months_Oustanding</vt:lpstr>
      <vt:lpstr>Inputs_TL6_Repayment</vt:lpstr>
      <vt:lpstr>Inputs_TL7_Arrangement_Fee</vt:lpstr>
      <vt:lpstr>Inputs_TL7_Availability_Start_Date</vt:lpstr>
      <vt:lpstr>Inputs_TL7_Cap_Date</vt:lpstr>
      <vt:lpstr>Inputs_TL7_Commitment_Fee</vt:lpstr>
      <vt:lpstr>Inputs_TL7_Drawdown</vt:lpstr>
      <vt:lpstr>Inputs_TL7_Margin</vt:lpstr>
      <vt:lpstr>Inputs_TL7_Maximum_Facility</vt:lpstr>
      <vt:lpstr>Inputs_TL7_Months_Oustanding</vt:lpstr>
      <vt:lpstr>Inputs_TL7_Repayment</vt:lpstr>
      <vt:lpstr>Inputs_TL8_Arrangement_Fee</vt:lpstr>
      <vt:lpstr>Inputs_TL8_Availability_Start_Date</vt:lpstr>
      <vt:lpstr>Inputs_TL8_Cap_Date</vt:lpstr>
      <vt:lpstr>Inputs_TL8_Commitment_Fee</vt:lpstr>
      <vt:lpstr>Inputs_TL8_Drawdown</vt:lpstr>
      <vt:lpstr>Inputs_TL8_Margin</vt:lpstr>
      <vt:lpstr>Inputs_TL8_Maximum_Facility</vt:lpstr>
      <vt:lpstr>Inputs_TL8_Months_Oustanding</vt:lpstr>
      <vt:lpstr>Inputs_TL8_Repayment</vt:lpstr>
      <vt:lpstr>Inputs_TL9_Arrangement_Fee</vt:lpstr>
      <vt:lpstr>Inputs_TL9_Availability_Start_Date</vt:lpstr>
      <vt:lpstr>Inputs_TL9_Cap_Date</vt:lpstr>
      <vt:lpstr>Inputs_TL9_Commitment_Fee</vt:lpstr>
      <vt:lpstr>Inputs_TL9_Margin</vt:lpstr>
      <vt:lpstr>Inputs_TL9_Maximum_Facility</vt:lpstr>
      <vt:lpstr>Inputs_TL9_Months_Oustanding</vt:lpstr>
      <vt:lpstr>IS_Amort</vt:lpstr>
      <vt:lpstr>IS_Dep</vt:lpstr>
      <vt:lpstr>IS_Direct_Costs</vt:lpstr>
      <vt:lpstr>IS_EBITDA</vt:lpstr>
      <vt:lpstr>IS_F_Assets</vt:lpstr>
      <vt:lpstr>IS_F_Currency</vt:lpstr>
      <vt:lpstr>IS_GP</vt:lpstr>
      <vt:lpstr>IS_Impairement</vt:lpstr>
      <vt:lpstr>IS_Income_PreTax</vt:lpstr>
      <vt:lpstr>IS_Interest_Expense</vt:lpstr>
      <vt:lpstr>IS_Investment_Income</vt:lpstr>
      <vt:lpstr>IS_Net_Income</vt:lpstr>
      <vt:lpstr>IS_Other_Expenses</vt:lpstr>
      <vt:lpstr>IS_Other_Income</vt:lpstr>
      <vt:lpstr>IS_Other_Income_Bargain</vt:lpstr>
      <vt:lpstr>IS_Other_LT_Investments</vt:lpstr>
      <vt:lpstr>IS_Other_OP_Results</vt:lpstr>
      <vt:lpstr>IS_Other_SOR</vt:lpstr>
      <vt:lpstr>IS_R_D</vt:lpstr>
      <vt:lpstr>IS_Revenue</vt:lpstr>
      <vt:lpstr>IS_SGA</vt:lpstr>
      <vt:lpstr>IS_Tax</vt:lpstr>
      <vt:lpstr>Contents!Print_Area</vt:lpstr>
      <vt:lpstr>Cover!Print_Area</vt:lpstr>
      <vt:lpstr>Scenarios!Print_Area</vt:lpstr>
      <vt:lpstr>Aggregates!Print_Titles</vt:lpstr>
      <vt:lpstr>'Screen Criteria'!Print_Titles</vt:lpstr>
      <vt:lpstr>Screening!Print_Titles</vt:lpstr>
      <vt:lpstr>Range</vt:lpstr>
      <vt:lpstr>Revenue_Total_Revenue</vt:lpstr>
      <vt:lpstr>Support_Date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AlYahya</dc:creator>
  <cp:lastModifiedBy>DELL</cp:lastModifiedBy>
  <cp:lastPrinted>2022-03-06T07:04:49Z</cp:lastPrinted>
  <dcterms:created xsi:type="dcterms:W3CDTF">2019-02-21T13:24:34Z</dcterms:created>
  <dcterms:modified xsi:type="dcterms:W3CDTF">2022-06-18T09:24:46Z</dcterms:modified>
</cp:coreProperties>
</file>