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A.Ouf\Work-Flow &amp; ERP\Presentation\"/>
    </mc:Choice>
  </mc:AlternateContent>
  <xr:revisionPtr revIDLastSave="0" documentId="13_ncr:1_{5E3FA068-1536-44FA-A5E3-AB66DF1833F9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All-Stages" sheetId="7" r:id="rId1"/>
    <sheet name="Alu-Stages" sheetId="4" r:id="rId2"/>
    <sheet name="Steel-Stages" sheetId="11" r:id="rId3"/>
    <sheet name="All-Stages Values" sheetId="8" r:id="rId4"/>
    <sheet name="Alu-Values" sheetId="9" r:id="rId5"/>
    <sheet name="Steel-Stages (2)" sheetId="12" r:id="rId6"/>
    <sheet name="Industrial Costs-Stages" sheetId="13" r:id="rId7"/>
    <sheet name="Project Costs-Activities" sheetId="14" r:id="rId8"/>
  </sheets>
  <definedNames>
    <definedName name="_xlnm.Print_Area" localSheetId="1">'Alu-Stages'!$A$1:$R$18</definedName>
    <definedName name="_xlnm.Print_Area" localSheetId="4">'Alu-Values'!$A$1:$U$26</definedName>
    <definedName name="_xlnm.Print_Area" localSheetId="6">'Industrial Costs-Stages'!$A$1:$Q$18</definedName>
    <definedName name="_xlnm.Print_Area" localSheetId="7">'Project Costs-Activities'!$A$1:$P$18</definedName>
    <definedName name="_xlnm.Print_Area" localSheetId="2">'Steel-Stages'!$A$1:$R$18</definedName>
    <definedName name="_xlnm.Print_Area" localSheetId="5">'Steel-Stages (2)'!$A$1:$R$18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9" l="1"/>
  <c r="S6" i="9"/>
  <c r="T6" i="9"/>
  <c r="Q7" i="9"/>
  <c r="Q8" i="9"/>
  <c r="Q9" i="9"/>
  <c r="Q10" i="9"/>
  <c r="Q11" i="9"/>
  <c r="Q12" i="9"/>
  <c r="Q13" i="9"/>
  <c r="Q14" i="9"/>
  <c r="Q15" i="9"/>
  <c r="Q16" i="9"/>
  <c r="Q17" i="9"/>
  <c r="Q18" i="9"/>
  <c r="Q6" i="9"/>
  <c r="P6" i="9"/>
  <c r="O7" i="9"/>
  <c r="O8" i="9"/>
  <c r="O9" i="9"/>
  <c r="O10" i="9"/>
  <c r="O11" i="9"/>
  <c r="O12" i="9"/>
  <c r="O13" i="9"/>
  <c r="O14" i="9"/>
  <c r="O15" i="9"/>
  <c r="O16" i="9"/>
  <c r="O17" i="9"/>
  <c r="O18" i="9"/>
  <c r="O6" i="9"/>
  <c r="N6" i="9"/>
  <c r="M7" i="9"/>
  <c r="M8" i="9"/>
  <c r="M9" i="9"/>
  <c r="M10" i="9"/>
  <c r="M11" i="9"/>
  <c r="M12" i="9"/>
  <c r="M13" i="9"/>
  <c r="M14" i="9"/>
  <c r="M15" i="9"/>
  <c r="M16" i="9"/>
  <c r="M17" i="9"/>
  <c r="M18" i="9"/>
  <c r="M6" i="9"/>
  <c r="L6" i="9"/>
  <c r="K7" i="9"/>
  <c r="K8" i="9"/>
  <c r="K9" i="9"/>
  <c r="K10" i="9"/>
  <c r="K11" i="9"/>
  <c r="K12" i="9"/>
  <c r="K13" i="9"/>
  <c r="K14" i="9"/>
  <c r="K15" i="9"/>
  <c r="K16" i="9"/>
  <c r="K17" i="9"/>
  <c r="K18" i="9"/>
  <c r="K6" i="9"/>
  <c r="J6" i="9"/>
  <c r="I7" i="9"/>
  <c r="I8" i="9"/>
  <c r="I9" i="9"/>
  <c r="I10" i="9"/>
  <c r="I11" i="9"/>
  <c r="I12" i="9"/>
  <c r="I13" i="9"/>
  <c r="I14" i="9"/>
  <c r="I15" i="9"/>
  <c r="I16" i="9"/>
  <c r="I17" i="9"/>
  <c r="I18" i="9"/>
  <c r="I6" i="9"/>
  <c r="H6" i="9"/>
  <c r="G7" i="9"/>
  <c r="G8" i="9"/>
  <c r="G9" i="9"/>
  <c r="G10" i="9"/>
  <c r="G11" i="9"/>
  <c r="G12" i="9"/>
  <c r="G13" i="9"/>
  <c r="G14" i="9"/>
  <c r="G15" i="9"/>
  <c r="G16" i="9"/>
  <c r="G17" i="9"/>
  <c r="G18" i="9"/>
  <c r="G6" i="9"/>
  <c r="F7" i="9"/>
  <c r="F8" i="9"/>
  <c r="F9" i="9"/>
  <c r="F10" i="9"/>
  <c r="F11" i="9"/>
  <c r="F12" i="9"/>
  <c r="F13" i="9"/>
  <c r="F14" i="9"/>
  <c r="F15" i="9"/>
  <c r="F16" i="9"/>
  <c r="F17" i="9"/>
  <c r="F18" i="9"/>
  <c r="F6" i="9"/>
  <c r="E7" i="9"/>
  <c r="E8" i="9"/>
  <c r="E9" i="9"/>
  <c r="E10" i="9"/>
  <c r="E11" i="9"/>
  <c r="E12" i="9"/>
  <c r="E13" i="9"/>
  <c r="E14" i="9"/>
  <c r="E15" i="9"/>
  <c r="E16" i="9"/>
  <c r="E17" i="9"/>
  <c r="E18" i="9"/>
  <c r="E6" i="9"/>
  <c r="B7" i="9"/>
  <c r="B8" i="9"/>
  <c r="B9" i="9"/>
  <c r="B10" i="9"/>
  <c r="B11" i="9"/>
  <c r="B12" i="9"/>
  <c r="B13" i="9"/>
  <c r="B14" i="9"/>
  <c r="B15" i="9"/>
  <c r="B16" i="9"/>
  <c r="B17" i="9"/>
  <c r="B18" i="9"/>
  <c r="B6" i="9"/>
  <c r="U5" i="8"/>
  <c r="U7" i="9" s="1"/>
  <c r="U6" i="8"/>
  <c r="U8" i="9" s="1"/>
  <c r="U7" i="8"/>
  <c r="U9" i="9" s="1"/>
  <c r="U8" i="8"/>
  <c r="U9" i="8"/>
  <c r="U10" i="9" s="1"/>
  <c r="U10" i="8"/>
  <c r="U11" i="9" s="1"/>
  <c r="U11" i="8"/>
  <c r="U12" i="9" s="1"/>
  <c r="U12" i="8"/>
  <c r="U13" i="9" s="1"/>
  <c r="U13" i="8"/>
  <c r="U14" i="9" s="1"/>
  <c r="U14" i="8"/>
  <c r="U15" i="9" s="1"/>
  <c r="U15" i="8"/>
  <c r="U16" i="9" s="1"/>
  <c r="U16" i="8"/>
  <c r="U17" i="9" s="1"/>
  <c r="U17" i="8"/>
  <c r="U18" i="8"/>
  <c r="U19" i="8"/>
  <c r="U18" i="9" s="1"/>
  <c r="U4" i="8"/>
  <c r="U6" i="9" s="1"/>
  <c r="T5" i="8"/>
  <c r="T6" i="8"/>
  <c r="T8" i="9" s="1"/>
  <c r="T7" i="8"/>
  <c r="T9" i="9" s="1"/>
  <c r="T8" i="8"/>
  <c r="T9" i="8"/>
  <c r="T10" i="8"/>
  <c r="T11" i="9" s="1"/>
  <c r="T11" i="8"/>
  <c r="T12" i="9" s="1"/>
  <c r="T12" i="8"/>
  <c r="T13" i="9" s="1"/>
  <c r="T13" i="8"/>
  <c r="T14" i="9" s="1"/>
  <c r="T14" i="8"/>
  <c r="T15" i="9" s="1"/>
  <c r="T15" i="8"/>
  <c r="T16" i="9" s="1"/>
  <c r="T16" i="8"/>
  <c r="T17" i="8"/>
  <c r="T18" i="8"/>
  <c r="T19" i="8"/>
  <c r="T18" i="9" s="1"/>
  <c r="T4" i="8"/>
  <c r="S4" i="8"/>
  <c r="S5" i="8"/>
  <c r="S7" i="9" s="1"/>
  <c r="S6" i="8"/>
  <c r="S7" i="8"/>
  <c r="S8" i="8"/>
  <c r="S9" i="8"/>
  <c r="S10" i="8"/>
  <c r="S11" i="8"/>
  <c r="S12" i="9" s="1"/>
  <c r="S12" i="8"/>
  <c r="S13" i="9" s="1"/>
  <c r="S13" i="8"/>
  <c r="S14" i="9" s="1"/>
  <c r="S14" i="8"/>
  <c r="S15" i="8"/>
  <c r="S16" i="8"/>
  <c r="S17" i="8"/>
  <c r="S18" i="8"/>
  <c r="S19" i="8"/>
  <c r="S18" i="9" s="1"/>
  <c r="R5" i="8"/>
  <c r="R7" i="9" s="1"/>
  <c r="R6" i="8"/>
  <c r="R8" i="9" s="1"/>
  <c r="R7" i="8"/>
  <c r="R9" i="9" s="1"/>
  <c r="R8" i="8"/>
  <c r="R9" i="8"/>
  <c r="R10" i="9" s="1"/>
  <c r="R10" i="8"/>
  <c r="R11" i="9" s="1"/>
  <c r="R11" i="8"/>
  <c r="R12" i="8"/>
  <c r="R13" i="9" s="1"/>
  <c r="R13" i="8"/>
  <c r="R14" i="9" s="1"/>
  <c r="R14" i="8"/>
  <c r="R15" i="9" s="1"/>
  <c r="R15" i="8"/>
  <c r="R16" i="8"/>
  <c r="R17" i="8"/>
  <c r="R18" i="8"/>
  <c r="R19" i="8"/>
  <c r="R18" i="9" s="1"/>
  <c r="R4" i="8"/>
  <c r="P5" i="8"/>
  <c r="P7" i="9" s="1"/>
  <c r="P6" i="8"/>
  <c r="P7" i="8"/>
  <c r="P8" i="8"/>
  <c r="P9" i="8"/>
  <c r="P10" i="8"/>
  <c r="P11" i="8"/>
  <c r="P12" i="8"/>
  <c r="P13" i="9" s="1"/>
  <c r="P13" i="8"/>
  <c r="P14" i="9" s="1"/>
  <c r="P14" i="8"/>
  <c r="P15" i="8"/>
  <c r="P16" i="8"/>
  <c r="P17" i="8"/>
  <c r="P18" i="8"/>
  <c r="P19" i="8"/>
  <c r="P4" i="8"/>
  <c r="N5" i="8"/>
  <c r="N7" i="9" s="1"/>
  <c r="N6" i="8"/>
  <c r="N8" i="9" s="1"/>
  <c r="N7" i="8"/>
  <c r="N8" i="8"/>
  <c r="N9" i="8"/>
  <c r="N10" i="8"/>
  <c r="N11" i="9" s="1"/>
  <c r="N11" i="8"/>
  <c r="N12" i="8"/>
  <c r="N13" i="9" s="1"/>
  <c r="N13" i="8"/>
  <c r="N14" i="9" s="1"/>
  <c r="N14" i="8"/>
  <c r="N15" i="9" s="1"/>
  <c r="N15" i="8"/>
  <c r="N16" i="8"/>
  <c r="N17" i="8"/>
  <c r="N18" i="8"/>
  <c r="N19" i="8"/>
  <c r="N18" i="9" s="1"/>
  <c r="N4" i="8"/>
  <c r="L5" i="8"/>
  <c r="L7" i="9" s="1"/>
  <c r="L6" i="8"/>
  <c r="L8" i="9" s="1"/>
  <c r="L7" i="8"/>
  <c r="L8" i="8"/>
  <c r="L9" i="8"/>
  <c r="L10" i="9" s="1"/>
  <c r="L10" i="8"/>
  <c r="L11" i="9" s="1"/>
  <c r="L11" i="8"/>
  <c r="L12" i="8"/>
  <c r="L13" i="9" s="1"/>
  <c r="L13" i="8"/>
  <c r="L14" i="9" s="1"/>
  <c r="L14" i="8"/>
  <c r="L15" i="9" s="1"/>
  <c r="L15" i="8"/>
  <c r="L16" i="8"/>
  <c r="L17" i="8"/>
  <c r="L18" i="8"/>
  <c r="L19" i="8"/>
  <c r="L4" i="8"/>
  <c r="J5" i="8"/>
  <c r="J7" i="9" s="1"/>
  <c r="J6" i="8"/>
  <c r="J8" i="9" s="1"/>
  <c r="J7" i="8"/>
  <c r="J8" i="8"/>
  <c r="J9" i="8"/>
  <c r="J10" i="8"/>
  <c r="J11" i="8"/>
  <c r="J12" i="8"/>
  <c r="J13" i="8"/>
  <c r="J14" i="9" s="1"/>
  <c r="J14" i="8"/>
  <c r="J15" i="9" s="1"/>
  <c r="J15" i="8"/>
  <c r="J16" i="8"/>
  <c r="J17" i="8"/>
  <c r="J18" i="8"/>
  <c r="J19" i="8"/>
  <c r="J18" i="9" s="1"/>
  <c r="J4" i="8"/>
  <c r="H5" i="8"/>
  <c r="H7" i="9" s="1"/>
  <c r="H6" i="8"/>
  <c r="H8" i="9" s="1"/>
  <c r="H7" i="8"/>
  <c r="H8" i="8"/>
  <c r="H9" i="8"/>
  <c r="H10" i="8"/>
  <c r="H11" i="9" s="1"/>
  <c r="H11" i="8"/>
  <c r="H12" i="9" s="1"/>
  <c r="H12" i="8"/>
  <c r="H13" i="8"/>
  <c r="H14" i="9" s="1"/>
  <c r="H14" i="8"/>
  <c r="H15" i="9" s="1"/>
  <c r="H15" i="8"/>
  <c r="H16" i="8"/>
  <c r="H17" i="8"/>
  <c r="H18" i="8"/>
  <c r="H19" i="8"/>
  <c r="H18" i="9" s="1"/>
  <c r="H4" i="8"/>
  <c r="D5" i="8"/>
  <c r="D7" i="9" s="1"/>
  <c r="D6" i="8"/>
  <c r="D8" i="9" s="1"/>
  <c r="D7" i="8"/>
  <c r="D8" i="8"/>
  <c r="D9" i="8"/>
  <c r="D10" i="9" s="1"/>
  <c r="D10" i="8"/>
  <c r="D11" i="9" s="1"/>
  <c r="D11" i="8"/>
  <c r="D12" i="9" s="1"/>
  <c r="D12" i="8"/>
  <c r="D13" i="9" s="1"/>
  <c r="D13" i="8"/>
  <c r="D14" i="9" s="1"/>
  <c r="D14" i="8"/>
  <c r="D15" i="9" s="1"/>
  <c r="D15" i="8"/>
  <c r="D16" i="8"/>
  <c r="D17" i="8"/>
  <c r="D18" i="8"/>
  <c r="D19" i="8"/>
  <c r="D18" i="9" s="1"/>
  <c r="D4" i="8"/>
  <c r="D6" i="9" s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4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B4" i="8"/>
  <c r="R18" i="11"/>
  <c r="O18" i="11"/>
  <c r="N18" i="11"/>
  <c r="M18" i="11"/>
  <c r="L18" i="11"/>
  <c r="I18" i="11"/>
  <c r="H18" i="11"/>
  <c r="E18" i="11"/>
  <c r="D18" i="11"/>
  <c r="C18" i="11"/>
  <c r="B18" i="11"/>
  <c r="R17" i="11"/>
  <c r="O17" i="11"/>
  <c r="N17" i="11"/>
  <c r="M17" i="11"/>
  <c r="L17" i="11"/>
  <c r="I17" i="11"/>
  <c r="H17" i="11"/>
  <c r="E17" i="11"/>
  <c r="D17" i="11"/>
  <c r="C17" i="11"/>
  <c r="B17" i="11"/>
  <c r="R16" i="11"/>
  <c r="O16" i="11"/>
  <c r="N16" i="11"/>
  <c r="M16" i="11"/>
  <c r="L16" i="11"/>
  <c r="I16" i="11"/>
  <c r="H16" i="11"/>
  <c r="E16" i="11"/>
  <c r="D16" i="11"/>
  <c r="C16" i="11"/>
  <c r="B16" i="11"/>
  <c r="R15" i="11"/>
  <c r="O15" i="11"/>
  <c r="N15" i="11"/>
  <c r="M15" i="11"/>
  <c r="L15" i="11"/>
  <c r="I15" i="11"/>
  <c r="H15" i="11"/>
  <c r="E15" i="11"/>
  <c r="D15" i="11"/>
  <c r="C15" i="11"/>
  <c r="B15" i="11"/>
  <c r="R14" i="11"/>
  <c r="O14" i="11"/>
  <c r="N14" i="11"/>
  <c r="M14" i="11"/>
  <c r="L14" i="11"/>
  <c r="I14" i="11"/>
  <c r="H14" i="11"/>
  <c r="E14" i="11"/>
  <c r="D14" i="11"/>
  <c r="C14" i="11"/>
  <c r="B14" i="11"/>
  <c r="R13" i="11"/>
  <c r="O13" i="11"/>
  <c r="N13" i="11"/>
  <c r="M13" i="11"/>
  <c r="L13" i="11"/>
  <c r="I13" i="11"/>
  <c r="H13" i="11"/>
  <c r="E13" i="11"/>
  <c r="D13" i="11"/>
  <c r="C13" i="11"/>
  <c r="B13" i="11"/>
  <c r="R12" i="11"/>
  <c r="O12" i="11"/>
  <c r="N12" i="11"/>
  <c r="M12" i="11"/>
  <c r="L12" i="11"/>
  <c r="I12" i="11"/>
  <c r="H12" i="11"/>
  <c r="E12" i="11"/>
  <c r="D12" i="11"/>
  <c r="C12" i="11"/>
  <c r="B12" i="11"/>
  <c r="R11" i="11"/>
  <c r="O11" i="11"/>
  <c r="N11" i="11"/>
  <c r="M11" i="11"/>
  <c r="L11" i="11"/>
  <c r="I11" i="11"/>
  <c r="H11" i="11"/>
  <c r="E11" i="11"/>
  <c r="D11" i="11"/>
  <c r="C11" i="11"/>
  <c r="B11" i="11"/>
  <c r="R10" i="11"/>
  <c r="O10" i="11"/>
  <c r="N10" i="11"/>
  <c r="M10" i="11"/>
  <c r="L10" i="11"/>
  <c r="I10" i="11"/>
  <c r="H10" i="11"/>
  <c r="E10" i="11"/>
  <c r="D10" i="11"/>
  <c r="C10" i="11"/>
  <c r="B10" i="11"/>
  <c r="R9" i="11"/>
  <c r="O9" i="11"/>
  <c r="N9" i="11"/>
  <c r="M9" i="11"/>
  <c r="L9" i="11"/>
  <c r="I9" i="11"/>
  <c r="H9" i="11"/>
  <c r="E9" i="11"/>
  <c r="D9" i="11"/>
  <c r="C9" i="11"/>
  <c r="B9" i="11"/>
  <c r="R8" i="11"/>
  <c r="O8" i="11"/>
  <c r="N8" i="11"/>
  <c r="M8" i="11"/>
  <c r="L8" i="11"/>
  <c r="I8" i="11"/>
  <c r="H8" i="11"/>
  <c r="E8" i="11"/>
  <c r="D8" i="11"/>
  <c r="C8" i="11"/>
  <c r="B8" i="11"/>
  <c r="R7" i="11"/>
  <c r="O7" i="11"/>
  <c r="N7" i="11"/>
  <c r="M7" i="11"/>
  <c r="L7" i="11"/>
  <c r="I7" i="11"/>
  <c r="H7" i="11"/>
  <c r="E7" i="11"/>
  <c r="D7" i="11"/>
  <c r="C7" i="11"/>
  <c r="B7" i="11"/>
  <c r="R6" i="11"/>
  <c r="O6" i="11"/>
  <c r="N6" i="11"/>
  <c r="M6" i="11"/>
  <c r="L6" i="11"/>
  <c r="I6" i="11"/>
  <c r="H6" i="11"/>
  <c r="E6" i="11"/>
  <c r="D6" i="11"/>
  <c r="C6" i="11"/>
  <c r="B6" i="11"/>
  <c r="R5" i="11"/>
  <c r="O5" i="11"/>
  <c r="N5" i="11"/>
  <c r="M5" i="11"/>
  <c r="L5" i="11"/>
  <c r="I5" i="11"/>
  <c r="H5" i="11"/>
  <c r="E5" i="11"/>
  <c r="D5" i="11"/>
  <c r="C5" i="11"/>
  <c r="B5" i="11"/>
  <c r="R18" i="4"/>
  <c r="R6" i="4"/>
  <c r="R7" i="4"/>
  <c r="R8" i="4"/>
  <c r="R9" i="4"/>
  <c r="R10" i="4"/>
  <c r="R11" i="4"/>
  <c r="R12" i="4"/>
  <c r="R13" i="4"/>
  <c r="R14" i="4"/>
  <c r="R15" i="4"/>
  <c r="R16" i="4"/>
  <c r="R17" i="4"/>
  <c r="R5" i="4"/>
  <c r="P18" i="4"/>
  <c r="P6" i="4"/>
  <c r="P7" i="4"/>
  <c r="P8" i="4"/>
  <c r="P9" i="4"/>
  <c r="P10" i="4"/>
  <c r="P11" i="4"/>
  <c r="P12" i="4"/>
  <c r="P13" i="4"/>
  <c r="P14" i="4"/>
  <c r="P15" i="4"/>
  <c r="P16" i="4"/>
  <c r="P17" i="4"/>
  <c r="P5" i="4"/>
  <c r="O18" i="4"/>
  <c r="O6" i="4"/>
  <c r="O7" i="4"/>
  <c r="O8" i="4"/>
  <c r="O9" i="4"/>
  <c r="O10" i="4"/>
  <c r="O11" i="4"/>
  <c r="O12" i="4"/>
  <c r="O13" i="4"/>
  <c r="O14" i="4"/>
  <c r="O15" i="4"/>
  <c r="O16" i="4"/>
  <c r="O17" i="4"/>
  <c r="O5" i="4"/>
  <c r="N18" i="4"/>
  <c r="N6" i="4"/>
  <c r="N7" i="4"/>
  <c r="N8" i="4"/>
  <c r="N9" i="4"/>
  <c r="N10" i="4"/>
  <c r="N11" i="4"/>
  <c r="N12" i="4"/>
  <c r="N13" i="4"/>
  <c r="N14" i="4"/>
  <c r="N15" i="4"/>
  <c r="N16" i="4"/>
  <c r="N17" i="4"/>
  <c r="N5" i="4"/>
  <c r="M18" i="4"/>
  <c r="M6" i="4"/>
  <c r="M7" i="4"/>
  <c r="M8" i="4"/>
  <c r="M9" i="4"/>
  <c r="M10" i="4"/>
  <c r="M11" i="4"/>
  <c r="M12" i="4"/>
  <c r="M13" i="4"/>
  <c r="M14" i="4"/>
  <c r="M15" i="4"/>
  <c r="M16" i="4"/>
  <c r="M17" i="4"/>
  <c r="M5" i="4"/>
  <c r="L18" i="4"/>
  <c r="L6" i="4"/>
  <c r="L7" i="4"/>
  <c r="L8" i="4"/>
  <c r="L9" i="4"/>
  <c r="L10" i="4"/>
  <c r="L11" i="4"/>
  <c r="L12" i="4"/>
  <c r="L13" i="4"/>
  <c r="L14" i="4"/>
  <c r="L15" i="4"/>
  <c r="L16" i="4"/>
  <c r="L17" i="4"/>
  <c r="L5" i="4"/>
  <c r="I18" i="4"/>
  <c r="I6" i="4"/>
  <c r="I7" i="4"/>
  <c r="I8" i="4"/>
  <c r="I9" i="4"/>
  <c r="I10" i="4"/>
  <c r="I11" i="4"/>
  <c r="I12" i="4"/>
  <c r="I13" i="4"/>
  <c r="I14" i="4"/>
  <c r="I15" i="4"/>
  <c r="I16" i="4"/>
  <c r="I17" i="4"/>
  <c r="I5" i="4"/>
  <c r="H18" i="4"/>
  <c r="H6" i="4"/>
  <c r="H7" i="4"/>
  <c r="H8" i="4"/>
  <c r="H9" i="4"/>
  <c r="H10" i="4"/>
  <c r="H11" i="4"/>
  <c r="H12" i="4"/>
  <c r="H13" i="4"/>
  <c r="H14" i="4"/>
  <c r="H15" i="4"/>
  <c r="H16" i="4"/>
  <c r="H17" i="4"/>
  <c r="H5" i="4"/>
  <c r="E18" i="4"/>
  <c r="E6" i="4"/>
  <c r="E7" i="4"/>
  <c r="E8" i="4"/>
  <c r="E9" i="4"/>
  <c r="E10" i="4"/>
  <c r="E11" i="4"/>
  <c r="E12" i="4"/>
  <c r="E13" i="4"/>
  <c r="E14" i="4"/>
  <c r="E15" i="4"/>
  <c r="E16" i="4"/>
  <c r="E17" i="4"/>
  <c r="E5" i="4"/>
  <c r="D18" i="4"/>
  <c r="D6" i="4"/>
  <c r="D7" i="4"/>
  <c r="D8" i="4"/>
  <c r="D9" i="4"/>
  <c r="D10" i="4"/>
  <c r="D11" i="4"/>
  <c r="D12" i="4"/>
  <c r="D13" i="4"/>
  <c r="D14" i="4"/>
  <c r="D15" i="4"/>
  <c r="D16" i="4"/>
  <c r="D17" i="4"/>
  <c r="D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5" i="4"/>
  <c r="F23" i="9"/>
  <c r="E21" i="9"/>
  <c r="E22" i="9"/>
  <c r="U24" i="9"/>
  <c r="D9" i="9"/>
  <c r="D16" i="9"/>
  <c r="D17" i="9"/>
  <c r="V6" i="9"/>
  <c r="T7" i="9"/>
  <c r="V7" i="9"/>
  <c r="P8" i="9"/>
  <c r="S8" i="9"/>
  <c r="V8" i="9"/>
  <c r="H9" i="9"/>
  <c r="J9" i="9"/>
  <c r="L9" i="9"/>
  <c r="N9" i="9"/>
  <c r="P9" i="9"/>
  <c r="S9" i="9"/>
  <c r="V9" i="9"/>
  <c r="H10" i="9"/>
  <c r="J10" i="9"/>
  <c r="N10" i="9"/>
  <c r="P10" i="9"/>
  <c r="S10" i="9"/>
  <c r="T10" i="9"/>
  <c r="V10" i="9"/>
  <c r="J11" i="9"/>
  <c r="P11" i="9"/>
  <c r="S11" i="9"/>
  <c r="V11" i="9"/>
  <c r="J12" i="9"/>
  <c r="L12" i="9"/>
  <c r="N12" i="9"/>
  <c r="P12" i="9"/>
  <c r="R12" i="9"/>
  <c r="V12" i="9"/>
  <c r="H13" i="9"/>
  <c r="J13" i="9"/>
  <c r="V13" i="9"/>
  <c r="V14" i="9"/>
  <c r="P15" i="9"/>
  <c r="S15" i="9"/>
  <c r="V15" i="9"/>
  <c r="H16" i="9"/>
  <c r="J16" i="9"/>
  <c r="L16" i="9"/>
  <c r="N16" i="9"/>
  <c r="P16" i="9"/>
  <c r="R16" i="9"/>
  <c r="S16" i="9"/>
  <c r="V16" i="9"/>
  <c r="H17" i="9"/>
  <c r="J17" i="9"/>
  <c r="L17" i="9"/>
  <c r="N17" i="9"/>
  <c r="P17" i="9"/>
  <c r="R17" i="9"/>
  <c r="S17" i="9"/>
  <c r="T17" i="9"/>
  <c r="V17" i="9"/>
  <c r="L18" i="9"/>
  <c r="P18" i="9"/>
  <c r="V18" i="9"/>
  <c r="Y21" i="9"/>
  <c r="Z21" i="9" s="1"/>
  <c r="Y22" i="9"/>
  <c r="Z22" i="9" s="1"/>
  <c r="Y20" i="9"/>
  <c r="Z20" i="9" s="1"/>
  <c r="G16" i="8" l="1"/>
  <c r="F16" i="8"/>
  <c r="E16" i="8"/>
  <c r="E12" i="8"/>
  <c r="E14" i="8"/>
  <c r="C7" i="9" l="1"/>
  <c r="C8" i="9"/>
  <c r="C9" i="9"/>
  <c r="C10" i="9"/>
  <c r="C11" i="9"/>
  <c r="C12" i="9"/>
  <c r="C13" i="9"/>
  <c r="C14" i="9"/>
  <c r="C15" i="9"/>
  <c r="C16" i="9"/>
  <c r="C17" i="9"/>
  <c r="C18" i="9"/>
  <c r="C6" i="9"/>
  <c r="F17" i="8"/>
  <c r="E17" i="8"/>
  <c r="E11" i="8"/>
  <c r="G20" i="8"/>
  <c r="Q6" i="8"/>
  <c r="Q11" i="8"/>
  <c r="Q12" i="8"/>
  <c r="Q13" i="8"/>
  <c r="Q17" i="8"/>
  <c r="O18" i="8"/>
  <c r="Q18" i="8" s="1"/>
  <c r="M17" i="8"/>
  <c r="O17" i="8"/>
  <c r="M16" i="8"/>
  <c r="O16" i="8"/>
  <c r="O19" i="8"/>
  <c r="M19" i="8"/>
  <c r="O15" i="8"/>
  <c r="M15" i="8"/>
  <c r="O14" i="8"/>
  <c r="O13" i="8"/>
  <c r="O6" i="8"/>
  <c r="M6" i="8"/>
  <c r="O10" i="8"/>
  <c r="O9" i="8"/>
  <c r="O8" i="8"/>
  <c r="O7" i="8"/>
  <c r="O5" i="8"/>
  <c r="Q5" i="8" s="1"/>
  <c r="O4" i="8"/>
  <c r="Q7" i="8" l="1"/>
  <c r="Q10" i="8"/>
  <c r="Q19" i="8"/>
  <c r="O19" i="9"/>
  <c r="Q14" i="8"/>
  <c r="O20" i="8"/>
  <c r="Q16" i="8"/>
  <c r="Q15" i="8"/>
  <c r="Q9" i="8"/>
  <c r="Q4" i="8"/>
  <c r="Q8" i="8"/>
  <c r="G19" i="9"/>
  <c r="J19" i="9"/>
  <c r="F19" i="9"/>
  <c r="E19" i="9"/>
  <c r="F20" i="8"/>
  <c r="E20" i="8"/>
  <c r="Q19" i="9" l="1"/>
  <c r="Q20" i="8"/>
  <c r="M18" i="8" l="1"/>
  <c r="M14" i="8"/>
  <c r="M13" i="8"/>
  <c r="M10" i="8"/>
  <c r="M9" i="8"/>
  <c r="M8" i="8"/>
  <c r="M7" i="8"/>
  <c r="M4" i="8"/>
  <c r="M5" i="8"/>
  <c r="I19" i="8"/>
  <c r="I15" i="8"/>
  <c r="I13" i="8"/>
  <c r="I18" i="8"/>
  <c r="I17" i="8"/>
  <c r="I16" i="8"/>
  <c r="I14" i="8"/>
  <c r="I12" i="8"/>
  <c r="I11" i="8"/>
  <c r="I10" i="8"/>
  <c r="K9" i="8"/>
  <c r="I9" i="8"/>
  <c r="I8" i="8"/>
  <c r="I7" i="8"/>
  <c r="I6" i="8"/>
  <c r="I5" i="8"/>
  <c r="K4" i="8"/>
  <c r="I4" i="8"/>
  <c r="M20" i="8" l="1"/>
  <c r="K20" i="8"/>
  <c r="K19" i="9"/>
  <c r="I20" i="8"/>
  <c r="V20" i="8" l="1"/>
  <c r="I19" i="9"/>
  <c r="M19" i="9"/>
  <c r="V19" i="9" l="1"/>
  <c r="V20" i="9" l="1"/>
  <c r="U21" i="9" s="1"/>
  <c r="U20" i="9"/>
  <c r="V21" i="9" l="1"/>
  <c r="U22" i="9" s="1"/>
  <c r="V22" i="9" l="1"/>
  <c r="V24" i="9" l="1"/>
  <c r="U23" i="9"/>
  <c r="E23" i="9" l="1"/>
  <c r="E24" i="9" s="1"/>
  <c r="U25" i="9"/>
  <c r="U26" i="9" s="1"/>
  <c r="V25" i="9"/>
  <c r="E25" i="9" l="1"/>
  <c r="F24" i="9"/>
</calcChain>
</file>

<file path=xl/sharedStrings.xml><?xml version="1.0" encoding="utf-8"?>
<sst xmlns="http://schemas.openxmlformats.org/spreadsheetml/2006/main" count="762" uniqueCount="223">
  <si>
    <t>الوزن والاستلام</t>
  </si>
  <si>
    <t>المواد المباشرة</t>
  </si>
  <si>
    <t>الأجور المباشرة</t>
  </si>
  <si>
    <t>تكاليف صناعية أخرى</t>
  </si>
  <si>
    <t>محرك التكلفة</t>
  </si>
  <si>
    <t>ملاحظات</t>
  </si>
  <si>
    <t>التعبئة</t>
  </si>
  <si>
    <t>كهرباء الفوركلفت</t>
  </si>
  <si>
    <t>متوسط 25 طن باليوم</t>
  </si>
  <si>
    <t>حبيب فوركلفت</t>
  </si>
  <si>
    <t>مدة التخزين</t>
  </si>
  <si>
    <t>هيكساني / حكيم</t>
  </si>
  <si>
    <t>استهلاك الفوركلفت</t>
  </si>
  <si>
    <t>حبيب</t>
  </si>
  <si>
    <t>3 أفراد</t>
  </si>
  <si>
    <t>متوسط 50 طن 3 أيام</t>
  </si>
  <si>
    <t>4 أفراد فرز + 3 تعبئة</t>
  </si>
  <si>
    <t>صيانة الفوركلفت</t>
  </si>
  <si>
    <t>التامين ضد المخاطر</t>
  </si>
  <si>
    <t>2 أفراد</t>
  </si>
  <si>
    <t>فرد 1</t>
  </si>
  <si>
    <t>2 فرد</t>
  </si>
  <si>
    <t>متوسط 50 ك للفرد باليوم</t>
  </si>
  <si>
    <t>متوسط 25 ك للفرد باليوم</t>
  </si>
  <si>
    <t>متوسط 350 ك للماكينة باليوم (الوردية 8 ساعات)</t>
  </si>
  <si>
    <t>مواد التغليف</t>
  </si>
  <si>
    <t>عدد العبوات</t>
  </si>
  <si>
    <t>مواد التعبئة</t>
  </si>
  <si>
    <t>فرد للوزن + فرد للشرينك</t>
  </si>
  <si>
    <t>عدد المقاسات المطلوبة</t>
  </si>
  <si>
    <t>متوسط 4 طن للماكينة باليوم (الوردية 8 ساعات)</t>
  </si>
  <si>
    <t>متوسط 5 أفراد</t>
  </si>
  <si>
    <t>هيكساني أو حكيم</t>
  </si>
  <si>
    <t>المرحلة</t>
  </si>
  <si>
    <t>م</t>
  </si>
  <si>
    <t>التكاليف الصناعية</t>
  </si>
  <si>
    <t>تغليف شرينك للباليت</t>
  </si>
  <si>
    <t>عدد الباليت</t>
  </si>
  <si>
    <t>للطن</t>
  </si>
  <si>
    <t>أجر - للطن</t>
  </si>
  <si>
    <t>أجر 2 - للطن</t>
  </si>
  <si>
    <t>كهرباء للطن</t>
  </si>
  <si>
    <t>استهلاك للطن</t>
  </si>
  <si>
    <t>صيانة للطن</t>
  </si>
  <si>
    <t>الاجماالي</t>
  </si>
  <si>
    <t>تقرير التكاليف الصناعية</t>
  </si>
  <si>
    <t>تكلفة الطن</t>
  </si>
  <si>
    <t>تكلفة الكيلو</t>
  </si>
  <si>
    <t>تكلفة النصف كيلو</t>
  </si>
  <si>
    <t>تكلفة الربع كيلو</t>
  </si>
  <si>
    <t>سعر البيع</t>
  </si>
  <si>
    <t>هامش الربح</t>
  </si>
  <si>
    <t>معدل هامش الربح</t>
  </si>
  <si>
    <t>م بيع وتوزيع</t>
  </si>
  <si>
    <t>م عمومية وإدارية</t>
  </si>
  <si>
    <t>اجمالي التكاليف</t>
  </si>
  <si>
    <t>صافي الربح</t>
  </si>
  <si>
    <t>معدل الربح</t>
  </si>
  <si>
    <t>التتنظيف</t>
  </si>
  <si>
    <t>ماكينة 1</t>
  </si>
  <si>
    <t>ماكينة 2</t>
  </si>
  <si>
    <t>ماكينة 3</t>
  </si>
  <si>
    <t>ماكينة 4</t>
  </si>
  <si>
    <t>ماكينة 5</t>
  </si>
  <si>
    <t>ماكينة 6</t>
  </si>
  <si>
    <t>ماكينة 7</t>
  </si>
  <si>
    <t>ماكينة 8</t>
  </si>
  <si>
    <t>ماكينة 9</t>
  </si>
  <si>
    <t>التلميع والتثبيت</t>
  </si>
  <si>
    <t>التخزين في المنتج التام</t>
  </si>
  <si>
    <t>بويا</t>
  </si>
  <si>
    <t>مادة 5</t>
  </si>
  <si>
    <t>ماكينة</t>
  </si>
  <si>
    <t>كهرباء ماكينة 1</t>
  </si>
  <si>
    <t>كهرباء ماكينة 2</t>
  </si>
  <si>
    <t>كهرباء ماكينة 3</t>
  </si>
  <si>
    <t>كهرباء ماكينة 4</t>
  </si>
  <si>
    <t>كهرباء ماكينة 5</t>
  </si>
  <si>
    <t>كهرباء ماكينة 6</t>
  </si>
  <si>
    <t>كهرباء غرفة الدهان</t>
  </si>
  <si>
    <t>كهرباء ماكينة 7</t>
  </si>
  <si>
    <t>كهرباء ماكينة 8</t>
  </si>
  <si>
    <t>كهرباء ماكينة 9</t>
  </si>
  <si>
    <t>كهرباء ماكينة 10</t>
  </si>
  <si>
    <t>كهرباء ماكينة 11</t>
  </si>
  <si>
    <t>كهرباء ماكينة 12</t>
  </si>
  <si>
    <t>استهلاك 1</t>
  </si>
  <si>
    <t>استهلاك 2</t>
  </si>
  <si>
    <t>استهلاك 3</t>
  </si>
  <si>
    <t>استهلاك 4</t>
  </si>
  <si>
    <t>استهلاك 5</t>
  </si>
  <si>
    <t>استهلاك 6</t>
  </si>
  <si>
    <t>استهلاك 7</t>
  </si>
  <si>
    <t>استهلاك 8</t>
  </si>
  <si>
    <t>استهلاك 9</t>
  </si>
  <si>
    <t>استهلاك 10</t>
  </si>
  <si>
    <t>استهلاك 11</t>
  </si>
  <si>
    <t>استهلاك 12</t>
  </si>
  <si>
    <t>استهلاك 13</t>
  </si>
  <si>
    <t>استهلاك 14</t>
  </si>
  <si>
    <t>صيانة 1</t>
  </si>
  <si>
    <t>صيانة 3</t>
  </si>
  <si>
    <t>صيانة 4</t>
  </si>
  <si>
    <t>صيانة 5</t>
  </si>
  <si>
    <t>صيانة 6</t>
  </si>
  <si>
    <t>صيانة 7</t>
  </si>
  <si>
    <t>صيانة 8</t>
  </si>
  <si>
    <t>صيانة  9</t>
  </si>
  <si>
    <t>صيانة  10</t>
  </si>
  <si>
    <t>صيانة  11</t>
  </si>
  <si>
    <t>صيانة  12</t>
  </si>
  <si>
    <t>صيانة  13</t>
  </si>
  <si>
    <t>صيانة  14</t>
  </si>
  <si>
    <t>صيانة  15</t>
  </si>
  <si>
    <t>الألومنيوم</t>
  </si>
  <si>
    <t>كمية الاستيل</t>
  </si>
  <si>
    <t>استيل</t>
  </si>
  <si>
    <t>كهرباء جهاز القياس</t>
  </si>
  <si>
    <t>حفيظ جهاز القياس</t>
  </si>
  <si>
    <t>استهلاك جهاز القياس</t>
  </si>
  <si>
    <t>ت ص أخرى</t>
  </si>
  <si>
    <t>تكلفة تشغيل الالات</t>
  </si>
  <si>
    <t>ايجار مصنع</t>
  </si>
  <si>
    <t>محروقات</t>
  </si>
  <si>
    <t>الاستيل منتج ؟؟؟</t>
  </si>
  <si>
    <t/>
  </si>
  <si>
    <t>Industrial Costs</t>
  </si>
  <si>
    <t>Product xxx</t>
  </si>
  <si>
    <t>Stages</t>
  </si>
  <si>
    <t>SN</t>
  </si>
  <si>
    <t>Receiving &amp; Measuring</t>
  </si>
  <si>
    <t>Cleaning</t>
  </si>
  <si>
    <t>Brush Chining</t>
  </si>
  <si>
    <t>Shrink Packaging</t>
  </si>
  <si>
    <t>Storing Finishing Product</t>
  </si>
  <si>
    <t>Cost Driver</t>
  </si>
  <si>
    <t>Steel Quantity</t>
  </si>
  <si>
    <t>Time to Store</t>
  </si>
  <si>
    <t>Number of Sizes</t>
  </si>
  <si>
    <t>Pallet Number</t>
  </si>
  <si>
    <t>Steel</t>
  </si>
  <si>
    <t>Painting</t>
  </si>
  <si>
    <t>Material 5</t>
  </si>
  <si>
    <t>Packaging Material</t>
  </si>
  <si>
    <t>Filling Material</t>
  </si>
  <si>
    <t>EMP 1 / EMP 2</t>
  </si>
  <si>
    <t>3 Workers</t>
  </si>
  <si>
    <t>5 Workers &amp; Supervisor</t>
  </si>
  <si>
    <t>2 Workers</t>
  </si>
  <si>
    <t>1 Worker</t>
  </si>
  <si>
    <t>Supervisor</t>
  </si>
  <si>
    <t>Technical 1 - Measuring Device</t>
  </si>
  <si>
    <t>Technical 5</t>
  </si>
  <si>
    <t>Tech 7 - Forkleft</t>
  </si>
  <si>
    <t>Supervisor 1 / 2</t>
  </si>
  <si>
    <t>Electric - Measuring Device</t>
  </si>
  <si>
    <t>Depreciation - Measuring Device</t>
  </si>
  <si>
    <t>Maintenance - Measuring Device</t>
  </si>
  <si>
    <t>Maintenance - Forkleft</t>
  </si>
  <si>
    <t>Maintenance 3</t>
  </si>
  <si>
    <t>Maintenance 4</t>
  </si>
  <si>
    <t>Maintenance 5</t>
  </si>
  <si>
    <t>Maintenance 7</t>
  </si>
  <si>
    <t>Maintenance 8</t>
  </si>
  <si>
    <t>Risk-Insurance</t>
  </si>
  <si>
    <t>Maintenance 9</t>
  </si>
  <si>
    <t>Maintenance 10</t>
  </si>
  <si>
    <t>Maintenance 11</t>
  </si>
  <si>
    <t>Maintenance 12</t>
  </si>
  <si>
    <t>Maintenance 14</t>
  </si>
  <si>
    <t>Maintenance 15</t>
  </si>
  <si>
    <t>Factory-Rent</t>
  </si>
  <si>
    <t>Fuel</t>
  </si>
  <si>
    <t>Note</t>
  </si>
  <si>
    <t>Avarage 25 ton per day</t>
  </si>
  <si>
    <t>Avarage 50 ton per 3 day</t>
  </si>
  <si>
    <t>Avarage 4 ton per Machine a day (Shift 8 hours)</t>
  </si>
  <si>
    <t>Avarage 25 m2 per worker - 8hr</t>
  </si>
  <si>
    <t>Avarage 50 m2 per worker - 8hr</t>
  </si>
  <si>
    <t>Avarage 350 m2 per Machine a day (Shift 8 hours)</t>
  </si>
  <si>
    <t>Electric bill 1</t>
  </si>
  <si>
    <t>Electric bill 2</t>
  </si>
  <si>
    <t>Electric bill 3</t>
  </si>
  <si>
    <t>Electric bill 5</t>
  </si>
  <si>
    <t>Electric bill 6</t>
  </si>
  <si>
    <t>Electric bill 7</t>
  </si>
  <si>
    <t>Painting Machine Electric</t>
  </si>
  <si>
    <t>Electric bill 8</t>
  </si>
  <si>
    <t>Electric bill 9</t>
  </si>
  <si>
    <t>Electric bill 11</t>
  </si>
  <si>
    <t>Electric bill 12</t>
  </si>
  <si>
    <t>Project xxx Costs</t>
  </si>
  <si>
    <t>Materials</t>
  </si>
  <si>
    <t>Manpower</t>
  </si>
  <si>
    <t>Machines</t>
  </si>
  <si>
    <t>Mscellanious</t>
  </si>
  <si>
    <t>Task / Activity</t>
  </si>
  <si>
    <t xml:space="preserve">    Section / Contract Milestones</t>
  </si>
  <si>
    <t xml:space="preserve">      Mochup / Benchmark</t>
  </si>
  <si>
    <t>1.0.1 Completion and acceptance of First in Place Benchmark for Project</t>
  </si>
  <si>
    <t xml:space="preserve">    Key / Control Milestones</t>
  </si>
  <si>
    <t>1.2.1 Completion and acceptance of First in Place Benchmark for Project</t>
  </si>
  <si>
    <t xml:space="preserve">        Level 01</t>
  </si>
  <si>
    <t>1.2.5 The Mound - Level 01 - Zone M3 (Spa &amp; Fitness)</t>
  </si>
  <si>
    <t xml:space="preserve">        Level 02</t>
  </si>
  <si>
    <t>1.2.10 The Mound - Level 02 - Zone M1</t>
  </si>
  <si>
    <t>1.2.12 The Mound - Level 02 - Zone M3</t>
  </si>
  <si>
    <t>1.2.11 The Mound - Level 02 - Zone M2</t>
  </si>
  <si>
    <t xml:space="preserve">    Interface Milestones</t>
  </si>
  <si>
    <t>3.1.3 Appointment of third-party design verification consultant / agency</t>
  </si>
  <si>
    <t>Material 1</t>
  </si>
  <si>
    <t>M11</t>
  </si>
  <si>
    <t>oreder No.</t>
  </si>
  <si>
    <t>xxx</t>
  </si>
  <si>
    <t>Stage 1</t>
  </si>
  <si>
    <t>Stage 2</t>
  </si>
  <si>
    <t>Stage 4</t>
  </si>
  <si>
    <t>Stage 5</t>
  </si>
  <si>
    <t>Stage 6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</si>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</sst>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.00_);_(* \(#,##0.00\);_(* &quot;-&quot;??_);_(@_)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sz val="8"/>
      <name val="Arial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164" fontId="1" fillId="0" borderId="0" xfId="1" applyFont="1"/>
    <xf numFmtId="164" fontId="1" fillId="0" borderId="0" xfId="0" applyNumberFormat="1" applyFont="1"/>
    <xf numFmtId="164" fontId="1" fillId="0" borderId="0" xfId="1" applyFont="1" applyAlignment="1">
      <alignment vertical="center"/>
    </xf>
    <xf numFmtId="9" fontId="1" fillId="0" borderId="0" xfId="2" applyFont="1" applyAlignment="1">
      <alignment vertical="center"/>
    </xf>
    <xf numFmtId="164" fontId="1" fillId="0" borderId="5" xfId="1" applyFont="1" applyBorder="1" applyAlignment="1">
      <alignment horizontal="right" vertical="center"/>
    </xf>
    <xf numFmtId="164" fontId="1" fillId="0" borderId="5" xfId="1" applyFont="1" applyBorder="1" applyAlignment="1">
      <alignment vertical="center"/>
    </xf>
    <xf numFmtId="164" fontId="1" fillId="0" borderId="6" xfId="1" applyFont="1" applyBorder="1" applyAlignment="1">
      <alignment horizontal="right" vertical="center"/>
    </xf>
    <xf numFmtId="164" fontId="1" fillId="0" borderId="8" xfId="1" applyFont="1" applyBorder="1" applyAlignment="1">
      <alignment vertical="center"/>
    </xf>
    <xf numFmtId="164" fontId="1" fillId="0" borderId="9" xfId="1" applyFont="1" applyBorder="1" applyAlignment="1">
      <alignment vertical="center"/>
    </xf>
    <xf numFmtId="164" fontId="3" fillId="0" borderId="8" xfId="1" applyFont="1" applyBorder="1" applyAlignment="1">
      <alignment vertical="center"/>
    </xf>
    <xf numFmtId="164" fontId="4" fillId="0" borderId="0" xfId="1" applyFont="1" applyAlignment="1">
      <alignment horizontal="center" vertical="center"/>
    </xf>
    <xf numFmtId="9" fontId="4" fillId="0" borderId="0" xfId="2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/>
    </xf>
    <xf numFmtId="0" fontId="1" fillId="0" borderId="5" xfId="0" applyFont="1" applyBorder="1" applyAlignment="1">
      <alignment horizontal="left" vertical="center" readingOrder="1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BDEC2F0E-868E-4EB9-AA55-465BABC7F8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37D1-967F-4050-82D8-F592C7034894}">
  <dimension ref="A2:T34"/>
  <sheetViews>
    <sheetView workbookViewId="0">
      <selection activeCell="P4" sqref="P4"/>
    </sheetView>
  </sheetViews>
  <sheetFormatPr defaultColWidth="9.125" defaultRowHeight="14.25" x14ac:dyDescent="0.2"/>
  <cols>
    <col min="1" max="1" width="3.25" style="1" bestFit="1" customWidth="1"/>
    <col min="2" max="2" width="36.375" style="1" bestFit="1" customWidth="1"/>
    <col min="3" max="3" width="16.375" style="1" bestFit="1" customWidth="1"/>
    <col min="4" max="9" width="9.125" style="1"/>
    <col min="10" max="10" width="18.75" style="1" bestFit="1" customWidth="1"/>
    <col min="11" max="12" width="11.25" style="1" bestFit="1" customWidth="1"/>
    <col min="13" max="13" width="9.125" style="1"/>
    <col min="14" max="14" width="17.875" style="1" bestFit="1" customWidth="1"/>
    <col min="15" max="19" width="9.125" style="1"/>
    <col min="20" max="20" width="36" style="1" bestFit="1" customWidth="1"/>
    <col min="21" max="16384" width="9.125" style="1"/>
  </cols>
  <sheetData>
    <row r="2" spans="1:20" x14ac:dyDescent="0.2">
      <c r="B2" s="1" t="s">
        <v>33</v>
      </c>
      <c r="C2" s="1" t="s">
        <v>4</v>
      </c>
      <c r="D2" s="33" t="s">
        <v>1</v>
      </c>
      <c r="E2" s="33"/>
      <c r="F2" s="33"/>
      <c r="G2" s="33"/>
      <c r="H2" s="33"/>
      <c r="I2" s="33"/>
      <c r="J2" s="33" t="s">
        <v>2</v>
      </c>
      <c r="K2" s="33"/>
      <c r="L2" s="33"/>
      <c r="M2" s="33"/>
      <c r="N2" s="33" t="s">
        <v>3</v>
      </c>
      <c r="O2" s="33"/>
      <c r="P2" s="33"/>
      <c r="Q2" s="33"/>
      <c r="R2" s="33"/>
      <c r="S2" s="33"/>
      <c r="T2" s="1" t="s">
        <v>5</v>
      </c>
    </row>
    <row r="3" spans="1:20" x14ac:dyDescent="0.2">
      <c r="B3" s="1" t="s">
        <v>33</v>
      </c>
      <c r="C3" s="1">
        <v>1</v>
      </c>
      <c r="D3" s="2">
        <v>1</v>
      </c>
      <c r="E3" s="2"/>
      <c r="F3" s="2">
        <v>2</v>
      </c>
      <c r="G3" s="2"/>
      <c r="H3" s="2">
        <v>3</v>
      </c>
      <c r="I3" s="2">
        <v>4</v>
      </c>
      <c r="J3" s="2">
        <v>1</v>
      </c>
      <c r="K3" s="2">
        <v>2</v>
      </c>
      <c r="L3" s="2">
        <v>3</v>
      </c>
      <c r="M3" s="2">
        <v>4</v>
      </c>
      <c r="N3" s="2">
        <v>1</v>
      </c>
      <c r="O3" s="2">
        <v>2</v>
      </c>
      <c r="P3" s="2">
        <v>3</v>
      </c>
      <c r="Q3" s="2">
        <v>4</v>
      </c>
      <c r="R3" s="2">
        <v>5</v>
      </c>
      <c r="S3" s="2">
        <v>6</v>
      </c>
      <c r="T3" s="1" t="s">
        <v>5</v>
      </c>
    </row>
    <row r="4" spans="1:20" x14ac:dyDescent="0.2">
      <c r="A4" s="1">
        <v>1</v>
      </c>
      <c r="B4" s="1" t="s">
        <v>0</v>
      </c>
      <c r="C4" s="1" t="s">
        <v>115</v>
      </c>
      <c r="J4" s="1" t="s">
        <v>118</v>
      </c>
      <c r="K4" s="1" t="s">
        <v>9</v>
      </c>
      <c r="N4" s="1" t="s">
        <v>117</v>
      </c>
      <c r="O4" s="1" t="s">
        <v>7</v>
      </c>
      <c r="P4" s="1" t="s">
        <v>119</v>
      </c>
      <c r="Q4" s="1" t="s">
        <v>12</v>
      </c>
      <c r="R4" s="1" t="s">
        <v>100</v>
      </c>
      <c r="S4" s="1" t="s">
        <v>17</v>
      </c>
      <c r="T4" s="1" t="s">
        <v>8</v>
      </c>
    </row>
    <row r="5" spans="1:20" x14ac:dyDescent="0.2">
      <c r="A5" s="1">
        <v>2</v>
      </c>
      <c r="B5" s="1" t="s">
        <v>58</v>
      </c>
      <c r="C5" s="1" t="s">
        <v>115</v>
      </c>
      <c r="J5" s="1" t="s">
        <v>11</v>
      </c>
      <c r="N5" s="1" t="s">
        <v>73</v>
      </c>
      <c r="O5" s="1" t="s">
        <v>86</v>
      </c>
      <c r="P5" s="1" t="s">
        <v>101</v>
      </c>
      <c r="T5" s="1" t="s">
        <v>15</v>
      </c>
    </row>
    <row r="6" spans="1:20" x14ac:dyDescent="0.2">
      <c r="A6" s="1">
        <v>3</v>
      </c>
      <c r="B6" s="1" t="s">
        <v>72</v>
      </c>
      <c r="C6" s="1" t="s">
        <v>10</v>
      </c>
      <c r="J6" s="1" t="s">
        <v>13</v>
      </c>
      <c r="N6" s="1" t="s">
        <v>74</v>
      </c>
      <c r="O6" s="1" t="s">
        <v>87</v>
      </c>
      <c r="P6" s="1" t="s">
        <v>102</v>
      </c>
      <c r="Q6" s="1" t="s">
        <v>98</v>
      </c>
      <c r="R6" s="1" t="s">
        <v>17</v>
      </c>
    </row>
    <row r="7" spans="1:20" x14ac:dyDescent="0.2">
      <c r="A7" s="1">
        <v>4</v>
      </c>
      <c r="B7" s="1" t="s">
        <v>59</v>
      </c>
      <c r="C7" s="1" t="s">
        <v>115</v>
      </c>
      <c r="J7" s="1" t="s">
        <v>14</v>
      </c>
      <c r="N7" s="1" t="s">
        <v>75</v>
      </c>
      <c r="O7" s="1" t="s">
        <v>88</v>
      </c>
      <c r="P7" s="1" t="s">
        <v>103</v>
      </c>
    </row>
    <row r="8" spans="1:20" x14ac:dyDescent="0.2">
      <c r="A8" s="1">
        <v>5</v>
      </c>
      <c r="B8" s="1" t="s">
        <v>60</v>
      </c>
      <c r="C8" s="1" t="s">
        <v>115</v>
      </c>
      <c r="J8" s="1" t="s">
        <v>16</v>
      </c>
      <c r="N8" s="1" t="s">
        <v>76</v>
      </c>
      <c r="O8" s="1" t="s">
        <v>89</v>
      </c>
      <c r="P8" s="1" t="s">
        <v>104</v>
      </c>
    </row>
    <row r="9" spans="1:20" x14ac:dyDescent="0.2">
      <c r="A9" s="1">
        <v>6</v>
      </c>
      <c r="B9" s="1" t="s">
        <v>61</v>
      </c>
      <c r="C9" s="1" t="s">
        <v>29</v>
      </c>
      <c r="J9" s="1" t="s">
        <v>31</v>
      </c>
      <c r="K9" s="1" t="s">
        <v>32</v>
      </c>
      <c r="N9" s="1" t="s">
        <v>77</v>
      </c>
      <c r="O9" s="1" t="s">
        <v>90</v>
      </c>
      <c r="P9" s="1" t="s">
        <v>105</v>
      </c>
      <c r="T9" s="1" t="s">
        <v>30</v>
      </c>
    </row>
    <row r="10" spans="1:20" x14ac:dyDescent="0.2">
      <c r="A10" s="1">
        <v>7</v>
      </c>
      <c r="B10" s="1" t="s">
        <v>62</v>
      </c>
      <c r="C10" s="1" t="s">
        <v>115</v>
      </c>
      <c r="J10" s="1" t="s">
        <v>14</v>
      </c>
      <c r="N10" s="1" t="s">
        <v>78</v>
      </c>
      <c r="O10" s="1" t="s">
        <v>91</v>
      </c>
      <c r="P10" s="1" t="s">
        <v>106</v>
      </c>
    </row>
    <row r="11" spans="1:20" x14ac:dyDescent="0.2">
      <c r="A11" s="1">
        <v>8</v>
      </c>
      <c r="B11" s="1" t="s">
        <v>63</v>
      </c>
      <c r="C11" s="1" t="s">
        <v>115</v>
      </c>
      <c r="D11" s="1" t="s">
        <v>116</v>
      </c>
      <c r="J11" s="1" t="s">
        <v>19</v>
      </c>
      <c r="O11" s="1" t="s">
        <v>92</v>
      </c>
      <c r="P11" s="1" t="s">
        <v>18</v>
      </c>
      <c r="T11" s="1" t="s">
        <v>23</v>
      </c>
    </row>
    <row r="12" spans="1:20" x14ac:dyDescent="0.2">
      <c r="A12" s="1">
        <v>9</v>
      </c>
      <c r="B12" s="1" t="s">
        <v>64</v>
      </c>
      <c r="C12" s="1" t="s">
        <v>115</v>
      </c>
      <c r="F12" s="1" t="s">
        <v>70</v>
      </c>
      <c r="J12" s="1" t="s">
        <v>20</v>
      </c>
      <c r="T12" s="1" t="s">
        <v>22</v>
      </c>
    </row>
    <row r="13" spans="1:20" x14ac:dyDescent="0.2">
      <c r="A13" s="1">
        <v>10</v>
      </c>
      <c r="B13" s="1" t="s">
        <v>65</v>
      </c>
      <c r="C13" s="1" t="s">
        <v>10</v>
      </c>
      <c r="J13" s="1" t="s">
        <v>13</v>
      </c>
      <c r="N13" s="1" t="s">
        <v>79</v>
      </c>
      <c r="O13" s="1" t="s">
        <v>93</v>
      </c>
      <c r="P13" s="1" t="s">
        <v>107</v>
      </c>
      <c r="Q13" s="1" t="s">
        <v>90</v>
      </c>
      <c r="R13" s="1" t="s">
        <v>17</v>
      </c>
    </row>
    <row r="14" spans="1:20" x14ac:dyDescent="0.2">
      <c r="A14" s="1">
        <v>11</v>
      </c>
      <c r="B14" s="1" t="s">
        <v>66</v>
      </c>
      <c r="C14" s="1" t="s">
        <v>115</v>
      </c>
      <c r="D14" s="1" t="s">
        <v>71</v>
      </c>
      <c r="J14" s="1" t="s">
        <v>21</v>
      </c>
      <c r="N14" s="1" t="s">
        <v>80</v>
      </c>
      <c r="O14" s="1" t="s">
        <v>94</v>
      </c>
      <c r="P14" s="1" t="s">
        <v>108</v>
      </c>
      <c r="T14" s="1" t="s">
        <v>24</v>
      </c>
    </row>
    <row r="15" spans="1:20" x14ac:dyDescent="0.2">
      <c r="A15" s="1">
        <v>12</v>
      </c>
      <c r="B15" s="1" t="s">
        <v>67</v>
      </c>
      <c r="C15" s="1" t="s">
        <v>10</v>
      </c>
      <c r="J15" s="1" t="s">
        <v>13</v>
      </c>
      <c r="N15" s="1" t="s">
        <v>81</v>
      </c>
      <c r="O15" s="1" t="s">
        <v>95</v>
      </c>
      <c r="P15" s="1" t="s">
        <v>109</v>
      </c>
      <c r="Q15" s="1" t="s">
        <v>87</v>
      </c>
      <c r="R15" s="1" t="s">
        <v>17</v>
      </c>
    </row>
    <row r="16" spans="1:20" x14ac:dyDescent="0.2">
      <c r="A16" s="1">
        <v>13</v>
      </c>
      <c r="B16" s="1" t="s">
        <v>68</v>
      </c>
      <c r="C16" s="1" t="s">
        <v>115</v>
      </c>
      <c r="D16" s="1" t="s">
        <v>25</v>
      </c>
      <c r="J16" s="1" t="s">
        <v>21</v>
      </c>
      <c r="N16" s="1" t="s">
        <v>82</v>
      </c>
      <c r="O16" s="1" t="s">
        <v>96</v>
      </c>
      <c r="P16" s="1" t="s">
        <v>110</v>
      </c>
    </row>
    <row r="17" spans="1:18" x14ac:dyDescent="0.2">
      <c r="A17" s="1">
        <v>14</v>
      </c>
      <c r="B17" s="1" t="s">
        <v>6</v>
      </c>
      <c r="C17" s="1" t="s">
        <v>26</v>
      </c>
      <c r="D17" s="1" t="s">
        <v>27</v>
      </c>
      <c r="J17" s="1" t="s">
        <v>28</v>
      </c>
      <c r="N17" s="1" t="s">
        <v>83</v>
      </c>
      <c r="O17" s="1" t="s">
        <v>97</v>
      </c>
      <c r="P17" s="1" t="s">
        <v>111</v>
      </c>
    </row>
    <row r="18" spans="1:18" x14ac:dyDescent="0.2">
      <c r="A18" s="1">
        <v>15</v>
      </c>
      <c r="B18" s="1" t="s">
        <v>36</v>
      </c>
      <c r="C18" s="1" t="s">
        <v>37</v>
      </c>
      <c r="D18" s="1" t="s">
        <v>27</v>
      </c>
      <c r="J18" s="1" t="s">
        <v>14</v>
      </c>
      <c r="N18" s="1" t="s">
        <v>84</v>
      </c>
      <c r="O18" s="1" t="s">
        <v>98</v>
      </c>
      <c r="P18" s="1" t="s">
        <v>112</v>
      </c>
    </row>
    <row r="19" spans="1:18" x14ac:dyDescent="0.2">
      <c r="A19" s="1">
        <v>16</v>
      </c>
      <c r="B19" s="1" t="s">
        <v>69</v>
      </c>
      <c r="C19" s="1" t="s">
        <v>115</v>
      </c>
      <c r="J19" s="1" t="s">
        <v>13</v>
      </c>
      <c r="N19" s="1" t="s">
        <v>85</v>
      </c>
      <c r="O19" s="1" t="s">
        <v>99</v>
      </c>
      <c r="P19" s="1" t="s">
        <v>113</v>
      </c>
      <c r="Q19" s="1" t="s">
        <v>99</v>
      </c>
      <c r="R19" s="1" t="s">
        <v>17</v>
      </c>
    </row>
    <row r="20" spans="1:18" x14ac:dyDescent="0.2">
      <c r="A20" s="1">
        <v>17</v>
      </c>
    </row>
    <row r="21" spans="1:18" x14ac:dyDescent="0.2">
      <c r="A21" s="1">
        <v>18</v>
      </c>
    </row>
    <row r="22" spans="1:18" x14ac:dyDescent="0.2">
      <c r="A22" s="1">
        <v>19</v>
      </c>
    </row>
    <row r="23" spans="1:18" x14ac:dyDescent="0.2">
      <c r="A23" s="1">
        <v>20</v>
      </c>
    </row>
    <row r="24" spans="1:18" x14ac:dyDescent="0.2">
      <c r="A24" s="1">
        <v>21</v>
      </c>
    </row>
    <row r="25" spans="1:18" x14ac:dyDescent="0.2">
      <c r="A25" s="1">
        <v>22</v>
      </c>
    </row>
    <row r="26" spans="1:18" x14ac:dyDescent="0.2">
      <c r="A26" s="1">
        <v>23</v>
      </c>
    </row>
    <row r="27" spans="1:18" x14ac:dyDescent="0.2">
      <c r="A27" s="1">
        <v>24</v>
      </c>
    </row>
    <row r="28" spans="1:18" x14ac:dyDescent="0.2">
      <c r="A28" s="1">
        <v>25</v>
      </c>
    </row>
    <row r="29" spans="1:18" x14ac:dyDescent="0.2">
      <c r="A29" s="1">
        <v>26</v>
      </c>
    </row>
    <row r="30" spans="1:18" x14ac:dyDescent="0.2">
      <c r="A30" s="1">
        <v>27</v>
      </c>
    </row>
    <row r="31" spans="1:18" x14ac:dyDescent="0.2">
      <c r="A31" s="1">
        <v>28</v>
      </c>
    </row>
    <row r="32" spans="1:18" x14ac:dyDescent="0.2">
      <c r="A32" s="1">
        <v>29</v>
      </c>
    </row>
    <row r="33" spans="1:1" x14ac:dyDescent="0.2">
      <c r="A33" s="1">
        <v>30</v>
      </c>
    </row>
    <row r="34" spans="1:1" x14ac:dyDescent="0.2">
      <c r="A34" s="1">
        <v>31</v>
      </c>
    </row>
  </sheetData>
  <mergeCells count="3">
    <mergeCell ref="D2:I2"/>
    <mergeCell ref="J2:M2"/>
    <mergeCell ref="N2:S2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7EFE-224C-4086-B9B4-F27A97C71D1D}">
  <sheetPr>
    <pageSetUpPr fitToPage="1"/>
  </sheetPr>
  <dimension ref="A1:R18"/>
  <sheetViews>
    <sheetView rightToLeft="1" workbookViewId="0">
      <selection activeCell="H10" sqref="H10"/>
    </sheetView>
  </sheetViews>
  <sheetFormatPr defaultColWidth="9.125" defaultRowHeight="14.25" x14ac:dyDescent="0.2"/>
  <cols>
    <col min="1" max="1" width="3.25" style="3" bestFit="1" customWidth="1"/>
    <col min="2" max="2" width="36.375" style="3" bestFit="1" customWidth="1"/>
    <col min="3" max="3" width="16.375" style="3" bestFit="1" customWidth="1"/>
    <col min="4" max="4" width="10.625" style="3" customWidth="1"/>
    <col min="5" max="5" width="9.125" style="3"/>
    <col min="6" max="7" width="0" style="3" hidden="1" customWidth="1"/>
    <col min="8" max="8" width="18.75" style="3" bestFit="1" customWidth="1"/>
    <col min="9" max="9" width="12.625" style="3" bestFit="1" customWidth="1"/>
    <col min="10" max="10" width="11.25" style="3" hidden="1" customWidth="1"/>
    <col min="11" max="11" width="0" style="3" hidden="1" customWidth="1"/>
    <col min="12" max="12" width="18.125" style="3" customWidth="1"/>
    <col min="13" max="13" width="13.625" style="3" customWidth="1"/>
    <col min="14" max="14" width="14.25" style="3" customWidth="1"/>
    <col min="15" max="17" width="9.125" style="3"/>
    <col min="18" max="18" width="25.25" style="3" bestFit="1" customWidth="1"/>
    <col min="19" max="16384" width="9.125" style="3"/>
  </cols>
  <sheetData>
    <row r="1" spans="1:18" x14ac:dyDescent="0.2">
      <c r="H1" s="3" t="s">
        <v>35</v>
      </c>
      <c r="I1" s="3" t="s">
        <v>114</v>
      </c>
    </row>
    <row r="2" spans="1:18" ht="15" thickBot="1" x14ac:dyDescent="0.25"/>
    <row r="3" spans="1:18" ht="23.25" customHeight="1" x14ac:dyDescent="0.2">
      <c r="A3" s="34" t="s">
        <v>34</v>
      </c>
      <c r="B3" s="36" t="s">
        <v>33</v>
      </c>
      <c r="C3" s="4" t="s">
        <v>4</v>
      </c>
      <c r="D3" s="36" t="s">
        <v>1</v>
      </c>
      <c r="E3" s="36"/>
      <c r="F3" s="36"/>
      <c r="G3" s="36"/>
      <c r="H3" s="36" t="s">
        <v>2</v>
      </c>
      <c r="I3" s="36"/>
      <c r="J3" s="36"/>
      <c r="K3" s="36"/>
      <c r="L3" s="36" t="s">
        <v>3</v>
      </c>
      <c r="M3" s="36"/>
      <c r="N3" s="36"/>
      <c r="O3" s="36"/>
      <c r="P3" s="36"/>
      <c r="Q3" s="36"/>
      <c r="R3" s="37" t="s">
        <v>5</v>
      </c>
    </row>
    <row r="4" spans="1:18" ht="23.25" customHeight="1" x14ac:dyDescent="0.2">
      <c r="A4" s="35"/>
      <c r="B4" s="39"/>
      <c r="C4" s="6">
        <v>1</v>
      </c>
      <c r="D4" s="5">
        <v>1</v>
      </c>
      <c r="E4" s="5">
        <v>2</v>
      </c>
      <c r="F4" s="5">
        <v>3</v>
      </c>
      <c r="G4" s="5">
        <v>4</v>
      </c>
      <c r="H4" s="5">
        <v>1</v>
      </c>
      <c r="I4" s="5">
        <v>2</v>
      </c>
      <c r="J4" s="5">
        <v>3</v>
      </c>
      <c r="K4" s="5">
        <v>4</v>
      </c>
      <c r="L4" s="5">
        <v>1</v>
      </c>
      <c r="M4" s="5">
        <v>2</v>
      </c>
      <c r="N4" s="5">
        <v>3</v>
      </c>
      <c r="O4" s="5">
        <v>4</v>
      </c>
      <c r="P4" s="5">
        <v>5</v>
      </c>
      <c r="Q4" s="5">
        <v>6</v>
      </c>
      <c r="R4" s="38"/>
    </row>
    <row r="5" spans="1:18" ht="31.5" customHeight="1" x14ac:dyDescent="0.2">
      <c r="A5" s="7">
        <v>1</v>
      </c>
      <c r="B5" s="6" t="str">
        <f>VLOOKUP(A5,'All-Stages'!$A$3:$T$19,2,FALSE)</f>
        <v>الوزن والاستلام</v>
      </c>
      <c r="C5" s="6" t="str">
        <f>VLOOKUP(A5,'All-Stages'!$A$3:$T$19,3,FALSE)</f>
        <v>كمية الاستيل</v>
      </c>
      <c r="D5" s="6" t="str">
        <f>IF(VLOOKUP(A5,'All-Stages'!$A$3:$T$19,4,FALSE)&lt;&gt;"",VLOOKUP(A5,'All-Stages'!$A$3:$T$19,4,FALSE),"")</f>
        <v/>
      </c>
      <c r="E5" s="6" t="str">
        <f>IF(VLOOKUP(A5,'All-Stages'!$A$3:$T$19,6,FALSE)&lt;&gt;"",VLOOKUP(A5,'All-Stages'!$A$3:$T$19,6,FALSE),"")</f>
        <v/>
      </c>
      <c r="F5" s="6"/>
      <c r="G5" s="6"/>
      <c r="H5" s="8" t="str">
        <f>IF(VLOOKUP(A5,'All-Stages'!$A$3:$T$19,10,FALSE)&lt;&gt;"",VLOOKUP(A5,'All-Stages'!$A$3:$T$19,10,FALSE),"")</f>
        <v>حفيظ جهاز القياس</v>
      </c>
      <c r="I5" s="8" t="str">
        <f>IF(VLOOKUP(A5,'All-Stages'!$A$3:$T$19,11,FALSE)&lt;&gt;"",VLOOKUP(A5,'All-Stages'!$A$3:$T$19,11,FALSE),"")</f>
        <v>حبيب فوركلفت</v>
      </c>
      <c r="J5" s="8"/>
      <c r="K5" s="8"/>
      <c r="L5" s="8" t="str">
        <f>IF(VLOOKUP(A5,'All-Stages'!$A$3:$T$19,14,FALSE)&lt;&gt;"",VLOOKUP(A5,'All-Stages'!$A$3:$T$19,14,FALSE),"")</f>
        <v>كهرباء جهاز القياس</v>
      </c>
      <c r="M5" s="8" t="str">
        <f>IF(VLOOKUP(A5,'All-Stages'!$A$3:$T$19,15,FALSE)&lt;&gt;"",VLOOKUP(A5,'All-Stages'!$A$3:$T$19,15,FALSE),"")</f>
        <v>كهرباء الفوركلفت</v>
      </c>
      <c r="N5" s="8" t="str">
        <f>IF(VLOOKUP(A5,'All-Stages'!$A$3:$T$19,16,FALSE)&lt;&gt;"",VLOOKUP(A5,'All-Stages'!$A$3:$T$19,16,FALSE),"")</f>
        <v>استهلاك جهاز القياس</v>
      </c>
      <c r="O5" s="8" t="str">
        <f>IF(VLOOKUP(A5,'All-Stages'!$A$3:$T$19,18,FALSE)&lt;&gt;"",VLOOKUP(A5,'All-Stages'!$A$3:$T$19,18,FALSE),"")</f>
        <v>صيانة 1</v>
      </c>
      <c r="P5" s="8" t="str">
        <f>IF(VLOOKUP(A5,'All-Stages'!$A$3:$T$19,19,FALSE)&lt;&gt;"",VLOOKUP(A5,'All-Stages'!$A$3:$T$19,19,FALSE),"")</f>
        <v>صيانة الفوركلفت</v>
      </c>
      <c r="Q5" s="8"/>
      <c r="R5" s="9" t="str">
        <f>IF(VLOOKUP(A5,'All-Stages'!$A$3:$T$19,20,FALSE)&lt;&gt;"",VLOOKUP(A5,'All-Stages'!$A$3:$T$19,20,FALSE),"")</f>
        <v>متوسط 25 طن باليوم</v>
      </c>
    </row>
    <row r="6" spans="1:18" ht="31.5" customHeight="1" x14ac:dyDescent="0.2">
      <c r="A6" s="7">
        <v>2</v>
      </c>
      <c r="B6" s="6" t="str">
        <f>VLOOKUP(A6,'All-Stages'!$A$3:$T$19,2,FALSE)</f>
        <v>التتنظيف</v>
      </c>
      <c r="C6" s="6" t="str">
        <f>VLOOKUP(A6,'All-Stages'!$A$3:$T$19,3,FALSE)</f>
        <v>كمية الاستيل</v>
      </c>
      <c r="D6" s="6" t="str">
        <f>IF(VLOOKUP(A6,'All-Stages'!$A$3:$T$19,4,FALSE)&lt;&gt;"",VLOOKUP(A6,'All-Stages'!$A$3:$T$19,4,FALSE),"")</f>
        <v/>
      </c>
      <c r="E6" s="6" t="str">
        <f>IF(VLOOKUP(A6,'All-Stages'!$A$3:$T$19,6,FALSE)&lt;&gt;"",VLOOKUP(A6,'All-Stages'!$A$3:$T$19,6,FALSE),"")</f>
        <v/>
      </c>
      <c r="F6" s="6"/>
      <c r="G6" s="6"/>
      <c r="H6" s="8" t="str">
        <f>IF(VLOOKUP(A6,'All-Stages'!$A$3:$T$19,10,FALSE)&lt;&gt;"",VLOOKUP(A6,'All-Stages'!$A$3:$T$19,10,FALSE),"")</f>
        <v>هيكساني / حكيم</v>
      </c>
      <c r="I6" s="8" t="str">
        <f>IF(VLOOKUP(A6,'All-Stages'!$A$3:$T$19,11,FALSE)&lt;&gt;"",VLOOKUP(A6,'All-Stages'!$A$3:$T$19,11,FALSE),"")</f>
        <v/>
      </c>
      <c r="J6" s="8"/>
      <c r="K6" s="8"/>
      <c r="L6" s="8" t="str">
        <f>IF(VLOOKUP(A6,'All-Stages'!$A$3:$T$19,14,FALSE)&lt;&gt;"",VLOOKUP(A6,'All-Stages'!$A$3:$T$19,14,FALSE),"")</f>
        <v>كهرباء ماكينة 1</v>
      </c>
      <c r="M6" s="8" t="str">
        <f>IF(VLOOKUP(A6,'All-Stages'!$A$3:$T$19,15,FALSE)&lt;&gt;"",VLOOKUP(A6,'All-Stages'!$A$3:$T$19,15,FALSE),"")</f>
        <v>استهلاك 1</v>
      </c>
      <c r="N6" s="8" t="str">
        <f>IF(VLOOKUP(A6,'All-Stages'!$A$3:$T$19,16,FALSE)&lt;&gt;"",VLOOKUP(A6,'All-Stages'!$A$3:$T$19,16,FALSE),"")</f>
        <v>صيانة 3</v>
      </c>
      <c r="O6" s="8" t="str">
        <f>IF(VLOOKUP(A6,'All-Stages'!$A$3:$T$19,18,FALSE)&lt;&gt;"",VLOOKUP(A6,'All-Stages'!$A$3:$T$19,18,FALSE),"")</f>
        <v/>
      </c>
      <c r="P6" s="8" t="str">
        <f>IF(VLOOKUP(A6,'All-Stages'!$A$3:$T$19,19,FALSE)&lt;&gt;"",VLOOKUP(A6,'All-Stages'!$A$3:$T$19,19,FALSE),"")</f>
        <v/>
      </c>
      <c r="Q6" s="8"/>
      <c r="R6" s="9" t="str">
        <f>IF(VLOOKUP(A6,'All-Stages'!$A$3:$T$19,20,FALSE)&lt;&gt;"",VLOOKUP(A6,'All-Stages'!$A$3:$T$19,20,FALSE),"")</f>
        <v>متوسط 50 طن 3 أيام</v>
      </c>
    </row>
    <row r="7" spans="1:18" ht="31.5" customHeight="1" x14ac:dyDescent="0.2">
      <c r="A7" s="7">
        <v>5</v>
      </c>
      <c r="B7" s="6" t="str">
        <f>VLOOKUP(A7,'All-Stages'!$A$3:$T$19,2,FALSE)</f>
        <v>ماكينة 2</v>
      </c>
      <c r="C7" s="6" t="str">
        <f>VLOOKUP(A7,'All-Stages'!$A$3:$T$19,3,FALSE)</f>
        <v>كمية الاستيل</v>
      </c>
      <c r="D7" s="6" t="str">
        <f>IF(VLOOKUP(A7,'All-Stages'!$A$3:$T$19,4,FALSE)&lt;&gt;"",VLOOKUP(A7,'All-Stages'!$A$3:$T$19,4,FALSE),"")</f>
        <v/>
      </c>
      <c r="E7" s="6" t="str">
        <f>IF(VLOOKUP(A7,'All-Stages'!$A$3:$T$19,6,FALSE)&lt;&gt;"",VLOOKUP(A7,'All-Stages'!$A$3:$T$19,6,FALSE),"")</f>
        <v/>
      </c>
      <c r="F7" s="6"/>
      <c r="G7" s="6"/>
      <c r="H7" s="8" t="str">
        <f>IF(VLOOKUP(A7,'All-Stages'!$A$3:$T$19,10,FALSE)&lt;&gt;"",VLOOKUP(A7,'All-Stages'!$A$3:$T$19,10,FALSE),"")</f>
        <v>4 أفراد فرز + 3 تعبئة</v>
      </c>
      <c r="I7" s="8" t="str">
        <f>IF(VLOOKUP(A7,'All-Stages'!$A$3:$T$19,11,FALSE)&lt;&gt;"",VLOOKUP(A7,'All-Stages'!$A$3:$T$19,11,FALSE),"")</f>
        <v/>
      </c>
      <c r="J7" s="8"/>
      <c r="K7" s="8"/>
      <c r="L7" s="8" t="str">
        <f>IF(VLOOKUP(A7,'All-Stages'!$A$3:$T$19,14,FALSE)&lt;&gt;"",VLOOKUP(A7,'All-Stages'!$A$3:$T$19,14,FALSE),"")</f>
        <v>كهرباء ماكينة 4</v>
      </c>
      <c r="M7" s="8" t="str">
        <f>IF(VLOOKUP(A7,'All-Stages'!$A$3:$T$19,15,FALSE)&lt;&gt;"",VLOOKUP(A7,'All-Stages'!$A$3:$T$19,15,FALSE),"")</f>
        <v>استهلاك 4</v>
      </c>
      <c r="N7" s="8" t="str">
        <f>IF(VLOOKUP(A7,'All-Stages'!$A$3:$T$19,16,FALSE)&lt;&gt;"",VLOOKUP(A7,'All-Stages'!$A$3:$T$19,16,FALSE),"")</f>
        <v>صيانة 6</v>
      </c>
      <c r="O7" s="8" t="str">
        <f>IF(VLOOKUP(A7,'All-Stages'!$A$3:$T$19,18,FALSE)&lt;&gt;"",VLOOKUP(A7,'All-Stages'!$A$3:$T$19,18,FALSE),"")</f>
        <v/>
      </c>
      <c r="P7" s="8" t="str">
        <f>IF(VLOOKUP(A7,'All-Stages'!$A$3:$T$19,19,FALSE)&lt;&gt;"",VLOOKUP(A7,'All-Stages'!$A$3:$T$19,19,FALSE),"")</f>
        <v/>
      </c>
      <c r="Q7" s="8"/>
      <c r="R7" s="9" t="str">
        <f>IF(VLOOKUP(A7,'All-Stages'!$A$3:$T$19,20,FALSE)&lt;&gt;"",VLOOKUP(A7,'All-Stages'!$A$3:$T$19,20,FALSE),"")</f>
        <v/>
      </c>
    </row>
    <row r="8" spans="1:18" ht="31.5" customHeight="1" x14ac:dyDescent="0.2">
      <c r="A8" s="7">
        <v>4</v>
      </c>
      <c r="B8" s="6" t="str">
        <f>VLOOKUP(A8,'All-Stages'!$A$3:$T$19,2,FALSE)</f>
        <v>ماكينة 1</v>
      </c>
      <c r="C8" s="6" t="str">
        <f>VLOOKUP(A8,'All-Stages'!$A$3:$T$19,3,FALSE)</f>
        <v>كمية الاستيل</v>
      </c>
      <c r="D8" s="6" t="str">
        <f>IF(VLOOKUP(A8,'All-Stages'!$A$3:$T$19,4,FALSE)&lt;&gt;"",VLOOKUP(A8,'All-Stages'!$A$3:$T$19,4,FALSE),"")</f>
        <v/>
      </c>
      <c r="E8" s="6" t="str">
        <f>IF(VLOOKUP(A8,'All-Stages'!$A$3:$T$19,6,FALSE)&lt;&gt;"",VLOOKUP(A8,'All-Stages'!$A$3:$T$19,6,FALSE),"")</f>
        <v/>
      </c>
      <c r="F8" s="6"/>
      <c r="G8" s="6"/>
      <c r="H8" s="8" t="str">
        <f>IF(VLOOKUP(A8,'All-Stages'!$A$3:$T$19,10,FALSE)&lt;&gt;"",VLOOKUP(A8,'All-Stages'!$A$3:$T$19,10,FALSE),"")</f>
        <v>3 أفراد</v>
      </c>
      <c r="I8" s="8" t="str">
        <f>IF(VLOOKUP(A8,'All-Stages'!$A$3:$T$19,11,FALSE)&lt;&gt;"",VLOOKUP(A8,'All-Stages'!$A$3:$T$19,11,FALSE),"")</f>
        <v/>
      </c>
      <c r="J8" s="8"/>
      <c r="K8" s="8"/>
      <c r="L8" s="8" t="str">
        <f>IF(VLOOKUP(A8,'All-Stages'!$A$3:$T$19,14,FALSE)&lt;&gt;"",VLOOKUP(A8,'All-Stages'!$A$3:$T$19,14,FALSE),"")</f>
        <v>كهرباء ماكينة 3</v>
      </c>
      <c r="M8" s="8" t="str">
        <f>IF(VLOOKUP(A8,'All-Stages'!$A$3:$T$19,15,FALSE)&lt;&gt;"",VLOOKUP(A8,'All-Stages'!$A$3:$T$19,15,FALSE),"")</f>
        <v>استهلاك 3</v>
      </c>
      <c r="N8" s="8" t="str">
        <f>IF(VLOOKUP(A8,'All-Stages'!$A$3:$T$19,16,FALSE)&lt;&gt;"",VLOOKUP(A8,'All-Stages'!$A$3:$T$19,16,FALSE),"")</f>
        <v>صيانة 5</v>
      </c>
      <c r="O8" s="8" t="str">
        <f>IF(VLOOKUP(A8,'All-Stages'!$A$3:$T$19,18,FALSE)&lt;&gt;"",VLOOKUP(A8,'All-Stages'!$A$3:$T$19,18,FALSE),"")</f>
        <v/>
      </c>
      <c r="P8" s="8" t="str">
        <f>IF(VLOOKUP(A8,'All-Stages'!$A$3:$T$19,19,FALSE)&lt;&gt;"",VLOOKUP(A8,'All-Stages'!$A$3:$T$19,19,FALSE),"")</f>
        <v/>
      </c>
      <c r="Q8" s="8"/>
      <c r="R8" s="9" t="str">
        <f>IF(VLOOKUP(A8,'All-Stages'!$A$3:$T$19,20,FALSE)&lt;&gt;"",VLOOKUP(A8,'All-Stages'!$A$3:$T$19,20,FALSE),"")</f>
        <v/>
      </c>
    </row>
    <row r="9" spans="1:18" ht="31.5" customHeight="1" x14ac:dyDescent="0.2">
      <c r="A9" s="7">
        <v>7</v>
      </c>
      <c r="B9" s="6" t="str">
        <f>VLOOKUP(A9,'All-Stages'!$A$3:$T$19,2,FALSE)</f>
        <v>ماكينة 4</v>
      </c>
      <c r="C9" s="6" t="str">
        <f>VLOOKUP(A9,'All-Stages'!$A$3:$T$19,3,FALSE)</f>
        <v>كمية الاستيل</v>
      </c>
      <c r="D9" s="6" t="str">
        <f>IF(VLOOKUP(A9,'All-Stages'!$A$3:$T$19,4,FALSE)&lt;&gt;"",VLOOKUP(A9,'All-Stages'!$A$3:$T$19,4,FALSE),"")</f>
        <v/>
      </c>
      <c r="E9" s="6" t="str">
        <f>IF(VLOOKUP(A9,'All-Stages'!$A$3:$T$19,6,FALSE)&lt;&gt;"",VLOOKUP(A9,'All-Stages'!$A$3:$T$19,6,FALSE),"")</f>
        <v/>
      </c>
      <c r="F9" s="6"/>
      <c r="G9" s="6"/>
      <c r="H9" s="8" t="str">
        <f>IF(VLOOKUP(A9,'All-Stages'!$A$3:$T$19,10,FALSE)&lt;&gt;"",VLOOKUP(A9,'All-Stages'!$A$3:$T$19,10,FALSE),"")</f>
        <v>3 أفراد</v>
      </c>
      <c r="I9" s="8" t="str">
        <f>IF(VLOOKUP(A9,'All-Stages'!$A$3:$T$19,11,FALSE)&lt;&gt;"",VLOOKUP(A9,'All-Stages'!$A$3:$T$19,11,FALSE),"")</f>
        <v/>
      </c>
      <c r="J9" s="8"/>
      <c r="K9" s="8"/>
      <c r="L9" s="8" t="str">
        <f>IF(VLOOKUP(A9,'All-Stages'!$A$3:$T$19,14,FALSE)&lt;&gt;"",VLOOKUP(A9,'All-Stages'!$A$3:$T$19,14,FALSE),"")</f>
        <v>كهرباء ماكينة 6</v>
      </c>
      <c r="M9" s="8" t="str">
        <f>IF(VLOOKUP(A9,'All-Stages'!$A$3:$T$19,15,FALSE)&lt;&gt;"",VLOOKUP(A9,'All-Stages'!$A$3:$T$19,15,FALSE),"")</f>
        <v>استهلاك 6</v>
      </c>
      <c r="N9" s="8" t="str">
        <f>IF(VLOOKUP(A9,'All-Stages'!$A$3:$T$19,16,FALSE)&lt;&gt;"",VLOOKUP(A9,'All-Stages'!$A$3:$T$19,16,FALSE),"")</f>
        <v>صيانة 8</v>
      </c>
      <c r="O9" s="8" t="str">
        <f>IF(VLOOKUP(A9,'All-Stages'!$A$3:$T$19,18,FALSE)&lt;&gt;"",VLOOKUP(A9,'All-Stages'!$A$3:$T$19,18,FALSE),"")</f>
        <v/>
      </c>
      <c r="P9" s="8" t="str">
        <f>IF(VLOOKUP(A9,'All-Stages'!$A$3:$T$19,19,FALSE)&lt;&gt;"",VLOOKUP(A9,'All-Stages'!$A$3:$T$19,19,FALSE),"")</f>
        <v/>
      </c>
      <c r="Q9" s="8"/>
      <c r="R9" s="9" t="str">
        <f>IF(VLOOKUP(A9,'All-Stages'!$A$3:$T$19,20,FALSE)&lt;&gt;"",VLOOKUP(A9,'All-Stages'!$A$3:$T$19,20,FALSE),"")</f>
        <v/>
      </c>
    </row>
    <row r="10" spans="1:18" ht="31.5" customHeight="1" x14ac:dyDescent="0.2">
      <c r="A10" s="7">
        <v>8</v>
      </c>
      <c r="B10" s="6" t="str">
        <f>VLOOKUP(A10,'All-Stages'!$A$3:$T$19,2,FALSE)</f>
        <v>ماكينة 5</v>
      </c>
      <c r="C10" s="6" t="str">
        <f>VLOOKUP(A10,'All-Stages'!$A$3:$T$19,3,FALSE)</f>
        <v>كمية الاستيل</v>
      </c>
      <c r="D10" s="6" t="str">
        <f>IF(VLOOKUP(A10,'All-Stages'!$A$3:$T$19,4,FALSE)&lt;&gt;"",VLOOKUP(A10,'All-Stages'!$A$3:$T$19,4,FALSE),"")</f>
        <v>استيل</v>
      </c>
      <c r="E10" s="6" t="str">
        <f>IF(VLOOKUP(A10,'All-Stages'!$A$3:$T$19,6,FALSE)&lt;&gt;"",VLOOKUP(A10,'All-Stages'!$A$3:$T$19,6,FALSE),"")</f>
        <v/>
      </c>
      <c r="F10" s="6"/>
      <c r="G10" s="6"/>
      <c r="H10" s="8" t="str">
        <f>IF(VLOOKUP(A10,'All-Stages'!$A$3:$T$19,10,FALSE)&lt;&gt;"",VLOOKUP(A10,'All-Stages'!$A$3:$T$19,10,FALSE),"")</f>
        <v>2 أفراد</v>
      </c>
      <c r="I10" s="8" t="str">
        <f>IF(VLOOKUP(A10,'All-Stages'!$A$3:$T$19,11,FALSE)&lt;&gt;"",VLOOKUP(A10,'All-Stages'!$A$3:$T$19,11,FALSE),"")</f>
        <v/>
      </c>
      <c r="J10" s="8"/>
      <c r="K10" s="8"/>
      <c r="L10" s="8" t="str">
        <f>IF(VLOOKUP(A10,'All-Stages'!$A$3:$T$19,14,FALSE)&lt;&gt;"",VLOOKUP(A10,'All-Stages'!$A$3:$T$19,14,FALSE),"")</f>
        <v/>
      </c>
      <c r="M10" s="8" t="str">
        <f>IF(VLOOKUP(A10,'All-Stages'!$A$3:$T$19,15,FALSE)&lt;&gt;"",VLOOKUP(A10,'All-Stages'!$A$3:$T$19,15,FALSE),"")</f>
        <v>استهلاك 7</v>
      </c>
      <c r="N10" s="8" t="str">
        <f>IF(VLOOKUP(A10,'All-Stages'!$A$3:$T$19,16,FALSE)&lt;&gt;"",VLOOKUP(A10,'All-Stages'!$A$3:$T$19,16,FALSE),"")</f>
        <v>التامين ضد المخاطر</v>
      </c>
      <c r="O10" s="8" t="str">
        <f>IF(VLOOKUP(A10,'All-Stages'!$A$3:$T$19,18,FALSE)&lt;&gt;"",VLOOKUP(A10,'All-Stages'!$A$3:$T$19,18,FALSE),"")</f>
        <v/>
      </c>
      <c r="P10" s="8" t="str">
        <f>IF(VLOOKUP(A10,'All-Stages'!$A$3:$T$19,19,FALSE)&lt;&gt;"",VLOOKUP(A10,'All-Stages'!$A$3:$T$19,19,FALSE),"")</f>
        <v/>
      </c>
      <c r="Q10" s="8"/>
      <c r="R10" s="9" t="str">
        <f>IF(VLOOKUP(A10,'All-Stages'!$A$3:$T$19,20,FALSE)&lt;&gt;"",VLOOKUP(A10,'All-Stages'!$A$3:$T$19,20,FALSE),"")</f>
        <v>متوسط 25 ك للفرد باليوم</v>
      </c>
    </row>
    <row r="11" spans="1:18" ht="31.5" customHeight="1" x14ac:dyDescent="0.2">
      <c r="A11" s="7">
        <v>9</v>
      </c>
      <c r="B11" s="6" t="str">
        <f>VLOOKUP(A11,'All-Stages'!$A$3:$T$19,2,FALSE)</f>
        <v>ماكينة 6</v>
      </c>
      <c r="C11" s="6" t="str">
        <f>VLOOKUP(A11,'All-Stages'!$A$3:$T$19,3,FALSE)</f>
        <v>كمية الاستيل</v>
      </c>
      <c r="D11" s="6" t="str">
        <f>IF(VLOOKUP(A11,'All-Stages'!$A$3:$T$19,4,FALSE)&lt;&gt;"",VLOOKUP(A11,'All-Stages'!$A$3:$T$19,4,FALSE),"")</f>
        <v/>
      </c>
      <c r="E11" s="6" t="str">
        <f>IF(VLOOKUP(A11,'All-Stages'!$A$3:$T$19,6,FALSE)&lt;&gt;"",VLOOKUP(A11,'All-Stages'!$A$3:$T$19,6,FALSE),"")</f>
        <v>بويا</v>
      </c>
      <c r="F11" s="6"/>
      <c r="G11" s="6"/>
      <c r="H11" s="8" t="str">
        <f>IF(VLOOKUP(A11,'All-Stages'!$A$3:$T$19,10,FALSE)&lt;&gt;"",VLOOKUP(A11,'All-Stages'!$A$3:$T$19,10,FALSE),"")</f>
        <v>فرد 1</v>
      </c>
      <c r="I11" s="8" t="str">
        <f>IF(VLOOKUP(A11,'All-Stages'!$A$3:$T$19,11,FALSE)&lt;&gt;"",VLOOKUP(A11,'All-Stages'!$A$3:$T$19,11,FALSE),"")</f>
        <v/>
      </c>
      <c r="J11" s="8"/>
      <c r="K11" s="8"/>
      <c r="L11" s="8" t="str">
        <f>IF(VLOOKUP(A11,'All-Stages'!$A$3:$T$19,14,FALSE)&lt;&gt;"",VLOOKUP(A11,'All-Stages'!$A$3:$T$19,14,FALSE),"")</f>
        <v/>
      </c>
      <c r="M11" s="8" t="str">
        <f>IF(VLOOKUP(A11,'All-Stages'!$A$3:$T$19,15,FALSE)&lt;&gt;"",VLOOKUP(A11,'All-Stages'!$A$3:$T$19,15,FALSE),"")</f>
        <v/>
      </c>
      <c r="N11" s="8" t="str">
        <f>IF(VLOOKUP(A11,'All-Stages'!$A$3:$T$19,16,FALSE)&lt;&gt;"",VLOOKUP(A11,'All-Stages'!$A$3:$T$19,16,FALSE),"")</f>
        <v/>
      </c>
      <c r="O11" s="8" t="str">
        <f>IF(VLOOKUP(A11,'All-Stages'!$A$3:$T$19,18,FALSE)&lt;&gt;"",VLOOKUP(A11,'All-Stages'!$A$3:$T$19,18,FALSE),"")</f>
        <v/>
      </c>
      <c r="P11" s="8" t="str">
        <f>IF(VLOOKUP(A11,'All-Stages'!$A$3:$T$19,19,FALSE)&lt;&gt;"",VLOOKUP(A11,'All-Stages'!$A$3:$T$19,19,FALSE),"")</f>
        <v/>
      </c>
      <c r="Q11" s="8"/>
      <c r="R11" s="9" t="str">
        <f>IF(VLOOKUP(A11,'All-Stages'!$A$3:$T$19,20,FALSE)&lt;&gt;"",VLOOKUP(A11,'All-Stages'!$A$3:$T$19,20,FALSE),"")</f>
        <v>متوسط 50 ك للفرد باليوم</v>
      </c>
    </row>
    <row r="12" spans="1:18" ht="31.5" customHeight="1" x14ac:dyDescent="0.2">
      <c r="A12" s="7">
        <v>10</v>
      </c>
      <c r="B12" s="6" t="str">
        <f>VLOOKUP(A12,'All-Stages'!$A$3:$T$19,2,FALSE)</f>
        <v>ماكينة 7</v>
      </c>
      <c r="C12" s="6" t="str">
        <f>VLOOKUP(A12,'All-Stages'!$A$3:$T$19,3,FALSE)</f>
        <v>مدة التخزين</v>
      </c>
      <c r="D12" s="6" t="str">
        <f>IF(VLOOKUP(A12,'All-Stages'!$A$3:$T$19,4,FALSE)&lt;&gt;"",VLOOKUP(A12,'All-Stages'!$A$3:$T$19,4,FALSE),"")</f>
        <v/>
      </c>
      <c r="E12" s="6" t="str">
        <f>IF(VLOOKUP(A12,'All-Stages'!$A$3:$T$19,6,FALSE)&lt;&gt;"",VLOOKUP(A12,'All-Stages'!$A$3:$T$19,6,FALSE),"")</f>
        <v/>
      </c>
      <c r="F12" s="6"/>
      <c r="G12" s="6"/>
      <c r="H12" s="8" t="str">
        <f>IF(VLOOKUP(A12,'All-Stages'!$A$3:$T$19,10,FALSE)&lt;&gt;"",VLOOKUP(A12,'All-Stages'!$A$3:$T$19,10,FALSE),"")</f>
        <v>حبيب</v>
      </c>
      <c r="I12" s="8" t="str">
        <f>IF(VLOOKUP(A12,'All-Stages'!$A$3:$T$19,11,FALSE)&lt;&gt;"",VLOOKUP(A12,'All-Stages'!$A$3:$T$19,11,FALSE),"")</f>
        <v/>
      </c>
      <c r="J12" s="8"/>
      <c r="K12" s="8"/>
      <c r="L12" s="8" t="str">
        <f>IF(VLOOKUP(A12,'All-Stages'!$A$3:$T$19,14,FALSE)&lt;&gt;"",VLOOKUP(A12,'All-Stages'!$A$3:$T$19,14,FALSE),"")</f>
        <v>كهرباء غرفة الدهان</v>
      </c>
      <c r="M12" s="8" t="str">
        <f>IF(VLOOKUP(A12,'All-Stages'!$A$3:$T$19,15,FALSE)&lt;&gt;"",VLOOKUP(A12,'All-Stages'!$A$3:$T$19,15,FALSE),"")</f>
        <v>استهلاك 8</v>
      </c>
      <c r="N12" s="8" t="str">
        <f>IF(VLOOKUP(A12,'All-Stages'!$A$3:$T$19,16,FALSE)&lt;&gt;"",VLOOKUP(A12,'All-Stages'!$A$3:$T$19,16,FALSE),"")</f>
        <v>صيانة  9</v>
      </c>
      <c r="O12" s="8" t="str">
        <f>IF(VLOOKUP(A12,'All-Stages'!$A$3:$T$19,18,FALSE)&lt;&gt;"",VLOOKUP(A12,'All-Stages'!$A$3:$T$19,18,FALSE),"")</f>
        <v>صيانة الفوركلفت</v>
      </c>
      <c r="P12" s="8" t="str">
        <f>IF(VLOOKUP(A12,'All-Stages'!$A$3:$T$19,19,FALSE)&lt;&gt;"",VLOOKUP(A12,'All-Stages'!$A$3:$T$19,19,FALSE),"")</f>
        <v/>
      </c>
      <c r="Q12" s="8"/>
      <c r="R12" s="9" t="str">
        <f>IF(VLOOKUP(A12,'All-Stages'!$A$3:$T$19,20,FALSE)&lt;&gt;"",VLOOKUP(A12,'All-Stages'!$A$3:$T$19,20,FALSE),"")</f>
        <v/>
      </c>
    </row>
    <row r="13" spans="1:18" ht="31.5" customHeight="1" x14ac:dyDescent="0.2">
      <c r="A13" s="7">
        <v>11</v>
      </c>
      <c r="B13" s="6" t="str">
        <f>VLOOKUP(A13,'All-Stages'!$A$3:$T$19,2,FALSE)</f>
        <v>ماكينة 8</v>
      </c>
      <c r="C13" s="6" t="str">
        <f>VLOOKUP(A13,'All-Stages'!$A$3:$T$19,3,FALSE)</f>
        <v>كمية الاستيل</v>
      </c>
      <c r="D13" s="6" t="str">
        <f>IF(VLOOKUP(A13,'All-Stages'!$A$3:$T$19,4,FALSE)&lt;&gt;"",VLOOKUP(A13,'All-Stages'!$A$3:$T$19,4,FALSE),"")</f>
        <v>مادة 5</v>
      </c>
      <c r="E13" s="6" t="str">
        <f>IF(VLOOKUP(A13,'All-Stages'!$A$3:$T$19,6,FALSE)&lt;&gt;"",VLOOKUP(A13,'All-Stages'!$A$3:$T$19,6,FALSE),"")</f>
        <v/>
      </c>
      <c r="F13" s="6"/>
      <c r="G13" s="6"/>
      <c r="H13" s="8" t="str">
        <f>IF(VLOOKUP(A13,'All-Stages'!$A$3:$T$19,10,FALSE)&lt;&gt;"",VLOOKUP(A13,'All-Stages'!$A$3:$T$19,10,FALSE),"")</f>
        <v>2 فرد</v>
      </c>
      <c r="I13" s="8" t="str">
        <f>IF(VLOOKUP(A13,'All-Stages'!$A$3:$T$19,11,FALSE)&lt;&gt;"",VLOOKUP(A13,'All-Stages'!$A$3:$T$19,11,FALSE),"")</f>
        <v/>
      </c>
      <c r="J13" s="8"/>
      <c r="K13" s="8"/>
      <c r="L13" s="8" t="str">
        <f>IF(VLOOKUP(A13,'All-Stages'!$A$3:$T$19,14,FALSE)&lt;&gt;"",VLOOKUP(A13,'All-Stages'!$A$3:$T$19,14,FALSE),"")</f>
        <v>كهرباء ماكينة 7</v>
      </c>
      <c r="M13" s="8" t="str">
        <f>IF(VLOOKUP(A13,'All-Stages'!$A$3:$T$19,15,FALSE)&lt;&gt;"",VLOOKUP(A13,'All-Stages'!$A$3:$T$19,15,FALSE),"")</f>
        <v>استهلاك 9</v>
      </c>
      <c r="N13" s="8" t="str">
        <f>IF(VLOOKUP(A13,'All-Stages'!$A$3:$T$19,16,FALSE)&lt;&gt;"",VLOOKUP(A13,'All-Stages'!$A$3:$T$19,16,FALSE),"")</f>
        <v>صيانة  10</v>
      </c>
      <c r="O13" s="8" t="str">
        <f>IF(VLOOKUP(A13,'All-Stages'!$A$3:$T$19,18,FALSE)&lt;&gt;"",VLOOKUP(A13,'All-Stages'!$A$3:$T$19,18,FALSE),"")</f>
        <v/>
      </c>
      <c r="P13" s="8" t="str">
        <f>IF(VLOOKUP(A13,'All-Stages'!$A$3:$T$19,19,FALSE)&lt;&gt;"",VLOOKUP(A13,'All-Stages'!$A$3:$T$19,19,FALSE),"")</f>
        <v/>
      </c>
      <c r="Q13" s="8"/>
      <c r="R13" s="9" t="str">
        <f>IF(VLOOKUP(A13,'All-Stages'!$A$3:$T$19,20,FALSE)&lt;&gt;"",VLOOKUP(A13,'All-Stages'!$A$3:$T$19,20,FALSE),"")</f>
        <v>متوسط 350 ك للماكينة باليوم (الوردية 8 ساعات)</v>
      </c>
    </row>
    <row r="14" spans="1:18" ht="31.5" customHeight="1" x14ac:dyDescent="0.2">
      <c r="A14" s="7">
        <v>12</v>
      </c>
      <c r="B14" s="6" t="str">
        <f>VLOOKUP(A14,'All-Stages'!$A$3:$T$19,2,FALSE)</f>
        <v>ماكينة 9</v>
      </c>
      <c r="C14" s="6" t="str">
        <f>VLOOKUP(A14,'All-Stages'!$A$3:$T$19,3,FALSE)</f>
        <v>مدة التخزين</v>
      </c>
      <c r="D14" s="6" t="str">
        <f>IF(VLOOKUP(A14,'All-Stages'!$A$3:$T$19,4,FALSE)&lt;&gt;"",VLOOKUP(A14,'All-Stages'!$A$3:$T$19,4,FALSE),"")</f>
        <v/>
      </c>
      <c r="E14" s="6" t="str">
        <f>IF(VLOOKUP(A14,'All-Stages'!$A$3:$T$19,6,FALSE)&lt;&gt;"",VLOOKUP(A14,'All-Stages'!$A$3:$T$19,6,FALSE),"")</f>
        <v/>
      </c>
      <c r="F14" s="6"/>
      <c r="G14" s="6"/>
      <c r="H14" s="8" t="str">
        <f>IF(VLOOKUP(A14,'All-Stages'!$A$3:$T$19,10,FALSE)&lt;&gt;"",VLOOKUP(A14,'All-Stages'!$A$3:$T$19,10,FALSE),"")</f>
        <v>حبيب</v>
      </c>
      <c r="I14" s="8" t="str">
        <f>IF(VLOOKUP(A14,'All-Stages'!$A$3:$T$19,11,FALSE)&lt;&gt;"",VLOOKUP(A14,'All-Stages'!$A$3:$T$19,11,FALSE),"")</f>
        <v/>
      </c>
      <c r="J14" s="8"/>
      <c r="K14" s="8"/>
      <c r="L14" s="8" t="str">
        <f>IF(VLOOKUP(A14,'All-Stages'!$A$3:$T$19,14,FALSE)&lt;&gt;"",VLOOKUP(A14,'All-Stages'!$A$3:$T$19,14,FALSE),"")</f>
        <v>كهرباء ماكينة 8</v>
      </c>
      <c r="M14" s="8" t="str">
        <f>IF(VLOOKUP(A14,'All-Stages'!$A$3:$T$19,15,FALSE)&lt;&gt;"",VLOOKUP(A14,'All-Stages'!$A$3:$T$19,15,FALSE),"")</f>
        <v>استهلاك 10</v>
      </c>
      <c r="N14" s="8" t="str">
        <f>IF(VLOOKUP(A14,'All-Stages'!$A$3:$T$19,16,FALSE)&lt;&gt;"",VLOOKUP(A14,'All-Stages'!$A$3:$T$19,16,FALSE),"")</f>
        <v>صيانة  11</v>
      </c>
      <c r="O14" s="8" t="str">
        <f>IF(VLOOKUP(A14,'All-Stages'!$A$3:$T$19,18,FALSE)&lt;&gt;"",VLOOKUP(A14,'All-Stages'!$A$3:$T$19,18,FALSE),"")</f>
        <v>صيانة الفوركلفت</v>
      </c>
      <c r="P14" s="8" t="str">
        <f>IF(VLOOKUP(A14,'All-Stages'!$A$3:$T$19,19,FALSE)&lt;&gt;"",VLOOKUP(A14,'All-Stages'!$A$3:$T$19,19,FALSE),"")</f>
        <v/>
      </c>
      <c r="Q14" s="8"/>
      <c r="R14" s="9" t="str">
        <f>IF(VLOOKUP(A14,'All-Stages'!$A$3:$T$19,20,FALSE)&lt;&gt;"",VLOOKUP(A14,'All-Stages'!$A$3:$T$19,20,FALSE),"")</f>
        <v/>
      </c>
    </row>
    <row r="15" spans="1:18" ht="31.5" customHeight="1" x14ac:dyDescent="0.2">
      <c r="A15" s="7">
        <v>13</v>
      </c>
      <c r="B15" s="6" t="str">
        <f>VLOOKUP(A15,'All-Stages'!$A$3:$T$19,2,FALSE)</f>
        <v>التلميع والتثبيت</v>
      </c>
      <c r="C15" s="6" t="str">
        <f>VLOOKUP(A15,'All-Stages'!$A$3:$T$19,3,FALSE)</f>
        <v>كمية الاستيل</v>
      </c>
      <c r="D15" s="6" t="str">
        <f>IF(VLOOKUP(A15,'All-Stages'!$A$3:$T$19,4,FALSE)&lt;&gt;"",VLOOKUP(A15,'All-Stages'!$A$3:$T$19,4,FALSE),"")</f>
        <v>مواد التغليف</v>
      </c>
      <c r="E15" s="6" t="str">
        <f>IF(VLOOKUP(A15,'All-Stages'!$A$3:$T$19,6,FALSE)&lt;&gt;"",VLOOKUP(A15,'All-Stages'!$A$3:$T$19,6,FALSE),"")</f>
        <v/>
      </c>
      <c r="F15" s="6"/>
      <c r="G15" s="6"/>
      <c r="H15" s="8" t="str">
        <f>IF(VLOOKUP(A15,'All-Stages'!$A$3:$T$19,10,FALSE)&lt;&gt;"",VLOOKUP(A15,'All-Stages'!$A$3:$T$19,10,FALSE),"")</f>
        <v>2 فرد</v>
      </c>
      <c r="I15" s="8" t="str">
        <f>IF(VLOOKUP(A15,'All-Stages'!$A$3:$T$19,11,FALSE)&lt;&gt;"",VLOOKUP(A15,'All-Stages'!$A$3:$T$19,11,FALSE),"")</f>
        <v/>
      </c>
      <c r="J15" s="8"/>
      <c r="K15" s="8"/>
      <c r="L15" s="8" t="str">
        <f>IF(VLOOKUP(A15,'All-Stages'!$A$3:$T$19,14,FALSE)&lt;&gt;"",VLOOKUP(A15,'All-Stages'!$A$3:$T$19,14,FALSE),"")</f>
        <v>كهرباء ماكينة 9</v>
      </c>
      <c r="M15" s="8" t="str">
        <f>IF(VLOOKUP(A15,'All-Stages'!$A$3:$T$19,15,FALSE)&lt;&gt;"",VLOOKUP(A15,'All-Stages'!$A$3:$T$19,15,FALSE),"")</f>
        <v>استهلاك 11</v>
      </c>
      <c r="N15" s="8" t="str">
        <f>IF(VLOOKUP(A15,'All-Stages'!$A$3:$T$19,16,FALSE)&lt;&gt;"",VLOOKUP(A15,'All-Stages'!$A$3:$T$19,16,FALSE),"")</f>
        <v>صيانة  12</v>
      </c>
      <c r="O15" s="8" t="str">
        <f>IF(VLOOKUP(A15,'All-Stages'!$A$3:$T$19,18,FALSE)&lt;&gt;"",VLOOKUP(A15,'All-Stages'!$A$3:$T$19,18,FALSE),"")</f>
        <v/>
      </c>
      <c r="P15" s="8" t="str">
        <f>IF(VLOOKUP(A15,'All-Stages'!$A$3:$T$19,19,FALSE)&lt;&gt;"",VLOOKUP(A15,'All-Stages'!$A$3:$T$19,19,FALSE),"")</f>
        <v/>
      </c>
      <c r="Q15" s="8"/>
      <c r="R15" s="9" t="str">
        <f>IF(VLOOKUP(A15,'All-Stages'!$A$3:$T$19,20,FALSE)&lt;&gt;"",VLOOKUP(A15,'All-Stages'!$A$3:$T$19,20,FALSE),"")</f>
        <v/>
      </c>
    </row>
    <row r="16" spans="1:18" ht="31.5" customHeight="1" x14ac:dyDescent="0.2">
      <c r="A16" s="7">
        <v>13</v>
      </c>
      <c r="B16" s="6" t="str">
        <f>VLOOKUP(A16,'All-Stages'!$A$3:$T$19,2,FALSE)</f>
        <v>التلميع والتثبيت</v>
      </c>
      <c r="C16" s="6" t="str">
        <f>VLOOKUP(A16,'All-Stages'!$A$3:$T$19,3,FALSE)</f>
        <v>كمية الاستيل</v>
      </c>
      <c r="D16" s="6" t="str">
        <f>IF(VLOOKUP(A16,'All-Stages'!$A$3:$T$19,4,FALSE)&lt;&gt;"",VLOOKUP(A16,'All-Stages'!$A$3:$T$19,4,FALSE),"")</f>
        <v>مواد التغليف</v>
      </c>
      <c r="E16" s="6" t="str">
        <f>IF(VLOOKUP(A16,'All-Stages'!$A$3:$T$19,6,FALSE)&lt;&gt;"",VLOOKUP(A16,'All-Stages'!$A$3:$T$19,6,FALSE),"")</f>
        <v/>
      </c>
      <c r="F16" s="6"/>
      <c r="G16" s="6"/>
      <c r="H16" s="8" t="str">
        <f>IF(VLOOKUP(A16,'All-Stages'!$A$3:$T$19,10,FALSE)&lt;&gt;"",VLOOKUP(A16,'All-Stages'!$A$3:$T$19,10,FALSE),"")</f>
        <v>2 فرد</v>
      </c>
      <c r="I16" s="8" t="str">
        <f>IF(VLOOKUP(A16,'All-Stages'!$A$3:$T$19,11,FALSE)&lt;&gt;"",VLOOKUP(A16,'All-Stages'!$A$3:$T$19,11,FALSE),"")</f>
        <v/>
      </c>
      <c r="J16" s="8"/>
      <c r="K16" s="8"/>
      <c r="L16" s="8" t="str">
        <f>IF(VLOOKUP(A16,'All-Stages'!$A$3:$T$19,14,FALSE)&lt;&gt;"",VLOOKUP(A16,'All-Stages'!$A$3:$T$19,14,FALSE),"")</f>
        <v>كهرباء ماكينة 9</v>
      </c>
      <c r="M16" s="8" t="str">
        <f>IF(VLOOKUP(A16,'All-Stages'!$A$3:$T$19,15,FALSE)&lt;&gt;"",VLOOKUP(A16,'All-Stages'!$A$3:$T$19,15,FALSE),"")</f>
        <v>استهلاك 11</v>
      </c>
      <c r="N16" s="8" t="str">
        <f>IF(VLOOKUP(A16,'All-Stages'!$A$3:$T$19,16,FALSE)&lt;&gt;"",VLOOKUP(A16,'All-Stages'!$A$3:$T$19,16,FALSE),"")</f>
        <v>صيانة  12</v>
      </c>
      <c r="O16" s="8" t="str">
        <f>IF(VLOOKUP(A16,'All-Stages'!$A$3:$T$19,18,FALSE)&lt;&gt;"",VLOOKUP(A16,'All-Stages'!$A$3:$T$19,18,FALSE),"")</f>
        <v/>
      </c>
      <c r="P16" s="8" t="str">
        <f>IF(VLOOKUP(A16,'All-Stages'!$A$3:$T$19,19,FALSE)&lt;&gt;"",VLOOKUP(A16,'All-Stages'!$A$3:$T$19,19,FALSE),"")</f>
        <v/>
      </c>
      <c r="Q16" s="8"/>
      <c r="R16" s="9" t="str">
        <f>IF(VLOOKUP(A16,'All-Stages'!$A$3:$T$19,20,FALSE)&lt;&gt;"",VLOOKUP(A16,'All-Stages'!$A$3:$T$19,20,FALSE),"")</f>
        <v/>
      </c>
    </row>
    <row r="17" spans="1:18" ht="31.5" customHeight="1" x14ac:dyDescent="0.2">
      <c r="A17" s="7">
        <v>14</v>
      </c>
      <c r="B17" s="6" t="str">
        <f>VLOOKUP(A17,'All-Stages'!$A$3:$T$19,2,FALSE)</f>
        <v>التعبئة</v>
      </c>
      <c r="C17" s="6" t="str">
        <f>VLOOKUP(A17,'All-Stages'!$A$3:$T$19,3,FALSE)</f>
        <v>عدد العبوات</v>
      </c>
      <c r="D17" s="6" t="str">
        <f>IF(VLOOKUP(A17,'All-Stages'!$A$3:$T$19,4,FALSE)&lt;&gt;"",VLOOKUP(A17,'All-Stages'!$A$3:$T$19,4,FALSE),"")</f>
        <v>مواد التعبئة</v>
      </c>
      <c r="E17" s="6" t="str">
        <f>IF(VLOOKUP(A17,'All-Stages'!$A$3:$T$19,6,FALSE)&lt;&gt;"",VLOOKUP(A17,'All-Stages'!$A$3:$T$19,6,FALSE),"")</f>
        <v/>
      </c>
      <c r="F17" s="6"/>
      <c r="G17" s="6"/>
      <c r="H17" s="8" t="str">
        <f>IF(VLOOKUP(A17,'All-Stages'!$A$3:$T$19,10,FALSE)&lt;&gt;"",VLOOKUP(A17,'All-Stages'!$A$3:$T$19,10,FALSE),"")</f>
        <v>فرد للوزن + فرد للشرينك</v>
      </c>
      <c r="I17" s="8" t="str">
        <f>IF(VLOOKUP(A17,'All-Stages'!$A$3:$T$19,11,FALSE)&lt;&gt;"",VLOOKUP(A17,'All-Stages'!$A$3:$T$19,11,FALSE),"")</f>
        <v/>
      </c>
      <c r="J17" s="8"/>
      <c r="K17" s="8"/>
      <c r="L17" s="8" t="str">
        <f>IF(VLOOKUP(A17,'All-Stages'!$A$3:$T$19,14,FALSE)&lt;&gt;"",VLOOKUP(A17,'All-Stages'!$A$3:$T$19,14,FALSE),"")</f>
        <v>كهرباء ماكينة 10</v>
      </c>
      <c r="M17" s="8" t="str">
        <f>IF(VLOOKUP(A17,'All-Stages'!$A$3:$T$19,15,FALSE)&lt;&gt;"",VLOOKUP(A17,'All-Stages'!$A$3:$T$19,15,FALSE),"")</f>
        <v>استهلاك 12</v>
      </c>
      <c r="N17" s="8" t="str">
        <f>IF(VLOOKUP(A17,'All-Stages'!$A$3:$T$19,16,FALSE)&lt;&gt;"",VLOOKUP(A17,'All-Stages'!$A$3:$T$19,16,FALSE),"")</f>
        <v>صيانة  13</v>
      </c>
      <c r="O17" s="8" t="str">
        <f>IF(VLOOKUP(A17,'All-Stages'!$A$3:$T$19,18,FALSE)&lt;&gt;"",VLOOKUP(A17,'All-Stages'!$A$3:$T$19,18,FALSE),"")</f>
        <v/>
      </c>
      <c r="P17" s="8" t="str">
        <f>IF(VLOOKUP(A17,'All-Stages'!$A$3:$T$19,19,FALSE)&lt;&gt;"",VLOOKUP(A17,'All-Stages'!$A$3:$T$19,19,FALSE),"")</f>
        <v/>
      </c>
      <c r="Q17" s="8"/>
      <c r="R17" s="9" t="str">
        <f>IF(VLOOKUP(A17,'All-Stages'!$A$3:$T$19,20,FALSE)&lt;&gt;"",VLOOKUP(A17,'All-Stages'!$A$3:$T$19,20,FALSE),"")</f>
        <v/>
      </c>
    </row>
    <row r="18" spans="1:18" ht="31.5" customHeight="1" thickBot="1" x14ac:dyDescent="0.25">
      <c r="A18" s="10">
        <v>15</v>
      </c>
      <c r="B18" s="11" t="str">
        <f>VLOOKUP(A18,'All-Stages'!$A$3:$T$19,2,FALSE)</f>
        <v>تغليف شرينك للباليت</v>
      </c>
      <c r="C18" s="11" t="str">
        <f>VLOOKUP(A18,'All-Stages'!$A$3:$T$19,3,FALSE)</f>
        <v>عدد الباليت</v>
      </c>
      <c r="D18" s="11" t="str">
        <f>IF(VLOOKUP(A18,'All-Stages'!$A$3:$T$19,4,FALSE)&lt;&gt;"",VLOOKUP(A18,'All-Stages'!$A$3:$T$19,4,FALSE),"")</f>
        <v>مواد التعبئة</v>
      </c>
      <c r="E18" s="11" t="str">
        <f>IF(VLOOKUP(A18,'All-Stages'!$A$3:$T$19,6,FALSE)&lt;&gt;"",VLOOKUP(A18,'All-Stages'!$A$3:$T$19,6,FALSE),"")</f>
        <v/>
      </c>
      <c r="F18" s="11"/>
      <c r="G18" s="11"/>
      <c r="H18" s="12" t="str">
        <f>IF(VLOOKUP(A18,'All-Stages'!$A$3:$T$19,10,FALSE)&lt;&gt;"",VLOOKUP(A18,'All-Stages'!$A$3:$T$19,10,FALSE),"")</f>
        <v>3 أفراد</v>
      </c>
      <c r="I18" s="12" t="str">
        <f>IF(VLOOKUP(A18,'All-Stages'!$A$3:$T$19,11,FALSE)&lt;&gt;"",VLOOKUP(A18,'All-Stages'!$A$3:$T$19,11,FALSE),"")</f>
        <v/>
      </c>
      <c r="J18" s="12"/>
      <c r="K18" s="12"/>
      <c r="L18" s="12" t="str">
        <f>IF(VLOOKUP(A18,'All-Stages'!$A$3:$T$19,14,FALSE)&lt;&gt;"",VLOOKUP(A18,'All-Stages'!$A$3:$T$19,14,FALSE),"")</f>
        <v>كهرباء ماكينة 11</v>
      </c>
      <c r="M18" s="12" t="str">
        <f>IF(VLOOKUP(A18,'All-Stages'!$A$3:$T$19,15,FALSE)&lt;&gt;"",VLOOKUP(A18,'All-Stages'!$A$3:$T$19,15,FALSE),"")</f>
        <v>استهلاك 13</v>
      </c>
      <c r="N18" s="12" t="str">
        <f>IF(VLOOKUP(A18,'All-Stages'!$A$3:$T$19,16,FALSE)&lt;&gt;"",VLOOKUP(A18,'All-Stages'!$A$3:$T$19,16,FALSE),"")</f>
        <v>صيانة  14</v>
      </c>
      <c r="O18" s="12" t="str">
        <f>IF(VLOOKUP(A18,'All-Stages'!$A$3:$T$19,18,FALSE)&lt;&gt;"",VLOOKUP(A18,'All-Stages'!$A$3:$T$19,18,FALSE),"")</f>
        <v/>
      </c>
      <c r="P18" s="12" t="str">
        <f>IF(VLOOKUP(A18,'All-Stages'!$A$3:$T$19,19,FALSE)&lt;&gt;"",VLOOKUP(A18,'All-Stages'!$A$3:$T$19,19,FALSE),"")</f>
        <v/>
      </c>
      <c r="Q18" s="12"/>
      <c r="R18" s="13" t="str">
        <f>IF(VLOOKUP(A18,'All-Stages'!$A$3:$T$19,20,FALSE)&lt;&gt;"",VLOOKUP(A18,'All-Stages'!$A$3:$T$19,20,FALSE),"")</f>
        <v/>
      </c>
    </row>
  </sheetData>
  <mergeCells count="6">
    <mergeCell ref="A3:A4"/>
    <mergeCell ref="D3:G3"/>
    <mergeCell ref="H3:K3"/>
    <mergeCell ref="L3:Q3"/>
    <mergeCell ref="R3:R4"/>
    <mergeCell ref="B3:B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51B3-004B-4460-9EB8-422E9758287C}">
  <sheetPr>
    <pageSetUpPr fitToPage="1"/>
  </sheetPr>
  <dimension ref="A1:R18"/>
  <sheetViews>
    <sheetView rightToLeft="1" workbookViewId="0">
      <selection activeCell="I2" sqref="I2"/>
    </sheetView>
  </sheetViews>
  <sheetFormatPr defaultColWidth="9.125" defaultRowHeight="14.25" x14ac:dyDescent="0.2"/>
  <cols>
    <col min="1" max="1" width="3.25" style="3" bestFit="1" customWidth="1"/>
    <col min="2" max="2" width="20.75" style="3" customWidth="1"/>
    <col min="3" max="3" width="16.375" style="3" bestFit="1" customWidth="1"/>
    <col min="4" max="4" width="8.25" style="3" bestFit="1" customWidth="1"/>
    <col min="5" max="7" width="4.25" style="3" customWidth="1"/>
    <col min="8" max="8" width="11.625" style="3" bestFit="1" customWidth="1"/>
    <col min="9" max="9" width="11" style="3" bestFit="1" customWidth="1"/>
    <col min="10" max="10" width="11.25" style="3" hidden="1" customWidth="1"/>
    <col min="11" max="11" width="0" style="3" hidden="1" customWidth="1"/>
    <col min="12" max="12" width="12.625" style="3" bestFit="1" customWidth="1"/>
    <col min="13" max="13" width="11.25" style="3" bestFit="1" customWidth="1"/>
    <col min="14" max="14" width="13.5" style="3" bestFit="1" customWidth="1"/>
    <col min="15" max="15" width="6.75" style="3" bestFit="1" customWidth="1"/>
    <col min="16" max="16" width="8.5" style="3" customWidth="1"/>
    <col min="17" max="17" width="7.375" style="3" customWidth="1"/>
    <col min="18" max="18" width="25.25" style="3" bestFit="1" customWidth="1"/>
    <col min="19" max="16384" width="9.125" style="3"/>
  </cols>
  <sheetData>
    <row r="1" spans="1:18" x14ac:dyDescent="0.2">
      <c r="H1" s="3" t="s">
        <v>35</v>
      </c>
      <c r="I1" s="3" t="s">
        <v>124</v>
      </c>
    </row>
    <row r="2" spans="1:18" ht="15" thickBot="1" x14ac:dyDescent="0.25"/>
    <row r="3" spans="1:18" ht="23.25" customHeight="1" x14ac:dyDescent="0.2">
      <c r="A3" s="34" t="s">
        <v>34</v>
      </c>
      <c r="B3" s="36" t="s">
        <v>33</v>
      </c>
      <c r="C3" s="4" t="s">
        <v>4</v>
      </c>
      <c r="D3" s="36" t="s">
        <v>1</v>
      </c>
      <c r="E3" s="36"/>
      <c r="F3" s="36"/>
      <c r="G3" s="36"/>
      <c r="H3" s="36" t="s">
        <v>2</v>
      </c>
      <c r="I3" s="36"/>
      <c r="J3" s="36"/>
      <c r="K3" s="36"/>
      <c r="L3" s="40" t="s">
        <v>121</v>
      </c>
      <c r="M3" s="41"/>
      <c r="N3" s="41"/>
      <c r="O3" s="42"/>
      <c r="P3" s="40" t="s">
        <v>120</v>
      </c>
      <c r="Q3" s="42"/>
      <c r="R3" s="37" t="s">
        <v>5</v>
      </c>
    </row>
    <row r="4" spans="1:18" ht="23.25" customHeight="1" x14ac:dyDescent="0.2">
      <c r="A4" s="35"/>
      <c r="B4" s="39"/>
      <c r="C4" s="6">
        <v>1</v>
      </c>
      <c r="D4" s="5">
        <v>1</v>
      </c>
      <c r="E4" s="5">
        <v>2</v>
      </c>
      <c r="F4" s="5">
        <v>3</v>
      </c>
      <c r="G4" s="5">
        <v>4</v>
      </c>
      <c r="H4" s="5">
        <v>1</v>
      </c>
      <c r="I4" s="5">
        <v>2</v>
      </c>
      <c r="J4" s="5">
        <v>3</v>
      </c>
      <c r="K4" s="5">
        <v>4</v>
      </c>
      <c r="L4" s="5">
        <v>1</v>
      </c>
      <c r="M4" s="5">
        <v>2</v>
      </c>
      <c r="N4" s="5">
        <v>3</v>
      </c>
      <c r="O4" s="5">
        <v>4</v>
      </c>
      <c r="P4" s="5">
        <v>5</v>
      </c>
      <c r="Q4" s="5">
        <v>6</v>
      </c>
      <c r="R4" s="38"/>
    </row>
    <row r="5" spans="1:18" ht="24.75" customHeight="1" x14ac:dyDescent="0.2">
      <c r="A5" s="7">
        <v>1</v>
      </c>
      <c r="B5" s="6" t="str">
        <f>VLOOKUP(A5,'All-Stages'!$A$3:$T$19,2,FALSE)</f>
        <v>الوزن والاستلام</v>
      </c>
      <c r="C5" s="6" t="str">
        <f>VLOOKUP(A5,'All-Stages'!$A$3:$T$19,3,FALSE)</f>
        <v>كمية الاستيل</v>
      </c>
      <c r="D5" s="6" t="str">
        <f>IF(VLOOKUP(A5,'All-Stages'!$A$3:$T$19,4,FALSE)&lt;&gt;"",VLOOKUP(A5,'All-Stages'!$A$3:$T$19,4,FALSE),"")</f>
        <v/>
      </c>
      <c r="E5" s="6" t="str">
        <f>IF(VLOOKUP(A5,'All-Stages'!$A$3:$T$19,6,FALSE)&lt;&gt;"",VLOOKUP(A5,'All-Stages'!$A$3:$T$19,6,FALSE),"")</f>
        <v/>
      </c>
      <c r="F5" s="6"/>
      <c r="G5" s="6"/>
      <c r="H5" s="8" t="str">
        <f>IF(VLOOKUP(A5,'All-Stages'!$A$3:$T$19,10,FALSE)&lt;&gt;"",VLOOKUP(A5,'All-Stages'!$A$3:$T$19,10,FALSE),"")</f>
        <v>حفيظ جهاز القياس</v>
      </c>
      <c r="I5" s="8" t="str">
        <f>IF(VLOOKUP(A5,'All-Stages'!$A$3:$T$19,11,FALSE)&lt;&gt;"",VLOOKUP(A5,'All-Stages'!$A$3:$T$19,11,FALSE),"")</f>
        <v>حبيب فوركلفت</v>
      </c>
      <c r="J5" s="8"/>
      <c r="K5" s="8"/>
      <c r="L5" s="8" t="str">
        <f>IF(VLOOKUP(A5,'All-Stages'!$A$3:$T$19,14,FALSE)&lt;&gt;"",VLOOKUP(A5,'All-Stages'!$A$3:$T$19,14,FALSE),"")</f>
        <v>كهرباء جهاز القياس</v>
      </c>
      <c r="M5" s="8" t="str">
        <f>IF(VLOOKUP(A5,'All-Stages'!$A$3:$T$19,15,FALSE)&lt;&gt;"",VLOOKUP(A5,'All-Stages'!$A$3:$T$19,15,FALSE),"")</f>
        <v>كهرباء الفوركلفت</v>
      </c>
      <c r="N5" s="8" t="str">
        <f>IF(VLOOKUP(A5,'All-Stages'!$A$3:$T$19,16,FALSE)&lt;&gt;"",VLOOKUP(A5,'All-Stages'!$A$3:$T$19,16,FALSE),"")</f>
        <v>استهلاك جهاز القياس</v>
      </c>
      <c r="O5" s="8" t="str">
        <f>IF(VLOOKUP(A5,'All-Stages'!$A$3:$T$19,18,FALSE)&lt;&gt;"",VLOOKUP(A5,'All-Stages'!$A$3:$T$19,18,FALSE),"")</f>
        <v>صيانة 1</v>
      </c>
      <c r="P5" s="8" t="s">
        <v>122</v>
      </c>
      <c r="Q5" s="8" t="s">
        <v>123</v>
      </c>
      <c r="R5" s="9" t="str">
        <f>IF(VLOOKUP(A5,'All-Stages'!$A$3:$T$19,20,FALSE)&lt;&gt;"",VLOOKUP(A5,'All-Stages'!$A$3:$T$19,20,FALSE),"")</f>
        <v>متوسط 25 طن باليوم</v>
      </c>
    </row>
    <row r="6" spans="1:18" ht="24.75" customHeight="1" x14ac:dyDescent="0.2">
      <c r="A6" s="7">
        <v>2</v>
      </c>
      <c r="B6" s="6" t="str">
        <f>VLOOKUP(A6,'All-Stages'!$A$3:$T$19,2,FALSE)</f>
        <v>التتنظيف</v>
      </c>
      <c r="C6" s="6" t="str">
        <f>VLOOKUP(A6,'All-Stages'!$A$3:$T$19,3,FALSE)</f>
        <v>كمية الاستيل</v>
      </c>
      <c r="D6" s="6" t="str">
        <f>IF(VLOOKUP(A6,'All-Stages'!$A$3:$T$19,4,FALSE)&lt;&gt;"",VLOOKUP(A6,'All-Stages'!$A$3:$T$19,4,FALSE),"")</f>
        <v/>
      </c>
      <c r="E6" s="6" t="str">
        <f>IF(VLOOKUP(A6,'All-Stages'!$A$3:$T$19,6,FALSE)&lt;&gt;"",VLOOKUP(A6,'All-Stages'!$A$3:$T$19,6,FALSE),"")</f>
        <v/>
      </c>
      <c r="F6" s="6"/>
      <c r="G6" s="6"/>
      <c r="H6" s="8" t="str">
        <f>IF(VLOOKUP(A6,'All-Stages'!$A$3:$T$19,10,FALSE)&lt;&gt;"",VLOOKUP(A6,'All-Stages'!$A$3:$T$19,10,FALSE),"")</f>
        <v>هيكساني / حكيم</v>
      </c>
      <c r="I6" s="8" t="str">
        <f>IF(VLOOKUP(A6,'All-Stages'!$A$3:$T$19,11,FALSE)&lt;&gt;"",VLOOKUP(A6,'All-Stages'!$A$3:$T$19,11,FALSE),"")</f>
        <v/>
      </c>
      <c r="J6" s="8"/>
      <c r="K6" s="8"/>
      <c r="L6" s="8" t="str">
        <f>IF(VLOOKUP(A6,'All-Stages'!$A$3:$T$19,14,FALSE)&lt;&gt;"",VLOOKUP(A6,'All-Stages'!$A$3:$T$19,14,FALSE),"")</f>
        <v>كهرباء ماكينة 1</v>
      </c>
      <c r="M6" s="8" t="str">
        <f>IF(VLOOKUP(A6,'All-Stages'!$A$3:$T$19,15,FALSE)&lt;&gt;"",VLOOKUP(A6,'All-Stages'!$A$3:$T$19,15,FALSE),"")</f>
        <v>استهلاك 1</v>
      </c>
      <c r="N6" s="8" t="str">
        <f>IF(VLOOKUP(A6,'All-Stages'!$A$3:$T$19,16,FALSE)&lt;&gt;"",VLOOKUP(A6,'All-Stages'!$A$3:$T$19,16,FALSE),"")</f>
        <v>صيانة 3</v>
      </c>
      <c r="O6" s="8" t="str">
        <f>IF(VLOOKUP(A6,'All-Stages'!$A$3:$T$19,18,FALSE)&lt;&gt;"",VLOOKUP(A6,'All-Stages'!$A$3:$T$19,18,FALSE),"")</f>
        <v/>
      </c>
      <c r="P6" s="8" t="s">
        <v>122</v>
      </c>
      <c r="Q6" s="8" t="s">
        <v>123</v>
      </c>
      <c r="R6" s="9" t="str">
        <f>IF(VLOOKUP(A6,'All-Stages'!$A$3:$T$19,20,FALSE)&lt;&gt;"",VLOOKUP(A6,'All-Stages'!$A$3:$T$19,20,FALSE),"")</f>
        <v>متوسط 50 طن 3 أيام</v>
      </c>
    </row>
    <row r="7" spans="1:18" ht="24.75" customHeight="1" x14ac:dyDescent="0.2">
      <c r="A7" s="7">
        <v>3</v>
      </c>
      <c r="B7" s="6" t="str">
        <f>VLOOKUP(A7,'All-Stages'!$A$3:$T$19,2,FALSE)</f>
        <v>ماكينة</v>
      </c>
      <c r="C7" s="6" t="str">
        <f>VLOOKUP(A7,'All-Stages'!$A$3:$T$19,3,FALSE)</f>
        <v>مدة التخزين</v>
      </c>
      <c r="D7" s="6" t="str">
        <f>IF(VLOOKUP(A7,'All-Stages'!$A$3:$T$19,4,FALSE)&lt;&gt;"",VLOOKUP(A7,'All-Stages'!$A$3:$T$19,4,FALSE),"")</f>
        <v/>
      </c>
      <c r="E7" s="6" t="str">
        <f>IF(VLOOKUP(A7,'All-Stages'!$A$3:$T$19,6,FALSE)&lt;&gt;"",VLOOKUP(A7,'All-Stages'!$A$3:$T$19,6,FALSE),"")</f>
        <v/>
      </c>
      <c r="F7" s="6"/>
      <c r="G7" s="6"/>
      <c r="H7" s="8" t="str">
        <f>IF(VLOOKUP(A7,'All-Stages'!$A$3:$T$19,10,FALSE)&lt;&gt;"",VLOOKUP(A7,'All-Stages'!$A$3:$T$19,10,FALSE),"")</f>
        <v>حبيب</v>
      </c>
      <c r="I7" s="8" t="str">
        <f>IF(VLOOKUP(A7,'All-Stages'!$A$3:$T$19,11,FALSE)&lt;&gt;"",VLOOKUP(A7,'All-Stages'!$A$3:$T$19,11,FALSE),"")</f>
        <v/>
      </c>
      <c r="J7" s="8"/>
      <c r="K7" s="8"/>
      <c r="L7" s="8" t="str">
        <f>IF(VLOOKUP(A7,'All-Stages'!$A$3:$T$19,14,FALSE)&lt;&gt;"",VLOOKUP(A7,'All-Stages'!$A$3:$T$19,14,FALSE),"")</f>
        <v>كهرباء ماكينة 2</v>
      </c>
      <c r="M7" s="8" t="str">
        <f>IF(VLOOKUP(A7,'All-Stages'!$A$3:$T$19,15,FALSE)&lt;&gt;"",VLOOKUP(A7,'All-Stages'!$A$3:$T$19,15,FALSE),"")</f>
        <v>استهلاك 2</v>
      </c>
      <c r="N7" s="8" t="str">
        <f>IF(VLOOKUP(A7,'All-Stages'!$A$3:$T$19,16,FALSE)&lt;&gt;"",VLOOKUP(A7,'All-Stages'!$A$3:$T$19,16,FALSE),"")</f>
        <v>صيانة 4</v>
      </c>
      <c r="O7" s="8" t="str">
        <f>IF(VLOOKUP(A7,'All-Stages'!$A$3:$T$19,18,FALSE)&lt;&gt;"",VLOOKUP(A7,'All-Stages'!$A$3:$T$19,18,FALSE),"")</f>
        <v>صيانة الفوركلفت</v>
      </c>
      <c r="P7" s="8" t="s">
        <v>122</v>
      </c>
      <c r="Q7" s="8" t="s">
        <v>123</v>
      </c>
      <c r="R7" s="9" t="str">
        <f>IF(VLOOKUP(A7,'All-Stages'!$A$3:$T$19,20,FALSE)&lt;&gt;"",VLOOKUP(A7,'All-Stages'!$A$3:$T$19,20,FALSE),"")</f>
        <v/>
      </c>
    </row>
    <row r="8" spans="1:18" ht="24.75" customHeight="1" x14ac:dyDescent="0.2">
      <c r="A8" s="7">
        <v>4</v>
      </c>
      <c r="B8" s="6" t="str">
        <f>VLOOKUP(A8,'All-Stages'!$A$3:$T$19,2,FALSE)</f>
        <v>ماكينة 1</v>
      </c>
      <c r="C8" s="6" t="str">
        <f>VLOOKUP(A8,'All-Stages'!$A$3:$T$19,3,FALSE)</f>
        <v>كمية الاستيل</v>
      </c>
      <c r="D8" s="6" t="str">
        <f>IF(VLOOKUP(A8,'All-Stages'!$A$3:$T$19,4,FALSE)&lt;&gt;"",VLOOKUP(A8,'All-Stages'!$A$3:$T$19,4,FALSE),"")</f>
        <v/>
      </c>
      <c r="E8" s="6" t="str">
        <f>IF(VLOOKUP(A8,'All-Stages'!$A$3:$T$19,6,FALSE)&lt;&gt;"",VLOOKUP(A8,'All-Stages'!$A$3:$T$19,6,FALSE),"")</f>
        <v/>
      </c>
      <c r="F8" s="6"/>
      <c r="G8" s="6"/>
      <c r="H8" s="8" t="str">
        <f>IF(VLOOKUP(A8,'All-Stages'!$A$3:$T$19,10,FALSE)&lt;&gt;"",VLOOKUP(A8,'All-Stages'!$A$3:$T$19,10,FALSE),"")</f>
        <v>3 أفراد</v>
      </c>
      <c r="I8" s="8" t="str">
        <f>IF(VLOOKUP(A8,'All-Stages'!$A$3:$T$19,11,FALSE)&lt;&gt;"",VLOOKUP(A8,'All-Stages'!$A$3:$T$19,11,FALSE),"")</f>
        <v/>
      </c>
      <c r="J8" s="8"/>
      <c r="K8" s="8"/>
      <c r="L8" s="8" t="str">
        <f>IF(VLOOKUP(A8,'All-Stages'!$A$3:$T$19,14,FALSE)&lt;&gt;"",VLOOKUP(A8,'All-Stages'!$A$3:$T$19,14,FALSE),"")</f>
        <v>كهرباء ماكينة 3</v>
      </c>
      <c r="M8" s="8" t="str">
        <f>IF(VLOOKUP(A8,'All-Stages'!$A$3:$T$19,15,FALSE)&lt;&gt;"",VLOOKUP(A8,'All-Stages'!$A$3:$T$19,15,FALSE),"")</f>
        <v>استهلاك 3</v>
      </c>
      <c r="N8" s="8" t="str">
        <f>IF(VLOOKUP(A8,'All-Stages'!$A$3:$T$19,16,FALSE)&lt;&gt;"",VLOOKUP(A8,'All-Stages'!$A$3:$T$19,16,FALSE),"")</f>
        <v>صيانة 5</v>
      </c>
      <c r="O8" s="8" t="str">
        <f>IF(VLOOKUP(A8,'All-Stages'!$A$3:$T$19,18,FALSE)&lt;&gt;"",VLOOKUP(A8,'All-Stages'!$A$3:$T$19,18,FALSE),"")</f>
        <v/>
      </c>
      <c r="P8" s="8" t="s">
        <v>122</v>
      </c>
      <c r="Q8" s="8" t="s">
        <v>123</v>
      </c>
      <c r="R8" s="9" t="str">
        <f>IF(VLOOKUP(A8,'All-Stages'!$A$3:$T$19,20,FALSE)&lt;&gt;"",VLOOKUP(A8,'All-Stages'!$A$3:$T$19,20,FALSE),"")</f>
        <v/>
      </c>
    </row>
    <row r="9" spans="1:18" ht="24.75" customHeight="1" x14ac:dyDescent="0.2">
      <c r="A9" s="7">
        <v>6</v>
      </c>
      <c r="B9" s="6" t="str">
        <f>VLOOKUP(A9,'All-Stages'!$A$3:$T$19,2,FALSE)</f>
        <v>ماكينة 3</v>
      </c>
      <c r="C9" s="6" t="str">
        <f>VLOOKUP(A9,'All-Stages'!$A$3:$T$19,3,FALSE)</f>
        <v>عدد المقاسات المطلوبة</v>
      </c>
      <c r="D9" s="6" t="str">
        <f>IF(VLOOKUP(A9,'All-Stages'!$A$3:$T$19,4,FALSE)&lt;&gt;"",VLOOKUP(A9,'All-Stages'!$A$3:$T$19,4,FALSE),"")</f>
        <v/>
      </c>
      <c r="E9" s="6" t="str">
        <f>IF(VLOOKUP(A9,'All-Stages'!$A$3:$T$19,6,FALSE)&lt;&gt;"",VLOOKUP(A9,'All-Stages'!$A$3:$T$19,6,FALSE),"")</f>
        <v/>
      </c>
      <c r="F9" s="6"/>
      <c r="G9" s="6"/>
      <c r="H9" s="8" t="str">
        <f>IF(VLOOKUP(A9,'All-Stages'!$A$3:$T$19,10,FALSE)&lt;&gt;"",VLOOKUP(A9,'All-Stages'!$A$3:$T$19,10,FALSE),"")</f>
        <v>متوسط 5 أفراد</v>
      </c>
      <c r="I9" s="8" t="str">
        <f>IF(VLOOKUP(A9,'All-Stages'!$A$3:$T$19,11,FALSE)&lt;&gt;"",VLOOKUP(A9,'All-Stages'!$A$3:$T$19,11,FALSE),"")</f>
        <v>هيكساني أو حكيم</v>
      </c>
      <c r="J9" s="8"/>
      <c r="K9" s="8"/>
      <c r="L9" s="8" t="str">
        <f>IF(VLOOKUP(A9,'All-Stages'!$A$3:$T$19,14,FALSE)&lt;&gt;"",VLOOKUP(A9,'All-Stages'!$A$3:$T$19,14,FALSE),"")</f>
        <v>كهرباء ماكينة 5</v>
      </c>
      <c r="M9" s="8" t="str">
        <f>IF(VLOOKUP(A9,'All-Stages'!$A$3:$T$19,15,FALSE)&lt;&gt;"",VLOOKUP(A9,'All-Stages'!$A$3:$T$19,15,FALSE),"")</f>
        <v>استهلاك 5</v>
      </c>
      <c r="N9" s="8" t="str">
        <f>IF(VLOOKUP(A9,'All-Stages'!$A$3:$T$19,16,FALSE)&lt;&gt;"",VLOOKUP(A9,'All-Stages'!$A$3:$T$19,16,FALSE),"")</f>
        <v>صيانة 7</v>
      </c>
      <c r="O9" s="8" t="str">
        <f>IF(VLOOKUP(A9,'All-Stages'!$A$3:$T$19,18,FALSE)&lt;&gt;"",VLOOKUP(A9,'All-Stages'!$A$3:$T$19,18,FALSE),"")</f>
        <v/>
      </c>
      <c r="P9" s="8" t="s">
        <v>122</v>
      </c>
      <c r="Q9" s="8" t="s">
        <v>123</v>
      </c>
      <c r="R9" s="9" t="str">
        <f>IF(VLOOKUP(A9,'All-Stages'!$A$3:$T$19,20,FALSE)&lt;&gt;"",VLOOKUP(A9,'All-Stages'!$A$3:$T$19,20,FALSE),"")</f>
        <v>متوسط 4 طن للماكينة باليوم (الوردية 8 ساعات)</v>
      </c>
    </row>
    <row r="10" spans="1:18" ht="24.75" customHeight="1" x14ac:dyDescent="0.2">
      <c r="A10" s="7">
        <v>7</v>
      </c>
      <c r="B10" s="6" t="str">
        <f>VLOOKUP(A10,'All-Stages'!$A$3:$T$19,2,FALSE)</f>
        <v>ماكينة 4</v>
      </c>
      <c r="C10" s="6" t="str">
        <f>VLOOKUP(A10,'All-Stages'!$A$3:$T$19,3,FALSE)</f>
        <v>كمية الاستيل</v>
      </c>
      <c r="D10" s="6" t="str">
        <f>IF(VLOOKUP(A10,'All-Stages'!$A$3:$T$19,4,FALSE)&lt;&gt;"",VLOOKUP(A10,'All-Stages'!$A$3:$T$19,4,FALSE),"")</f>
        <v/>
      </c>
      <c r="E10" s="6" t="str">
        <f>IF(VLOOKUP(A10,'All-Stages'!$A$3:$T$19,6,FALSE)&lt;&gt;"",VLOOKUP(A10,'All-Stages'!$A$3:$T$19,6,FALSE),"")</f>
        <v/>
      </c>
      <c r="F10" s="6"/>
      <c r="G10" s="6"/>
      <c r="H10" s="8" t="str">
        <f>IF(VLOOKUP(A10,'All-Stages'!$A$3:$T$19,10,FALSE)&lt;&gt;"",VLOOKUP(A10,'All-Stages'!$A$3:$T$19,10,FALSE),"")</f>
        <v>3 أفراد</v>
      </c>
      <c r="I10" s="8" t="str">
        <f>IF(VLOOKUP(A10,'All-Stages'!$A$3:$T$19,11,FALSE)&lt;&gt;"",VLOOKUP(A10,'All-Stages'!$A$3:$T$19,11,FALSE),"")</f>
        <v/>
      </c>
      <c r="J10" s="8"/>
      <c r="K10" s="8"/>
      <c r="L10" s="8" t="str">
        <f>IF(VLOOKUP(A10,'All-Stages'!$A$3:$T$19,14,FALSE)&lt;&gt;"",VLOOKUP(A10,'All-Stages'!$A$3:$T$19,14,FALSE),"")</f>
        <v>كهرباء ماكينة 6</v>
      </c>
      <c r="M10" s="8" t="str">
        <f>IF(VLOOKUP(A10,'All-Stages'!$A$3:$T$19,15,FALSE)&lt;&gt;"",VLOOKUP(A10,'All-Stages'!$A$3:$T$19,15,FALSE),"")</f>
        <v>استهلاك 6</v>
      </c>
      <c r="N10" s="8" t="str">
        <f>IF(VLOOKUP(A10,'All-Stages'!$A$3:$T$19,16,FALSE)&lt;&gt;"",VLOOKUP(A10,'All-Stages'!$A$3:$T$19,16,FALSE),"")</f>
        <v>صيانة 8</v>
      </c>
      <c r="O10" s="8" t="str">
        <f>IF(VLOOKUP(A10,'All-Stages'!$A$3:$T$19,18,FALSE)&lt;&gt;"",VLOOKUP(A10,'All-Stages'!$A$3:$T$19,18,FALSE),"")</f>
        <v/>
      </c>
      <c r="P10" s="8" t="s">
        <v>122</v>
      </c>
      <c r="Q10" s="8" t="s">
        <v>123</v>
      </c>
      <c r="R10" s="9" t="str">
        <f>IF(VLOOKUP(A10,'All-Stages'!$A$3:$T$19,20,FALSE)&lt;&gt;"",VLOOKUP(A10,'All-Stages'!$A$3:$T$19,20,FALSE),"")</f>
        <v/>
      </c>
    </row>
    <row r="11" spans="1:18" ht="24.75" customHeight="1" x14ac:dyDescent="0.2">
      <c r="A11" s="7">
        <v>8</v>
      </c>
      <c r="B11" s="6" t="str">
        <f>VLOOKUP(A11,'All-Stages'!$A$3:$T$19,2,FALSE)</f>
        <v>ماكينة 5</v>
      </c>
      <c r="C11" s="6" t="str">
        <f>VLOOKUP(A11,'All-Stages'!$A$3:$T$19,3,FALSE)</f>
        <v>كمية الاستيل</v>
      </c>
      <c r="D11" s="6" t="str">
        <f>IF(VLOOKUP(A11,'All-Stages'!$A$3:$T$19,4,FALSE)&lt;&gt;"",VLOOKUP(A11,'All-Stages'!$A$3:$T$19,4,FALSE),"")</f>
        <v>استيل</v>
      </c>
      <c r="E11" s="6" t="str">
        <f>IF(VLOOKUP(A11,'All-Stages'!$A$3:$T$19,6,FALSE)&lt;&gt;"",VLOOKUP(A11,'All-Stages'!$A$3:$T$19,6,FALSE),"")</f>
        <v/>
      </c>
      <c r="F11" s="6"/>
      <c r="G11" s="6"/>
      <c r="H11" s="8" t="str">
        <f>IF(VLOOKUP(A11,'All-Stages'!$A$3:$T$19,10,FALSE)&lt;&gt;"",VLOOKUP(A11,'All-Stages'!$A$3:$T$19,10,FALSE),"")</f>
        <v>2 أفراد</v>
      </c>
      <c r="I11" s="8" t="str">
        <f>IF(VLOOKUP(A11,'All-Stages'!$A$3:$T$19,11,FALSE)&lt;&gt;"",VLOOKUP(A11,'All-Stages'!$A$3:$T$19,11,FALSE),"")</f>
        <v/>
      </c>
      <c r="J11" s="8"/>
      <c r="K11" s="8"/>
      <c r="L11" s="8" t="str">
        <f>IF(VLOOKUP(A11,'All-Stages'!$A$3:$T$19,14,FALSE)&lt;&gt;"",VLOOKUP(A11,'All-Stages'!$A$3:$T$19,14,FALSE),"")</f>
        <v/>
      </c>
      <c r="M11" s="8" t="str">
        <f>IF(VLOOKUP(A11,'All-Stages'!$A$3:$T$19,15,FALSE)&lt;&gt;"",VLOOKUP(A11,'All-Stages'!$A$3:$T$19,15,FALSE),"")</f>
        <v>استهلاك 7</v>
      </c>
      <c r="N11" s="8" t="str">
        <f>IF(VLOOKUP(A11,'All-Stages'!$A$3:$T$19,16,FALSE)&lt;&gt;"",VLOOKUP(A11,'All-Stages'!$A$3:$T$19,16,FALSE),"")</f>
        <v>التامين ضد المخاطر</v>
      </c>
      <c r="O11" s="8" t="str">
        <f>IF(VLOOKUP(A11,'All-Stages'!$A$3:$T$19,18,FALSE)&lt;&gt;"",VLOOKUP(A11,'All-Stages'!$A$3:$T$19,18,FALSE),"")</f>
        <v/>
      </c>
      <c r="P11" s="8" t="s">
        <v>122</v>
      </c>
      <c r="Q11" s="8" t="s">
        <v>123</v>
      </c>
      <c r="R11" s="9" t="str">
        <f>IF(VLOOKUP(A11,'All-Stages'!$A$3:$T$19,20,FALSE)&lt;&gt;"",VLOOKUP(A11,'All-Stages'!$A$3:$T$19,20,FALSE),"")</f>
        <v>متوسط 25 ك للفرد باليوم</v>
      </c>
    </row>
    <row r="12" spans="1:18" ht="24.75" customHeight="1" x14ac:dyDescent="0.2">
      <c r="A12" s="7">
        <v>9</v>
      </c>
      <c r="B12" s="6" t="str">
        <f>VLOOKUP(A12,'All-Stages'!$A$3:$T$19,2,FALSE)</f>
        <v>ماكينة 6</v>
      </c>
      <c r="C12" s="6" t="str">
        <f>VLOOKUP(A12,'All-Stages'!$A$3:$T$19,3,FALSE)</f>
        <v>كمية الاستيل</v>
      </c>
      <c r="D12" s="6" t="str">
        <f>IF(VLOOKUP(A12,'All-Stages'!$A$3:$T$19,4,FALSE)&lt;&gt;"",VLOOKUP(A12,'All-Stages'!$A$3:$T$19,4,FALSE),"")</f>
        <v/>
      </c>
      <c r="E12" s="6" t="str">
        <f>IF(VLOOKUP(A12,'All-Stages'!$A$3:$T$19,6,FALSE)&lt;&gt;"",VLOOKUP(A12,'All-Stages'!$A$3:$T$19,6,FALSE),"")</f>
        <v>بويا</v>
      </c>
      <c r="F12" s="6"/>
      <c r="G12" s="6"/>
      <c r="H12" s="8" t="str">
        <f>IF(VLOOKUP(A12,'All-Stages'!$A$3:$T$19,10,FALSE)&lt;&gt;"",VLOOKUP(A12,'All-Stages'!$A$3:$T$19,10,FALSE),"")</f>
        <v>فرد 1</v>
      </c>
      <c r="I12" s="8" t="str">
        <f>IF(VLOOKUP(A12,'All-Stages'!$A$3:$T$19,11,FALSE)&lt;&gt;"",VLOOKUP(A12,'All-Stages'!$A$3:$T$19,11,FALSE),"")</f>
        <v/>
      </c>
      <c r="J12" s="8"/>
      <c r="K12" s="8"/>
      <c r="L12" s="8" t="str">
        <f>IF(VLOOKUP(A12,'All-Stages'!$A$3:$T$19,14,FALSE)&lt;&gt;"",VLOOKUP(A12,'All-Stages'!$A$3:$T$19,14,FALSE),"")</f>
        <v/>
      </c>
      <c r="M12" s="8" t="str">
        <f>IF(VLOOKUP(A12,'All-Stages'!$A$3:$T$19,15,FALSE)&lt;&gt;"",VLOOKUP(A12,'All-Stages'!$A$3:$T$19,15,FALSE),"")</f>
        <v/>
      </c>
      <c r="N12" s="8" t="str">
        <f>IF(VLOOKUP(A12,'All-Stages'!$A$3:$T$19,16,FALSE)&lt;&gt;"",VLOOKUP(A12,'All-Stages'!$A$3:$T$19,16,FALSE),"")</f>
        <v/>
      </c>
      <c r="O12" s="8" t="str">
        <f>IF(VLOOKUP(A12,'All-Stages'!$A$3:$T$19,18,FALSE)&lt;&gt;"",VLOOKUP(A12,'All-Stages'!$A$3:$T$19,18,FALSE),"")</f>
        <v/>
      </c>
      <c r="P12" s="8" t="s">
        <v>122</v>
      </c>
      <c r="Q12" s="8" t="s">
        <v>123</v>
      </c>
      <c r="R12" s="9" t="str">
        <f>IF(VLOOKUP(A12,'All-Stages'!$A$3:$T$19,20,FALSE)&lt;&gt;"",VLOOKUP(A12,'All-Stages'!$A$3:$T$19,20,FALSE),"")</f>
        <v>متوسط 50 ك للفرد باليوم</v>
      </c>
    </row>
    <row r="13" spans="1:18" ht="24.75" customHeight="1" x14ac:dyDescent="0.2">
      <c r="A13" s="7">
        <v>10</v>
      </c>
      <c r="B13" s="6" t="str">
        <f>VLOOKUP(A13,'All-Stages'!$A$3:$T$19,2,FALSE)</f>
        <v>ماكينة 7</v>
      </c>
      <c r="C13" s="6" t="str">
        <f>VLOOKUP(A13,'All-Stages'!$A$3:$T$19,3,FALSE)</f>
        <v>مدة التخزين</v>
      </c>
      <c r="D13" s="6" t="str">
        <f>IF(VLOOKUP(A13,'All-Stages'!$A$3:$T$19,4,FALSE)&lt;&gt;"",VLOOKUP(A13,'All-Stages'!$A$3:$T$19,4,FALSE),"")</f>
        <v/>
      </c>
      <c r="E13" s="6" t="str">
        <f>IF(VLOOKUP(A13,'All-Stages'!$A$3:$T$19,6,FALSE)&lt;&gt;"",VLOOKUP(A13,'All-Stages'!$A$3:$T$19,6,FALSE),"")</f>
        <v/>
      </c>
      <c r="F13" s="6"/>
      <c r="G13" s="6"/>
      <c r="H13" s="8" t="str">
        <f>IF(VLOOKUP(A13,'All-Stages'!$A$3:$T$19,10,FALSE)&lt;&gt;"",VLOOKUP(A13,'All-Stages'!$A$3:$T$19,10,FALSE),"")</f>
        <v>حبيب</v>
      </c>
      <c r="I13" s="8" t="str">
        <f>IF(VLOOKUP(A13,'All-Stages'!$A$3:$T$19,11,FALSE)&lt;&gt;"",VLOOKUP(A13,'All-Stages'!$A$3:$T$19,11,FALSE),"")</f>
        <v/>
      </c>
      <c r="J13" s="8"/>
      <c r="K13" s="8"/>
      <c r="L13" s="8" t="str">
        <f>IF(VLOOKUP(A13,'All-Stages'!$A$3:$T$19,14,FALSE)&lt;&gt;"",VLOOKUP(A13,'All-Stages'!$A$3:$T$19,14,FALSE),"")</f>
        <v>كهرباء غرفة الدهان</v>
      </c>
      <c r="M13" s="8" t="str">
        <f>IF(VLOOKUP(A13,'All-Stages'!$A$3:$T$19,15,FALSE)&lt;&gt;"",VLOOKUP(A13,'All-Stages'!$A$3:$T$19,15,FALSE),"")</f>
        <v>استهلاك 8</v>
      </c>
      <c r="N13" s="8" t="str">
        <f>IF(VLOOKUP(A13,'All-Stages'!$A$3:$T$19,16,FALSE)&lt;&gt;"",VLOOKUP(A13,'All-Stages'!$A$3:$T$19,16,FALSE),"")</f>
        <v>صيانة  9</v>
      </c>
      <c r="O13" s="8" t="str">
        <f>IF(VLOOKUP(A13,'All-Stages'!$A$3:$T$19,18,FALSE)&lt;&gt;"",VLOOKUP(A13,'All-Stages'!$A$3:$T$19,18,FALSE),"")</f>
        <v>صيانة الفوركلفت</v>
      </c>
      <c r="P13" s="8" t="s">
        <v>122</v>
      </c>
      <c r="Q13" s="8" t="s">
        <v>123</v>
      </c>
      <c r="R13" s="9" t="str">
        <f>IF(VLOOKUP(A13,'All-Stages'!$A$3:$T$19,20,FALSE)&lt;&gt;"",VLOOKUP(A13,'All-Stages'!$A$3:$T$19,20,FALSE),"")</f>
        <v/>
      </c>
    </row>
    <row r="14" spans="1:18" ht="24.75" customHeight="1" x14ac:dyDescent="0.2">
      <c r="A14" s="7">
        <v>11</v>
      </c>
      <c r="B14" s="6" t="str">
        <f>VLOOKUP(A14,'All-Stages'!$A$3:$T$19,2,FALSE)</f>
        <v>ماكينة 8</v>
      </c>
      <c r="C14" s="6" t="str">
        <f>VLOOKUP(A14,'All-Stages'!$A$3:$T$19,3,FALSE)</f>
        <v>كمية الاستيل</v>
      </c>
      <c r="D14" s="6" t="str">
        <f>IF(VLOOKUP(A14,'All-Stages'!$A$3:$T$19,4,FALSE)&lt;&gt;"",VLOOKUP(A14,'All-Stages'!$A$3:$T$19,4,FALSE),"")</f>
        <v>مادة 5</v>
      </c>
      <c r="E14" s="6" t="str">
        <f>IF(VLOOKUP(A14,'All-Stages'!$A$3:$T$19,6,FALSE)&lt;&gt;"",VLOOKUP(A14,'All-Stages'!$A$3:$T$19,6,FALSE),"")</f>
        <v/>
      </c>
      <c r="F14" s="6"/>
      <c r="G14" s="6"/>
      <c r="H14" s="8" t="str">
        <f>IF(VLOOKUP(A14,'All-Stages'!$A$3:$T$19,10,FALSE)&lt;&gt;"",VLOOKUP(A14,'All-Stages'!$A$3:$T$19,10,FALSE),"")</f>
        <v>2 فرد</v>
      </c>
      <c r="I14" s="8" t="str">
        <f>IF(VLOOKUP(A14,'All-Stages'!$A$3:$T$19,11,FALSE)&lt;&gt;"",VLOOKUP(A14,'All-Stages'!$A$3:$T$19,11,FALSE),"")</f>
        <v/>
      </c>
      <c r="J14" s="8"/>
      <c r="K14" s="8"/>
      <c r="L14" s="8" t="str">
        <f>IF(VLOOKUP(A14,'All-Stages'!$A$3:$T$19,14,FALSE)&lt;&gt;"",VLOOKUP(A14,'All-Stages'!$A$3:$T$19,14,FALSE),"")</f>
        <v>كهرباء ماكينة 7</v>
      </c>
      <c r="M14" s="8" t="str">
        <f>IF(VLOOKUP(A14,'All-Stages'!$A$3:$T$19,15,FALSE)&lt;&gt;"",VLOOKUP(A14,'All-Stages'!$A$3:$T$19,15,FALSE),"")</f>
        <v>استهلاك 9</v>
      </c>
      <c r="N14" s="8" t="str">
        <f>IF(VLOOKUP(A14,'All-Stages'!$A$3:$T$19,16,FALSE)&lt;&gt;"",VLOOKUP(A14,'All-Stages'!$A$3:$T$19,16,FALSE),"")</f>
        <v>صيانة  10</v>
      </c>
      <c r="O14" s="8" t="str">
        <f>IF(VLOOKUP(A14,'All-Stages'!$A$3:$T$19,18,FALSE)&lt;&gt;"",VLOOKUP(A14,'All-Stages'!$A$3:$T$19,18,FALSE),"")</f>
        <v/>
      </c>
      <c r="P14" s="8" t="s">
        <v>122</v>
      </c>
      <c r="Q14" s="8" t="s">
        <v>123</v>
      </c>
      <c r="R14" s="9" t="str">
        <f>IF(VLOOKUP(A14,'All-Stages'!$A$3:$T$19,20,FALSE)&lt;&gt;"",VLOOKUP(A14,'All-Stages'!$A$3:$T$19,20,FALSE),"")</f>
        <v>متوسط 350 ك للماكينة باليوم (الوردية 8 ساعات)</v>
      </c>
    </row>
    <row r="15" spans="1:18" ht="24.75" customHeight="1" x14ac:dyDescent="0.2">
      <c r="A15" s="7">
        <v>12</v>
      </c>
      <c r="B15" s="6" t="str">
        <f>VLOOKUP(A15,'All-Stages'!$A$3:$T$19,2,FALSE)</f>
        <v>ماكينة 9</v>
      </c>
      <c r="C15" s="6" t="str">
        <f>VLOOKUP(A15,'All-Stages'!$A$3:$T$19,3,FALSE)</f>
        <v>مدة التخزين</v>
      </c>
      <c r="D15" s="6" t="str">
        <f>IF(VLOOKUP(A15,'All-Stages'!$A$3:$T$19,4,FALSE)&lt;&gt;"",VLOOKUP(A15,'All-Stages'!$A$3:$T$19,4,FALSE),"")</f>
        <v/>
      </c>
      <c r="E15" s="6" t="str">
        <f>IF(VLOOKUP(A15,'All-Stages'!$A$3:$T$19,6,FALSE)&lt;&gt;"",VLOOKUP(A15,'All-Stages'!$A$3:$T$19,6,FALSE),"")</f>
        <v/>
      </c>
      <c r="F15" s="6"/>
      <c r="G15" s="6"/>
      <c r="H15" s="8" t="str">
        <f>IF(VLOOKUP(A15,'All-Stages'!$A$3:$T$19,10,FALSE)&lt;&gt;"",VLOOKUP(A15,'All-Stages'!$A$3:$T$19,10,FALSE),"")</f>
        <v>حبيب</v>
      </c>
      <c r="I15" s="8" t="str">
        <f>IF(VLOOKUP(A15,'All-Stages'!$A$3:$T$19,11,FALSE)&lt;&gt;"",VLOOKUP(A15,'All-Stages'!$A$3:$T$19,11,FALSE),"")</f>
        <v/>
      </c>
      <c r="J15" s="8"/>
      <c r="K15" s="8"/>
      <c r="L15" s="8" t="str">
        <f>IF(VLOOKUP(A15,'All-Stages'!$A$3:$T$19,14,FALSE)&lt;&gt;"",VLOOKUP(A15,'All-Stages'!$A$3:$T$19,14,FALSE),"")</f>
        <v>كهرباء ماكينة 8</v>
      </c>
      <c r="M15" s="8" t="str">
        <f>IF(VLOOKUP(A15,'All-Stages'!$A$3:$T$19,15,FALSE)&lt;&gt;"",VLOOKUP(A15,'All-Stages'!$A$3:$T$19,15,FALSE),"")</f>
        <v>استهلاك 10</v>
      </c>
      <c r="N15" s="8" t="str">
        <f>IF(VLOOKUP(A15,'All-Stages'!$A$3:$T$19,16,FALSE)&lt;&gt;"",VLOOKUP(A15,'All-Stages'!$A$3:$T$19,16,FALSE),"")</f>
        <v>صيانة  11</v>
      </c>
      <c r="O15" s="8" t="str">
        <f>IF(VLOOKUP(A15,'All-Stages'!$A$3:$T$19,18,FALSE)&lt;&gt;"",VLOOKUP(A15,'All-Stages'!$A$3:$T$19,18,FALSE),"")</f>
        <v>صيانة الفوركلفت</v>
      </c>
      <c r="P15" s="8" t="s">
        <v>122</v>
      </c>
      <c r="Q15" s="8" t="s">
        <v>123</v>
      </c>
      <c r="R15" s="9" t="str">
        <f>IF(VLOOKUP(A15,'All-Stages'!$A$3:$T$19,20,FALSE)&lt;&gt;"",VLOOKUP(A15,'All-Stages'!$A$3:$T$19,20,FALSE),"")</f>
        <v/>
      </c>
    </row>
    <row r="16" spans="1:18" ht="24.75" customHeight="1" x14ac:dyDescent="0.2">
      <c r="A16" s="7">
        <v>13</v>
      </c>
      <c r="B16" s="6" t="str">
        <f>VLOOKUP(A16,'All-Stages'!$A$3:$T$19,2,FALSE)</f>
        <v>التلميع والتثبيت</v>
      </c>
      <c r="C16" s="6" t="str">
        <f>VLOOKUP(A16,'All-Stages'!$A$3:$T$19,3,FALSE)</f>
        <v>كمية الاستيل</v>
      </c>
      <c r="D16" s="6" t="str">
        <f>IF(VLOOKUP(A16,'All-Stages'!$A$3:$T$19,4,FALSE)&lt;&gt;"",VLOOKUP(A16,'All-Stages'!$A$3:$T$19,4,FALSE),"")</f>
        <v>مواد التغليف</v>
      </c>
      <c r="E16" s="6" t="str">
        <f>IF(VLOOKUP(A16,'All-Stages'!$A$3:$T$19,6,FALSE)&lt;&gt;"",VLOOKUP(A16,'All-Stages'!$A$3:$T$19,6,FALSE),"")</f>
        <v/>
      </c>
      <c r="F16" s="6"/>
      <c r="G16" s="6"/>
      <c r="H16" s="8" t="str">
        <f>IF(VLOOKUP(A16,'All-Stages'!$A$3:$T$19,10,FALSE)&lt;&gt;"",VLOOKUP(A16,'All-Stages'!$A$3:$T$19,10,FALSE),"")</f>
        <v>2 فرد</v>
      </c>
      <c r="I16" s="8" t="str">
        <f>IF(VLOOKUP(A16,'All-Stages'!$A$3:$T$19,11,FALSE)&lt;&gt;"",VLOOKUP(A16,'All-Stages'!$A$3:$T$19,11,FALSE),"")</f>
        <v/>
      </c>
      <c r="J16" s="8"/>
      <c r="K16" s="8"/>
      <c r="L16" s="8" t="str">
        <f>IF(VLOOKUP(A16,'All-Stages'!$A$3:$T$19,14,FALSE)&lt;&gt;"",VLOOKUP(A16,'All-Stages'!$A$3:$T$19,14,FALSE),"")</f>
        <v>كهرباء ماكينة 9</v>
      </c>
      <c r="M16" s="8" t="str">
        <f>IF(VLOOKUP(A16,'All-Stages'!$A$3:$T$19,15,FALSE)&lt;&gt;"",VLOOKUP(A16,'All-Stages'!$A$3:$T$19,15,FALSE),"")</f>
        <v>استهلاك 11</v>
      </c>
      <c r="N16" s="8" t="str">
        <f>IF(VLOOKUP(A16,'All-Stages'!$A$3:$T$19,16,FALSE)&lt;&gt;"",VLOOKUP(A16,'All-Stages'!$A$3:$T$19,16,FALSE),"")</f>
        <v>صيانة  12</v>
      </c>
      <c r="O16" s="8" t="str">
        <f>IF(VLOOKUP(A16,'All-Stages'!$A$3:$T$19,18,FALSE)&lt;&gt;"",VLOOKUP(A16,'All-Stages'!$A$3:$T$19,18,FALSE),"")</f>
        <v/>
      </c>
      <c r="P16" s="8" t="s">
        <v>122</v>
      </c>
      <c r="Q16" s="8" t="s">
        <v>123</v>
      </c>
      <c r="R16" s="9" t="str">
        <f>IF(VLOOKUP(A16,'All-Stages'!$A$3:$T$19,20,FALSE)&lt;&gt;"",VLOOKUP(A16,'All-Stages'!$A$3:$T$19,20,FALSE),"")</f>
        <v/>
      </c>
    </row>
    <row r="17" spans="1:18" ht="24.75" customHeight="1" x14ac:dyDescent="0.2">
      <c r="A17" s="7">
        <v>15</v>
      </c>
      <c r="B17" s="6" t="str">
        <f>VLOOKUP(A17,'All-Stages'!$A$3:$T$19,2,FALSE)</f>
        <v>تغليف شرينك للباليت</v>
      </c>
      <c r="C17" s="6" t="str">
        <f>VLOOKUP(A17,'All-Stages'!$A$3:$T$19,3,FALSE)</f>
        <v>عدد الباليت</v>
      </c>
      <c r="D17" s="6" t="str">
        <f>IF(VLOOKUP(A17,'All-Stages'!$A$3:$T$19,4,FALSE)&lt;&gt;"",VLOOKUP(A17,'All-Stages'!$A$3:$T$19,4,FALSE),"")</f>
        <v>مواد التعبئة</v>
      </c>
      <c r="E17" s="6" t="str">
        <f>IF(VLOOKUP(A17,'All-Stages'!$A$3:$T$19,6,FALSE)&lt;&gt;"",VLOOKUP(A17,'All-Stages'!$A$3:$T$19,6,FALSE),"")</f>
        <v/>
      </c>
      <c r="F17" s="6"/>
      <c r="G17" s="6"/>
      <c r="H17" s="8" t="str">
        <f>IF(VLOOKUP(A17,'All-Stages'!$A$3:$T$19,10,FALSE)&lt;&gt;"",VLOOKUP(A17,'All-Stages'!$A$3:$T$19,10,FALSE),"")</f>
        <v>3 أفراد</v>
      </c>
      <c r="I17" s="8" t="str">
        <f>IF(VLOOKUP(A17,'All-Stages'!$A$3:$T$19,11,FALSE)&lt;&gt;"",VLOOKUP(A17,'All-Stages'!$A$3:$T$19,11,FALSE),"")</f>
        <v/>
      </c>
      <c r="J17" s="8"/>
      <c r="K17" s="8"/>
      <c r="L17" s="8" t="str">
        <f>IF(VLOOKUP(A17,'All-Stages'!$A$3:$T$19,14,FALSE)&lt;&gt;"",VLOOKUP(A17,'All-Stages'!$A$3:$T$19,14,FALSE),"")</f>
        <v>كهرباء ماكينة 11</v>
      </c>
      <c r="M17" s="8" t="str">
        <f>IF(VLOOKUP(A17,'All-Stages'!$A$3:$T$19,15,FALSE)&lt;&gt;"",VLOOKUP(A17,'All-Stages'!$A$3:$T$19,15,FALSE),"")</f>
        <v>استهلاك 13</v>
      </c>
      <c r="N17" s="8" t="str">
        <f>IF(VLOOKUP(A17,'All-Stages'!$A$3:$T$19,16,FALSE)&lt;&gt;"",VLOOKUP(A17,'All-Stages'!$A$3:$T$19,16,FALSE),"")</f>
        <v>صيانة  14</v>
      </c>
      <c r="O17" s="8" t="str">
        <f>IF(VLOOKUP(A17,'All-Stages'!$A$3:$T$19,18,FALSE)&lt;&gt;"",VLOOKUP(A17,'All-Stages'!$A$3:$T$19,18,FALSE),"")</f>
        <v/>
      </c>
      <c r="P17" s="8" t="s">
        <v>122</v>
      </c>
      <c r="Q17" s="8" t="s">
        <v>123</v>
      </c>
      <c r="R17" s="9" t="str">
        <f>IF(VLOOKUP(A17,'All-Stages'!$A$3:$T$19,20,FALSE)&lt;&gt;"",VLOOKUP(A17,'All-Stages'!$A$3:$T$19,20,FALSE),"")</f>
        <v/>
      </c>
    </row>
    <row r="18" spans="1:18" ht="24.75" customHeight="1" thickBot="1" x14ac:dyDescent="0.25">
      <c r="A18" s="10">
        <v>16</v>
      </c>
      <c r="B18" s="11" t="str">
        <f>VLOOKUP(A18,'All-Stages'!$A$3:$T$19,2,FALSE)</f>
        <v>التخزين في المنتج التام</v>
      </c>
      <c r="C18" s="11" t="str">
        <f>VLOOKUP(A18,'All-Stages'!$A$3:$T$19,3,FALSE)</f>
        <v>كمية الاستيل</v>
      </c>
      <c r="D18" s="11" t="str">
        <f>IF(VLOOKUP(A18,'All-Stages'!$A$3:$T$19,4,FALSE)&lt;&gt;"",VLOOKUP(A18,'All-Stages'!$A$3:$T$19,4,FALSE),"")</f>
        <v/>
      </c>
      <c r="E18" s="11" t="str">
        <f>IF(VLOOKUP(A18,'All-Stages'!$A$3:$T$19,6,FALSE)&lt;&gt;"",VLOOKUP(A18,'All-Stages'!$A$3:$T$19,6,FALSE),"")</f>
        <v/>
      </c>
      <c r="F18" s="11"/>
      <c r="G18" s="11"/>
      <c r="H18" s="12" t="str">
        <f>IF(VLOOKUP(A18,'All-Stages'!$A$3:$T$19,10,FALSE)&lt;&gt;"",VLOOKUP(A18,'All-Stages'!$A$3:$T$19,10,FALSE),"")</f>
        <v>حبيب</v>
      </c>
      <c r="I18" s="12" t="str">
        <f>IF(VLOOKUP(A18,'All-Stages'!$A$3:$T$19,11,FALSE)&lt;&gt;"",VLOOKUP(A18,'All-Stages'!$A$3:$T$19,11,FALSE),"")</f>
        <v/>
      </c>
      <c r="J18" s="12"/>
      <c r="K18" s="12"/>
      <c r="L18" s="12" t="str">
        <f>IF(VLOOKUP(A18,'All-Stages'!$A$3:$T$19,14,FALSE)&lt;&gt;"",VLOOKUP(A18,'All-Stages'!$A$3:$T$19,14,FALSE),"")</f>
        <v>كهرباء ماكينة 12</v>
      </c>
      <c r="M18" s="12" t="str">
        <f>IF(VLOOKUP(A18,'All-Stages'!$A$3:$T$19,15,FALSE)&lt;&gt;"",VLOOKUP(A18,'All-Stages'!$A$3:$T$19,15,FALSE),"")</f>
        <v>استهلاك 14</v>
      </c>
      <c r="N18" s="12" t="str">
        <f>IF(VLOOKUP(A18,'All-Stages'!$A$3:$T$19,16,FALSE)&lt;&gt;"",VLOOKUP(A18,'All-Stages'!$A$3:$T$19,16,FALSE),"")</f>
        <v>صيانة  15</v>
      </c>
      <c r="O18" s="12" t="str">
        <f>IF(VLOOKUP(A18,'All-Stages'!$A$3:$T$19,18,FALSE)&lt;&gt;"",VLOOKUP(A18,'All-Stages'!$A$3:$T$19,18,FALSE),"")</f>
        <v>صيانة الفوركلفت</v>
      </c>
      <c r="P18" s="12" t="s">
        <v>122</v>
      </c>
      <c r="Q18" s="12" t="s">
        <v>123</v>
      </c>
      <c r="R18" s="13" t="str">
        <f>IF(VLOOKUP(A18,'All-Stages'!$A$3:$T$19,20,FALSE)&lt;&gt;"",VLOOKUP(A18,'All-Stages'!$A$3:$T$19,20,FALSE),"")</f>
        <v/>
      </c>
    </row>
  </sheetData>
  <mergeCells count="7">
    <mergeCell ref="R3:R4"/>
    <mergeCell ref="A3:A4"/>
    <mergeCell ref="B3:B4"/>
    <mergeCell ref="D3:G3"/>
    <mergeCell ref="H3:K3"/>
    <mergeCell ref="L3:O3"/>
    <mergeCell ref="P3:Q3"/>
  </mergeCells>
  <pageMargins left="0.25" right="0.25" top="0.75" bottom="0.75" header="0.3" footer="0.3"/>
  <pageSetup paperSize="9"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0224-D2EC-409F-B06F-F02165A1135D}">
  <dimension ref="A2:V20"/>
  <sheetViews>
    <sheetView rightToLeft="1" topLeftCell="J1" workbookViewId="0">
      <selection activeCell="P5" sqref="P5"/>
    </sheetView>
  </sheetViews>
  <sheetFormatPr defaultColWidth="9.125" defaultRowHeight="14.25" x14ac:dyDescent="0.2"/>
  <cols>
    <col min="1" max="1" width="3.25" style="1" bestFit="1" customWidth="1"/>
    <col min="2" max="2" width="36.375" style="1" bestFit="1" customWidth="1"/>
    <col min="3" max="3" width="16.375" style="1" bestFit="1" customWidth="1"/>
    <col min="4" max="4" width="14.75" style="1" bestFit="1" customWidth="1"/>
    <col min="5" max="5" width="11.625" style="1" bestFit="1" customWidth="1"/>
    <col min="6" max="6" width="10.375" style="1" bestFit="1" customWidth="1"/>
    <col min="7" max="7" width="9.125" style="1"/>
    <col min="8" max="8" width="18.75" style="1" bestFit="1" customWidth="1"/>
    <col min="9" max="9" width="18.75" style="1" customWidth="1"/>
    <col min="10" max="10" width="16.625" style="1" bestFit="1" customWidth="1"/>
    <col min="11" max="11" width="11.25" style="1" customWidth="1"/>
    <col min="12" max="12" width="30" style="1" bestFit="1" customWidth="1"/>
    <col min="13" max="13" width="17.875" style="1" customWidth="1"/>
    <col min="14" max="14" width="32" style="1" bestFit="1" customWidth="1"/>
    <col min="15" max="15" width="10.375" style="1" bestFit="1" customWidth="1"/>
    <col min="16" max="16" width="29.25" style="1" bestFit="1" customWidth="1"/>
    <col min="17" max="17" width="9.125" style="1"/>
    <col min="18" max="18" width="12.125" style="1" bestFit="1" customWidth="1"/>
    <col min="19" max="20" width="9.125" style="1"/>
    <col min="21" max="21" width="36" style="1" bestFit="1" customWidth="1"/>
    <col min="22" max="22" width="11.625" style="1" bestFit="1" customWidth="1"/>
    <col min="23" max="16384" width="9.125" style="1"/>
  </cols>
  <sheetData>
    <row r="2" spans="1:21" x14ac:dyDescent="0.2">
      <c r="B2" s="1" t="s">
        <v>33</v>
      </c>
      <c r="C2" s="1" t="s">
        <v>4</v>
      </c>
      <c r="D2" s="33" t="s">
        <v>1</v>
      </c>
      <c r="E2" s="33"/>
      <c r="F2" s="33"/>
      <c r="G2" s="33"/>
      <c r="H2" s="33" t="s">
        <v>2</v>
      </c>
      <c r="I2" s="33"/>
      <c r="J2" s="33"/>
      <c r="K2" s="33"/>
      <c r="L2" s="33" t="s">
        <v>3</v>
      </c>
      <c r="M2" s="33"/>
      <c r="N2" s="33"/>
      <c r="O2" s="33"/>
      <c r="P2" s="33"/>
      <c r="Q2" s="33"/>
      <c r="R2" s="33"/>
      <c r="S2" s="33"/>
      <c r="T2" s="33"/>
      <c r="U2" s="1" t="s">
        <v>5</v>
      </c>
    </row>
    <row r="3" spans="1:21" x14ac:dyDescent="0.2">
      <c r="B3" s="1" t="s">
        <v>33</v>
      </c>
      <c r="C3" s="1">
        <v>1</v>
      </c>
      <c r="D3" s="2">
        <v>1</v>
      </c>
      <c r="E3" s="2" t="s">
        <v>38</v>
      </c>
      <c r="F3" s="2">
        <v>2</v>
      </c>
      <c r="G3" s="2"/>
      <c r="H3" s="2">
        <v>1</v>
      </c>
      <c r="I3" s="2" t="s">
        <v>39</v>
      </c>
      <c r="J3" s="2">
        <v>2</v>
      </c>
      <c r="K3" s="2" t="s">
        <v>40</v>
      </c>
      <c r="L3" s="2">
        <v>1</v>
      </c>
      <c r="M3" s="2" t="s">
        <v>41</v>
      </c>
      <c r="N3" s="2">
        <v>2</v>
      </c>
      <c r="O3" s="2" t="s">
        <v>42</v>
      </c>
      <c r="P3" s="2">
        <v>3</v>
      </c>
      <c r="Q3" s="2"/>
      <c r="R3" s="2">
        <v>4</v>
      </c>
      <c r="S3" s="2">
        <v>5</v>
      </c>
      <c r="T3" s="2">
        <v>6</v>
      </c>
      <c r="U3" s="1" t="s">
        <v>5</v>
      </c>
    </row>
    <row r="4" spans="1:21" x14ac:dyDescent="0.2">
      <c r="A4" s="1">
        <v>1</v>
      </c>
      <c r="B4" s="1" t="str">
        <f>VLOOKUP(A4,'All-Stages'!$A$3:$T$19,2,FALSE)</f>
        <v>الوزن والاستلام</v>
      </c>
      <c r="C4" s="1" t="str">
        <f>VLOOKUP(A4,'All-Stages'!$A$3:$T$19,3,FALSE)</f>
        <v>كمية الاستيل</v>
      </c>
      <c r="D4" s="1" t="str">
        <f>IF(VLOOKUP(A4,'All-Stages'!$A$3:$T$19,4,FALSE)&lt;&gt;"",VLOOKUP(A4,'All-Stages'!$A$3:$T$19,4,FALSE),"")</f>
        <v/>
      </c>
      <c r="E4" s="14"/>
      <c r="F4" s="14"/>
      <c r="G4" s="14"/>
      <c r="H4" s="1" t="str">
        <f>IF(VLOOKUP(A4,'All-Stages'!$A$3:$T$19,10,FALSE)&lt;&gt;"",VLOOKUP(A4,'All-Stages'!$A$3:$T$19,10,FALSE),"")</f>
        <v>حفيظ جهاز القياس</v>
      </c>
      <c r="I4" s="14">
        <f>11.25*8/25*2.25</f>
        <v>8.1</v>
      </c>
      <c r="J4" s="1" t="str">
        <f>IF(VLOOKUP(A4,'All-Stages'!$A$3:$T$19,11,FALSE)&lt;&gt;"",VLOOKUP(A4,'All-Stages'!$A$3:$T$19,11,FALSE),"")</f>
        <v>حبيب فوركلفت</v>
      </c>
      <c r="K4" s="14">
        <f>9.27*8/25*2.25</f>
        <v>6.6743999999999994</v>
      </c>
      <c r="L4" s="1" t="str">
        <f>IF(VLOOKUP(A4,'All-Stages'!$A$3:$T$19,14,FALSE)&lt;&gt;"",VLOOKUP(A4,'All-Stages'!$A$3:$T$19,14,FALSE),"")</f>
        <v>كهرباء جهاز القياس</v>
      </c>
      <c r="M4" s="14">
        <f>100/30/25+500/30/25</f>
        <v>0.8</v>
      </c>
      <c r="N4" s="1" t="str">
        <f>IF(VLOOKUP(A4,'All-Stages'!$A$3:$T$19,15,FALSE)&lt;&gt;"",VLOOKUP(A4,'All-Stages'!$A$3:$T$19,15,FALSE),"")</f>
        <v>كهرباء الفوركلفت</v>
      </c>
      <c r="O4" s="14">
        <f>(113000+500)/5/12/30/25</f>
        <v>2.5222222222222221</v>
      </c>
      <c r="P4" s="1" t="str">
        <f>IF(VLOOKUP(A4,'All-Stages'!$A$3:$T$19,16,FALSE)&lt;&gt;"",VLOOKUP(A4,'All-Stages'!$A$3:$T$19,16,FALSE),"")</f>
        <v>استهلاك جهاز القياس</v>
      </c>
      <c r="Q4" s="14">
        <f>O4*0.05</f>
        <v>0.12611111111111112</v>
      </c>
      <c r="R4" s="1" t="str">
        <f>IF(VLOOKUP(A4,'All-Stages'!$A$3:$T$19,17,FALSE)&lt;&gt;"",VLOOKUP(A4,'All-Stages'!$A$3:$T$19,17,FALSE),"")</f>
        <v>استهلاك الفوركلفت</v>
      </c>
      <c r="S4" s="1" t="str">
        <f>IF(VLOOKUP($A4,'All-Stages'!$A$3:$T$19,18,FALSE)&lt;&gt;"",VLOOKUP($A4,'All-Stages'!$A$3:$T$19,18,FALSE),"")</f>
        <v>صيانة 1</v>
      </c>
      <c r="T4" s="1" t="str">
        <f>IF(VLOOKUP($A4,'All-Stages'!$A$3:$T$19,19,FALSE)&lt;&gt;"",VLOOKUP($A4,'All-Stages'!$A$3:$T$19,19,FALSE),"")</f>
        <v>صيانة الفوركلفت</v>
      </c>
      <c r="U4" s="1" t="str">
        <f>IF(VLOOKUP($A4,'All-Stages'!$A$3:$T$19,20,FALSE)&lt;&gt;"",VLOOKUP($A4,'All-Stages'!$A$3:$T$19,20,FALSE),"")</f>
        <v>متوسط 25 طن باليوم</v>
      </c>
    </row>
    <row r="5" spans="1:21" x14ac:dyDescent="0.2">
      <c r="A5" s="1">
        <v>2</v>
      </c>
      <c r="B5" s="1" t="str">
        <f>VLOOKUP(A5,'All-Stages'!$A$3:$T$19,2,FALSE)</f>
        <v>التتنظيف</v>
      </c>
      <c r="C5" s="1" t="str">
        <f>VLOOKUP(A5,'All-Stages'!$A$3:$T$19,3,FALSE)</f>
        <v>كمية الاستيل</v>
      </c>
      <c r="D5" s="1" t="str">
        <f>IF(VLOOKUP(A5,'All-Stages'!$A$3:$T$19,4,FALSE)&lt;&gt;"",VLOOKUP(A5,'All-Stages'!$A$3:$T$19,4,FALSE),"")</f>
        <v/>
      </c>
      <c r="E5" s="14"/>
      <c r="F5" s="14"/>
      <c r="G5" s="14"/>
      <c r="H5" s="1" t="str">
        <f>IF(VLOOKUP(A5,'All-Stages'!$A$3:$T$19,10,FALSE)&lt;&gt;"",VLOOKUP(A5,'All-Stages'!$A$3:$T$19,10,FALSE),"")</f>
        <v>هيكساني / حكيم</v>
      </c>
      <c r="I5" s="14">
        <f>(8.96+12.92)/2*8/50*3*2.25</f>
        <v>11.815200000000001</v>
      </c>
      <c r="J5" s="1" t="str">
        <f>IF(VLOOKUP(A5,'All-Stages'!$A$3:$T$19,11,FALSE)&lt;&gt;"",VLOOKUP(A5,'All-Stages'!$A$3:$T$19,11,FALSE),"")</f>
        <v/>
      </c>
      <c r="K5" s="14"/>
      <c r="L5" s="1" t="str">
        <f>IF(VLOOKUP(A5,'All-Stages'!$A$3:$T$19,14,FALSE)&lt;&gt;"",VLOOKUP(A5,'All-Stages'!$A$3:$T$19,14,FALSE),"")</f>
        <v>كهرباء ماكينة 1</v>
      </c>
      <c r="M5" s="14">
        <f>1000/30/50*3</f>
        <v>2</v>
      </c>
      <c r="N5" s="1" t="str">
        <f>IF(VLOOKUP(A5,'All-Stages'!$A$3:$T$19,15,FALSE)&lt;&gt;"",VLOOKUP(A5,'All-Stages'!$A$3:$T$19,15,FALSE),"")</f>
        <v>استهلاك 1</v>
      </c>
      <c r="O5" s="14">
        <f>(376550)/10/12/30/50*3</f>
        <v>6.2758333333333329</v>
      </c>
      <c r="P5" s="1" t="str">
        <f>IF(VLOOKUP(A5,'All-Stages'!$A$3:$T$19,16,FALSE)&lt;&gt;"",VLOOKUP(A5,'All-Stages'!$A$3:$T$19,16,FALSE),"")</f>
        <v>صيانة 3</v>
      </c>
      <c r="Q5" s="14">
        <f t="shared" ref="Q5:Q19" si="0">O5*0.05</f>
        <v>0.31379166666666669</v>
      </c>
      <c r="R5" s="1" t="str">
        <f>IF(VLOOKUP(A5,'All-Stages'!$A$3:$T$19,17,FALSE)&lt;&gt;"",VLOOKUP(A5,'All-Stages'!$A$3:$T$19,17,FALSE),"")</f>
        <v/>
      </c>
      <c r="S5" s="1" t="str">
        <f>IF(VLOOKUP(A5,'All-Stages'!$A$3:$T$19,18,FALSE)&lt;&gt;"",VLOOKUP(A5,'All-Stages'!$A$3:$T$19,18,FALSE),"")</f>
        <v/>
      </c>
      <c r="T5" s="1" t="str">
        <f>IF(VLOOKUP($A5,'All-Stages'!$A$3:$T$19,19,FALSE)&lt;&gt;"",VLOOKUP($A5,'All-Stages'!$A$3:$T$19,19,FALSE),"")</f>
        <v/>
      </c>
      <c r="U5" s="1" t="str">
        <f>IF(VLOOKUP($A5,'All-Stages'!$A$3:$T$19,20,FALSE)&lt;&gt;"",VLOOKUP($A5,'All-Stages'!$A$3:$T$19,20,FALSE),"")</f>
        <v>متوسط 50 طن 3 أيام</v>
      </c>
    </row>
    <row r="6" spans="1:21" x14ac:dyDescent="0.2">
      <c r="A6" s="1">
        <v>3</v>
      </c>
      <c r="B6" s="1" t="str">
        <f>VLOOKUP(A6,'All-Stages'!$A$3:$T$19,2,FALSE)</f>
        <v>ماكينة</v>
      </c>
      <c r="C6" s="1" t="str">
        <f>VLOOKUP(A6,'All-Stages'!$A$3:$T$19,3,FALSE)</f>
        <v>مدة التخزين</v>
      </c>
      <c r="D6" s="1" t="str">
        <f>IF(VLOOKUP(A6,'All-Stages'!$A$3:$T$19,4,FALSE)&lt;&gt;"",VLOOKUP(A6,'All-Stages'!$A$3:$T$19,4,FALSE),"")</f>
        <v/>
      </c>
      <c r="E6" s="14"/>
      <c r="F6" s="14"/>
      <c r="G6" s="14"/>
      <c r="H6" s="1" t="str">
        <f>IF(VLOOKUP(A6,'All-Stages'!$A$3:$T$19,10,FALSE)&lt;&gt;"",VLOOKUP(A6,'All-Stages'!$A$3:$T$19,10,FALSE),"")</f>
        <v>حبيب</v>
      </c>
      <c r="I6" s="14">
        <f>9.27*8/25*2.25</f>
        <v>6.6743999999999994</v>
      </c>
      <c r="J6" s="1" t="str">
        <f>IF(VLOOKUP(A6,'All-Stages'!$A$3:$T$19,11,FALSE)&lt;&gt;"",VLOOKUP(A6,'All-Stages'!$A$3:$T$19,11,FALSE),"")</f>
        <v/>
      </c>
      <c r="K6" s="14"/>
      <c r="L6" s="1" t="str">
        <f>IF(VLOOKUP(A6,'All-Stages'!$A$3:$T$19,14,FALSE)&lt;&gt;"",VLOOKUP(A6,'All-Stages'!$A$3:$T$19,14,FALSE),"")</f>
        <v>كهرباء ماكينة 2</v>
      </c>
      <c r="M6" s="14">
        <f>2000/30/50*3+500/30/25</f>
        <v>4.666666666666667</v>
      </c>
      <c r="N6" s="1" t="str">
        <f>IF(VLOOKUP(A6,'All-Stages'!$A$3:$T$19,15,FALSE)&lt;&gt;"",VLOOKUP(A6,'All-Stages'!$A$3:$T$19,15,FALSE),"")</f>
        <v>استهلاك 2</v>
      </c>
      <c r="O6" s="14">
        <f>(113000/5/12/30/25+85000/10/12/30/25)</f>
        <v>3.4555555555555557</v>
      </c>
      <c r="P6" s="1" t="str">
        <f>IF(VLOOKUP(A6,'All-Stages'!$A$3:$T$19,16,FALSE)&lt;&gt;"",VLOOKUP(A6,'All-Stages'!$A$3:$T$19,16,FALSE),"")</f>
        <v>صيانة 4</v>
      </c>
      <c r="Q6" s="14">
        <f t="shared" si="0"/>
        <v>0.17277777777777781</v>
      </c>
      <c r="R6" s="1" t="str">
        <f>IF(VLOOKUP(A6,'All-Stages'!$A$3:$T$19,17,FALSE)&lt;&gt;"",VLOOKUP(A6,'All-Stages'!$A$3:$T$19,17,FALSE),"")</f>
        <v>استهلاك 13</v>
      </c>
      <c r="S6" s="1" t="str">
        <f>IF(VLOOKUP(A6,'All-Stages'!$A$3:$T$19,18,FALSE)&lt;&gt;"",VLOOKUP(A6,'All-Stages'!$A$3:$T$19,18,FALSE),"")</f>
        <v>صيانة الفوركلفت</v>
      </c>
      <c r="T6" s="1" t="str">
        <f>IF(VLOOKUP($A6,'All-Stages'!$A$3:$T$19,19,FALSE)&lt;&gt;"",VLOOKUP($A6,'All-Stages'!$A$3:$T$19,19,FALSE),"")</f>
        <v/>
      </c>
      <c r="U6" s="1" t="str">
        <f>IF(VLOOKUP($A6,'All-Stages'!$A$3:$T$19,20,FALSE)&lt;&gt;"",VLOOKUP($A6,'All-Stages'!$A$3:$T$19,20,FALSE),"")</f>
        <v/>
      </c>
    </row>
    <row r="7" spans="1:21" x14ac:dyDescent="0.2">
      <c r="A7" s="1">
        <v>4</v>
      </c>
      <c r="B7" s="1" t="str">
        <f>VLOOKUP(A7,'All-Stages'!$A$3:$T$19,2,FALSE)</f>
        <v>ماكينة 1</v>
      </c>
      <c r="C7" s="1" t="str">
        <f>VLOOKUP(A7,'All-Stages'!$A$3:$T$19,3,FALSE)</f>
        <v>كمية الاستيل</v>
      </c>
      <c r="D7" s="1" t="str">
        <f>IF(VLOOKUP(A7,'All-Stages'!$A$3:$T$19,4,FALSE)&lt;&gt;"",VLOOKUP(A7,'All-Stages'!$A$3:$T$19,4,FALSE),"")</f>
        <v/>
      </c>
      <c r="E7" s="14"/>
      <c r="F7" s="14"/>
      <c r="G7" s="14"/>
      <c r="H7" s="1" t="str">
        <f>IF(VLOOKUP(A7,'All-Stages'!$A$3:$T$19,10,FALSE)&lt;&gt;"",VLOOKUP(A7,'All-Stages'!$A$3:$T$19,10,FALSE),"")</f>
        <v>3 أفراد</v>
      </c>
      <c r="I7" s="14">
        <f>8.96*8/25*2.25*3</f>
        <v>19.353600000000004</v>
      </c>
      <c r="J7" s="1" t="str">
        <f>IF(VLOOKUP(A7,'All-Stages'!$A$3:$T$19,11,FALSE)&lt;&gt;"",VLOOKUP(A7,'All-Stages'!$A$3:$T$19,11,FALSE),"")</f>
        <v/>
      </c>
      <c r="K7" s="14"/>
      <c r="L7" s="1" t="str">
        <f>IF(VLOOKUP(A7,'All-Stages'!$A$3:$T$19,14,FALSE)&lt;&gt;"",VLOOKUP(A7,'All-Stages'!$A$3:$T$19,14,FALSE),"")</f>
        <v>كهرباء ماكينة 3</v>
      </c>
      <c r="M7" s="14">
        <f>500/30/25</f>
        <v>0.66666666666666674</v>
      </c>
      <c r="N7" s="1" t="str">
        <f>IF(VLOOKUP(A7,'All-Stages'!$A$3:$T$19,15,FALSE)&lt;&gt;"",VLOOKUP(A7,'All-Stages'!$A$3:$T$19,15,FALSE),"")</f>
        <v>استهلاك 3</v>
      </c>
      <c r="O7" s="14">
        <f>(40000)/5/12/30/25</f>
        <v>0.88888888888888884</v>
      </c>
      <c r="P7" s="1" t="str">
        <f>IF(VLOOKUP(A7,'All-Stages'!$A$3:$T$19,16,FALSE)&lt;&gt;"",VLOOKUP(A7,'All-Stages'!$A$3:$T$19,16,FALSE),"")</f>
        <v>صيانة 5</v>
      </c>
      <c r="Q7" s="14">
        <f t="shared" si="0"/>
        <v>4.4444444444444446E-2</v>
      </c>
      <c r="R7" s="1" t="str">
        <f>IF(VLOOKUP(A7,'All-Stages'!$A$3:$T$19,17,FALSE)&lt;&gt;"",VLOOKUP(A7,'All-Stages'!$A$3:$T$19,17,FALSE),"")</f>
        <v/>
      </c>
      <c r="S7" s="1" t="str">
        <f>IF(VLOOKUP(A7,'All-Stages'!$A$3:$T$19,18,FALSE)&lt;&gt;"",VLOOKUP(A7,'All-Stages'!$A$3:$T$19,18,FALSE),"")</f>
        <v/>
      </c>
      <c r="T7" s="1" t="str">
        <f>IF(VLOOKUP($A7,'All-Stages'!$A$3:$T$19,19,FALSE)&lt;&gt;"",VLOOKUP($A7,'All-Stages'!$A$3:$T$19,19,FALSE),"")</f>
        <v/>
      </c>
      <c r="U7" s="1" t="str">
        <f>IF(VLOOKUP($A7,'All-Stages'!$A$3:$T$19,20,FALSE)&lt;&gt;"",VLOOKUP($A7,'All-Stages'!$A$3:$T$19,20,FALSE),"")</f>
        <v/>
      </c>
    </row>
    <row r="8" spans="1:21" x14ac:dyDescent="0.2">
      <c r="A8" s="1">
        <v>5</v>
      </c>
      <c r="B8" s="1" t="str">
        <f>VLOOKUP(A8,'All-Stages'!$A$3:$T$19,2,FALSE)</f>
        <v>ماكينة 2</v>
      </c>
      <c r="C8" s="1" t="str">
        <f>VLOOKUP(A8,'All-Stages'!$A$3:$T$19,3,FALSE)</f>
        <v>كمية الاستيل</v>
      </c>
      <c r="D8" s="1" t="str">
        <f>IF(VLOOKUP(A8,'All-Stages'!$A$3:$T$19,4,FALSE)&lt;&gt;"",VLOOKUP(A8,'All-Stages'!$A$3:$T$19,4,FALSE),"")</f>
        <v/>
      </c>
      <c r="E8" s="14"/>
      <c r="F8" s="14"/>
      <c r="G8" s="14"/>
      <c r="H8" s="1" t="str">
        <f>IF(VLOOKUP(A8,'All-Stages'!$A$3:$T$19,10,FALSE)&lt;&gt;"",VLOOKUP(A8,'All-Stages'!$A$3:$T$19,10,FALSE),"")</f>
        <v>4 أفراد فرز + 3 تعبئة</v>
      </c>
      <c r="I8" s="14">
        <f>8.96*8/25*2.25*7</f>
        <v>45.158400000000007</v>
      </c>
      <c r="J8" s="1" t="str">
        <f>IF(VLOOKUP(A8,'All-Stages'!$A$3:$T$19,11,FALSE)&lt;&gt;"",VLOOKUP(A8,'All-Stages'!$A$3:$T$19,11,FALSE),"")</f>
        <v/>
      </c>
      <c r="K8" s="14"/>
      <c r="L8" s="1" t="str">
        <f>IF(VLOOKUP(A8,'All-Stages'!$A$3:$T$19,14,FALSE)&lt;&gt;"",VLOOKUP(A8,'All-Stages'!$A$3:$T$19,14,FALSE),"")</f>
        <v>كهرباء ماكينة 4</v>
      </c>
      <c r="M8" s="14">
        <f>1000/30/25</f>
        <v>1.3333333333333335</v>
      </c>
      <c r="N8" s="1" t="str">
        <f>IF(VLOOKUP(A8,'All-Stages'!$A$3:$T$19,15,FALSE)&lt;&gt;"",VLOOKUP(A8,'All-Stages'!$A$3:$T$19,15,FALSE),"")</f>
        <v>استهلاك 4</v>
      </c>
      <c r="O8" s="14">
        <f>(163200)/10/12/30/25</f>
        <v>1.8133333333333335</v>
      </c>
      <c r="P8" s="1" t="str">
        <f>IF(VLOOKUP(A8,'All-Stages'!$A$3:$T$19,16,FALSE)&lt;&gt;"",VLOOKUP(A8,'All-Stages'!$A$3:$T$19,16,FALSE),"")</f>
        <v>صيانة 6</v>
      </c>
      <c r="Q8" s="14">
        <f t="shared" si="0"/>
        <v>9.0666666666666673E-2</v>
      </c>
      <c r="R8" s="1" t="str">
        <f>IF(VLOOKUP(A8,'All-Stages'!$A$3:$T$19,17,FALSE)&lt;&gt;"",VLOOKUP(A8,'All-Stages'!$A$3:$T$19,17,FALSE),"")</f>
        <v/>
      </c>
      <c r="S8" s="1" t="str">
        <f>IF(VLOOKUP(A8,'All-Stages'!$A$3:$T$19,18,FALSE)&lt;&gt;"",VLOOKUP(A8,'All-Stages'!$A$3:$T$19,18,FALSE),"")</f>
        <v/>
      </c>
      <c r="T8" s="1" t="str">
        <f>IF(VLOOKUP($A8,'All-Stages'!$A$3:$T$19,19,FALSE)&lt;&gt;"",VLOOKUP($A8,'All-Stages'!$A$3:$T$19,19,FALSE),"")</f>
        <v/>
      </c>
      <c r="U8" s="1" t="str">
        <f>IF(VLOOKUP($A8,'All-Stages'!$A$3:$T$19,20,FALSE)&lt;&gt;"",VLOOKUP($A8,'All-Stages'!$A$3:$T$19,20,FALSE),"")</f>
        <v/>
      </c>
    </row>
    <row r="9" spans="1:21" x14ac:dyDescent="0.2">
      <c r="A9" s="1">
        <v>6</v>
      </c>
      <c r="B9" s="1" t="str">
        <f>VLOOKUP(A9,'All-Stages'!$A$3:$T$19,2,FALSE)</f>
        <v>ماكينة 3</v>
      </c>
      <c r="C9" s="1" t="str">
        <f>VLOOKUP(A9,'All-Stages'!$A$3:$T$19,3,FALSE)</f>
        <v>عدد المقاسات المطلوبة</v>
      </c>
      <c r="D9" s="1" t="str">
        <f>IF(VLOOKUP(A9,'All-Stages'!$A$3:$T$19,4,FALSE)&lt;&gt;"",VLOOKUP(A9,'All-Stages'!$A$3:$T$19,4,FALSE),"")</f>
        <v/>
      </c>
      <c r="E9" s="14"/>
      <c r="F9" s="14"/>
      <c r="G9" s="14"/>
      <c r="H9" s="1" t="str">
        <f>IF(VLOOKUP(A9,'All-Stages'!$A$3:$T$19,10,FALSE)&lt;&gt;"",VLOOKUP(A9,'All-Stages'!$A$3:$T$19,10,FALSE),"")</f>
        <v>متوسط 5 أفراد</v>
      </c>
      <c r="I9" s="14">
        <f>8.96*8/25*2.25*5</f>
        <v>32.256000000000007</v>
      </c>
      <c r="J9" s="1" t="str">
        <f>IF(VLOOKUP(A9,'All-Stages'!$A$3:$T$19,11,FALSE)&lt;&gt;"",VLOOKUP(A9,'All-Stages'!$A$3:$T$19,11,FALSE),"")</f>
        <v>هيكساني أو حكيم</v>
      </c>
      <c r="K9" s="14">
        <f>(8.96+12.92)/2*8/50*3*2.25</f>
        <v>11.815200000000001</v>
      </c>
      <c r="L9" s="1" t="str">
        <f>IF(VLOOKUP(A9,'All-Stages'!$A$3:$T$19,14,FALSE)&lt;&gt;"",VLOOKUP(A9,'All-Stages'!$A$3:$T$19,14,FALSE),"")</f>
        <v>كهرباء ماكينة 5</v>
      </c>
      <c r="M9" s="14">
        <f>1500/30/25</f>
        <v>2</v>
      </c>
      <c r="N9" s="1" t="str">
        <f>IF(VLOOKUP(A9,'All-Stages'!$A$3:$T$19,15,FALSE)&lt;&gt;"",VLOOKUP(A9,'All-Stages'!$A$3:$T$19,15,FALSE),"")</f>
        <v>استهلاك 5</v>
      </c>
      <c r="O9" s="14">
        <f>(886000)/10/12/30/25</f>
        <v>9.844444444444445</v>
      </c>
      <c r="P9" s="1" t="str">
        <f>IF(VLOOKUP(A9,'All-Stages'!$A$3:$T$19,16,FALSE)&lt;&gt;"",VLOOKUP(A9,'All-Stages'!$A$3:$T$19,16,FALSE),"")</f>
        <v>صيانة 7</v>
      </c>
      <c r="Q9" s="14">
        <f t="shared" si="0"/>
        <v>0.49222222222222228</v>
      </c>
      <c r="R9" s="1" t="str">
        <f>IF(VLOOKUP(A9,'All-Stages'!$A$3:$T$19,17,FALSE)&lt;&gt;"",VLOOKUP(A9,'All-Stages'!$A$3:$T$19,17,FALSE),"")</f>
        <v/>
      </c>
      <c r="S9" s="1" t="str">
        <f>IF(VLOOKUP(A9,'All-Stages'!$A$3:$T$19,18,FALSE)&lt;&gt;"",VLOOKUP(A9,'All-Stages'!$A$3:$T$19,18,FALSE),"")</f>
        <v/>
      </c>
      <c r="T9" s="1" t="str">
        <f>IF(VLOOKUP($A9,'All-Stages'!$A$3:$T$19,19,FALSE)&lt;&gt;"",VLOOKUP($A9,'All-Stages'!$A$3:$T$19,19,FALSE),"")</f>
        <v/>
      </c>
      <c r="U9" s="1" t="str">
        <f>IF(VLOOKUP($A9,'All-Stages'!$A$3:$T$19,20,FALSE)&lt;&gt;"",VLOOKUP($A9,'All-Stages'!$A$3:$T$19,20,FALSE),"")</f>
        <v>متوسط 4 طن للماكينة باليوم (الوردية 8 ساعات)</v>
      </c>
    </row>
    <row r="10" spans="1:21" x14ac:dyDescent="0.2">
      <c r="A10" s="1">
        <v>7</v>
      </c>
      <c r="B10" s="1" t="str">
        <f>VLOOKUP(A10,'All-Stages'!$A$3:$T$19,2,FALSE)</f>
        <v>ماكينة 4</v>
      </c>
      <c r="C10" s="1" t="str">
        <f>VLOOKUP(A10,'All-Stages'!$A$3:$T$19,3,FALSE)</f>
        <v>كمية الاستيل</v>
      </c>
      <c r="D10" s="1" t="str">
        <f>IF(VLOOKUP(A10,'All-Stages'!$A$3:$T$19,4,FALSE)&lt;&gt;"",VLOOKUP(A10,'All-Stages'!$A$3:$T$19,4,FALSE),"")</f>
        <v/>
      </c>
      <c r="E10" s="14"/>
      <c r="F10" s="14"/>
      <c r="G10" s="14"/>
      <c r="H10" s="1" t="str">
        <f>IF(VLOOKUP(A10,'All-Stages'!$A$3:$T$19,10,FALSE)&lt;&gt;"",VLOOKUP(A10,'All-Stages'!$A$3:$T$19,10,FALSE),"")</f>
        <v>3 أفراد</v>
      </c>
      <c r="I10" s="14">
        <f>8.96*8/25*2.25*3</f>
        <v>19.353600000000004</v>
      </c>
      <c r="J10" s="1" t="str">
        <f>IF(VLOOKUP(A10,'All-Stages'!$A$3:$T$19,11,FALSE)&lt;&gt;"",VLOOKUP(A10,'All-Stages'!$A$3:$T$19,11,FALSE),"")</f>
        <v/>
      </c>
      <c r="K10" s="14"/>
      <c r="L10" s="1" t="str">
        <f>IF(VLOOKUP(A10,'All-Stages'!$A$3:$T$19,14,FALSE)&lt;&gt;"",VLOOKUP(A10,'All-Stages'!$A$3:$T$19,14,FALSE),"")</f>
        <v>كهرباء ماكينة 6</v>
      </c>
      <c r="M10" s="14">
        <f>2000/30/25</f>
        <v>2.666666666666667</v>
      </c>
      <c r="N10" s="1" t="str">
        <f>IF(VLOOKUP(A10,'All-Stages'!$A$3:$T$19,15,FALSE)&lt;&gt;"",VLOOKUP(A10,'All-Stages'!$A$3:$T$19,15,FALSE),"")</f>
        <v>استهلاك 6</v>
      </c>
      <c r="O10" s="14">
        <f>(33542)/10/12/30/25</f>
        <v>0.3726888888888889</v>
      </c>
      <c r="P10" s="1" t="str">
        <f>IF(VLOOKUP(A10,'All-Stages'!$A$3:$T$19,16,FALSE)&lt;&gt;"",VLOOKUP(A10,'All-Stages'!$A$3:$T$19,16,FALSE),"")</f>
        <v>صيانة 8</v>
      </c>
      <c r="Q10" s="14">
        <f t="shared" si="0"/>
        <v>1.8634444444444447E-2</v>
      </c>
      <c r="R10" s="1" t="str">
        <f>IF(VLOOKUP(A10,'All-Stages'!$A$3:$T$19,17,FALSE)&lt;&gt;"",VLOOKUP(A10,'All-Stages'!$A$3:$T$19,17,FALSE),"")</f>
        <v/>
      </c>
      <c r="S10" s="1" t="str">
        <f>IF(VLOOKUP(A10,'All-Stages'!$A$3:$T$19,18,FALSE)&lt;&gt;"",VLOOKUP(A10,'All-Stages'!$A$3:$T$19,18,FALSE),"")</f>
        <v/>
      </c>
      <c r="T10" s="1" t="str">
        <f>IF(VLOOKUP($A10,'All-Stages'!$A$3:$T$19,19,FALSE)&lt;&gt;"",VLOOKUP($A10,'All-Stages'!$A$3:$T$19,19,FALSE),"")</f>
        <v/>
      </c>
      <c r="U10" s="1" t="str">
        <f>IF(VLOOKUP($A10,'All-Stages'!$A$3:$T$19,20,FALSE)&lt;&gt;"",VLOOKUP($A10,'All-Stages'!$A$3:$T$19,20,FALSE),"")</f>
        <v/>
      </c>
    </row>
    <row r="11" spans="1:21" x14ac:dyDescent="0.2">
      <c r="A11" s="1">
        <v>8</v>
      </c>
      <c r="B11" s="1" t="str">
        <f>VLOOKUP(A11,'All-Stages'!$A$3:$T$19,2,FALSE)</f>
        <v>ماكينة 5</v>
      </c>
      <c r="C11" s="1" t="str">
        <f>VLOOKUP(A11,'All-Stages'!$A$3:$T$19,3,FALSE)</f>
        <v>كمية الاستيل</v>
      </c>
      <c r="D11" s="1" t="str">
        <f>IF(VLOOKUP(A11,'All-Stages'!$A$3:$T$19,4,FALSE)&lt;&gt;"",VLOOKUP(A11,'All-Stages'!$A$3:$T$19,4,FALSE),"")</f>
        <v>استيل</v>
      </c>
      <c r="E11" s="14">
        <f>4*1000</f>
        <v>4000</v>
      </c>
      <c r="F11" s="14"/>
      <c r="G11" s="14"/>
      <c r="H11" s="1" t="str">
        <f>IF(VLOOKUP(A11,'All-Stages'!$A$3:$T$19,10,FALSE)&lt;&gt;"",VLOOKUP(A11,'All-Stages'!$A$3:$T$19,10,FALSE),"")</f>
        <v>2 أفراد</v>
      </c>
      <c r="I11" s="14">
        <f>8.96*8/25*2.25*2</f>
        <v>12.902400000000002</v>
      </c>
      <c r="J11" s="1" t="str">
        <f>IF(VLOOKUP(A11,'All-Stages'!$A$3:$T$19,11,FALSE)&lt;&gt;"",VLOOKUP(A11,'All-Stages'!$A$3:$T$19,11,FALSE),"")</f>
        <v/>
      </c>
      <c r="K11" s="14"/>
      <c r="L11" s="1" t="str">
        <f>IF(VLOOKUP(A11,'All-Stages'!$A$3:$T$19,14,FALSE)&lt;&gt;"",VLOOKUP(A11,'All-Stages'!$A$3:$T$19,14,FALSE),"")</f>
        <v/>
      </c>
      <c r="M11" s="14"/>
      <c r="N11" s="1" t="str">
        <f>IF(VLOOKUP(A11,'All-Stages'!$A$3:$T$19,15,FALSE)&lt;&gt;"",VLOOKUP(A11,'All-Stages'!$A$3:$T$19,15,FALSE),"")</f>
        <v>استهلاك 7</v>
      </c>
      <c r="O11" s="14">
        <v>0.5</v>
      </c>
      <c r="P11" s="1" t="str">
        <f>IF(VLOOKUP(A11,'All-Stages'!$A$3:$T$19,16,FALSE)&lt;&gt;"",VLOOKUP(A11,'All-Stages'!$A$3:$T$19,16,FALSE),"")</f>
        <v>التامين ضد المخاطر</v>
      </c>
      <c r="Q11" s="14">
        <f t="shared" si="0"/>
        <v>2.5000000000000001E-2</v>
      </c>
      <c r="R11" s="1" t="str">
        <f>IF(VLOOKUP(A11,'All-Stages'!$A$3:$T$19,17,FALSE)&lt;&gt;"",VLOOKUP(A11,'All-Stages'!$A$3:$T$19,17,FALSE),"")</f>
        <v/>
      </c>
      <c r="S11" s="1" t="str">
        <f>IF(VLOOKUP(A11,'All-Stages'!$A$3:$T$19,18,FALSE)&lt;&gt;"",VLOOKUP(A11,'All-Stages'!$A$3:$T$19,18,FALSE),"")</f>
        <v/>
      </c>
      <c r="T11" s="1" t="str">
        <f>IF(VLOOKUP($A11,'All-Stages'!$A$3:$T$19,19,FALSE)&lt;&gt;"",VLOOKUP($A11,'All-Stages'!$A$3:$T$19,19,FALSE),"")</f>
        <v/>
      </c>
      <c r="U11" s="1" t="str">
        <f>IF(VLOOKUP($A11,'All-Stages'!$A$3:$T$19,20,FALSE)&lt;&gt;"",VLOOKUP($A11,'All-Stages'!$A$3:$T$19,20,FALSE),"")</f>
        <v>متوسط 25 ك للفرد باليوم</v>
      </c>
    </row>
    <row r="12" spans="1:21" x14ac:dyDescent="0.2">
      <c r="A12" s="1">
        <v>9</v>
      </c>
      <c r="B12" s="1" t="str">
        <f>VLOOKUP(A12,'All-Stages'!$A$3:$T$19,2,FALSE)</f>
        <v>ماكينة 6</v>
      </c>
      <c r="C12" s="1" t="str">
        <f>VLOOKUP(A12,'All-Stages'!$A$3:$T$19,3,FALSE)</f>
        <v>كمية الاستيل</v>
      </c>
      <c r="D12" s="1" t="str">
        <f>IF(VLOOKUP(A12,'All-Stages'!$A$3:$T$19,4,FALSE)&lt;&gt;"",VLOOKUP(A12,'All-Stages'!$A$3:$T$19,4,FALSE),"")</f>
        <v/>
      </c>
      <c r="E12" s="14">
        <f>506/22.5*1000*0.08</f>
        <v>1799.1111111111111</v>
      </c>
      <c r="F12" s="14"/>
      <c r="G12" s="14"/>
      <c r="H12" s="1" t="str">
        <f>IF(VLOOKUP(A12,'All-Stages'!$A$3:$T$19,10,FALSE)&lt;&gt;"",VLOOKUP(A12,'All-Stages'!$A$3:$T$19,10,FALSE),"")</f>
        <v>فرد 1</v>
      </c>
      <c r="I12" s="14">
        <f>8.96*8/25*2.25*1</f>
        <v>6.4512000000000009</v>
      </c>
      <c r="J12" s="1" t="str">
        <f>IF(VLOOKUP(A12,'All-Stages'!$A$3:$T$19,11,FALSE)&lt;&gt;"",VLOOKUP(A12,'All-Stages'!$A$3:$T$19,11,FALSE),"")</f>
        <v/>
      </c>
      <c r="K12" s="14"/>
      <c r="L12" s="1" t="str">
        <f>IF(VLOOKUP(A12,'All-Stages'!$A$3:$T$19,14,FALSE)&lt;&gt;"",VLOOKUP(A12,'All-Stages'!$A$3:$T$19,14,FALSE),"")</f>
        <v/>
      </c>
      <c r="M12" s="14"/>
      <c r="N12" s="1" t="str">
        <f>IF(VLOOKUP(A12,'All-Stages'!$A$3:$T$19,15,FALSE)&lt;&gt;"",VLOOKUP(A12,'All-Stages'!$A$3:$T$19,15,FALSE),"")</f>
        <v/>
      </c>
      <c r="O12" s="14">
        <v>0</v>
      </c>
      <c r="P12" s="1" t="str">
        <f>IF(VLOOKUP(A12,'All-Stages'!$A$3:$T$19,16,FALSE)&lt;&gt;"",VLOOKUP(A12,'All-Stages'!$A$3:$T$19,16,FALSE),"")</f>
        <v/>
      </c>
      <c r="Q12" s="14">
        <f t="shared" si="0"/>
        <v>0</v>
      </c>
      <c r="R12" s="1" t="str">
        <f>IF(VLOOKUP(A12,'All-Stages'!$A$3:$T$19,17,FALSE)&lt;&gt;"",VLOOKUP(A12,'All-Stages'!$A$3:$T$19,17,FALSE),"")</f>
        <v/>
      </c>
      <c r="S12" s="1" t="str">
        <f>IF(VLOOKUP(A12,'All-Stages'!$A$3:$T$19,18,FALSE)&lt;&gt;"",VLOOKUP(A12,'All-Stages'!$A$3:$T$19,18,FALSE),"")</f>
        <v/>
      </c>
      <c r="T12" s="1" t="str">
        <f>IF(VLOOKUP($A12,'All-Stages'!$A$3:$T$19,19,FALSE)&lt;&gt;"",VLOOKUP($A12,'All-Stages'!$A$3:$T$19,19,FALSE),"")</f>
        <v/>
      </c>
      <c r="U12" s="1" t="str">
        <f>IF(VLOOKUP($A12,'All-Stages'!$A$3:$T$19,20,FALSE)&lt;&gt;"",VLOOKUP($A12,'All-Stages'!$A$3:$T$19,20,FALSE),"")</f>
        <v>متوسط 50 ك للفرد باليوم</v>
      </c>
    </row>
    <row r="13" spans="1:21" x14ac:dyDescent="0.2">
      <c r="A13" s="1">
        <v>10</v>
      </c>
      <c r="B13" s="1" t="str">
        <f>VLOOKUP(A13,'All-Stages'!$A$3:$T$19,2,FALSE)</f>
        <v>ماكينة 7</v>
      </c>
      <c r="C13" s="1" t="str">
        <f>VLOOKUP(A13,'All-Stages'!$A$3:$T$19,3,FALSE)</f>
        <v>مدة التخزين</v>
      </c>
      <c r="D13" s="1" t="str">
        <f>IF(VLOOKUP(A13,'All-Stages'!$A$3:$T$19,4,FALSE)&lt;&gt;"",VLOOKUP(A13,'All-Stages'!$A$3:$T$19,4,FALSE),"")</f>
        <v/>
      </c>
      <c r="E13" s="14"/>
      <c r="F13" s="14"/>
      <c r="G13" s="14"/>
      <c r="H13" s="1" t="str">
        <f>IF(VLOOKUP(A13,'All-Stages'!$A$3:$T$19,10,FALSE)&lt;&gt;"",VLOOKUP(A13,'All-Stages'!$A$3:$T$19,10,FALSE),"")</f>
        <v>حبيب</v>
      </c>
      <c r="I13" s="14">
        <f>9.27*8/25*2.25/2</f>
        <v>3.3371999999999997</v>
      </c>
      <c r="J13" s="1" t="str">
        <f>IF(VLOOKUP(A13,'All-Stages'!$A$3:$T$19,11,FALSE)&lt;&gt;"",VLOOKUP(A13,'All-Stages'!$A$3:$T$19,11,FALSE),"")</f>
        <v/>
      </c>
      <c r="K13" s="14"/>
      <c r="L13" s="1" t="str">
        <f>IF(VLOOKUP(A13,'All-Stages'!$A$3:$T$19,14,FALSE)&lt;&gt;"",VLOOKUP(A13,'All-Stages'!$A$3:$T$19,14,FALSE),"")</f>
        <v>كهرباء غرفة الدهان</v>
      </c>
      <c r="M13" s="14">
        <f>2000/30/50*3</f>
        <v>4</v>
      </c>
      <c r="N13" s="1" t="str">
        <f>IF(VLOOKUP(A13,'All-Stages'!$A$3:$T$19,15,FALSE)&lt;&gt;"",VLOOKUP(A13,'All-Stages'!$A$3:$T$19,15,FALSE),"")</f>
        <v>استهلاك 8</v>
      </c>
      <c r="O13" s="14">
        <f>(113000/5/12/30/25+85000/10/12/30/25)</f>
        <v>3.4555555555555557</v>
      </c>
      <c r="P13" s="1" t="str">
        <f>IF(VLOOKUP(A13,'All-Stages'!$A$3:$T$19,16,FALSE)&lt;&gt;"",VLOOKUP(A13,'All-Stages'!$A$3:$T$19,16,FALSE),"")</f>
        <v>صيانة  9</v>
      </c>
      <c r="Q13" s="14">
        <f t="shared" si="0"/>
        <v>0.17277777777777781</v>
      </c>
      <c r="R13" s="1" t="str">
        <f>IF(VLOOKUP(A13,'All-Stages'!$A$3:$T$19,17,FALSE)&lt;&gt;"",VLOOKUP(A13,'All-Stages'!$A$3:$T$19,17,FALSE),"")</f>
        <v>استهلاك 5</v>
      </c>
      <c r="S13" s="1" t="str">
        <f>IF(VLOOKUP(A13,'All-Stages'!$A$3:$T$19,18,FALSE)&lt;&gt;"",VLOOKUP(A13,'All-Stages'!$A$3:$T$19,18,FALSE),"")</f>
        <v>صيانة الفوركلفت</v>
      </c>
      <c r="T13" s="1" t="str">
        <f>IF(VLOOKUP($A13,'All-Stages'!$A$3:$T$19,19,FALSE)&lt;&gt;"",VLOOKUP($A13,'All-Stages'!$A$3:$T$19,19,FALSE),"")</f>
        <v/>
      </c>
      <c r="U13" s="1" t="str">
        <f>IF(VLOOKUP($A13,'All-Stages'!$A$3:$T$19,20,FALSE)&lt;&gt;"",VLOOKUP($A13,'All-Stages'!$A$3:$T$19,20,FALSE),"")</f>
        <v/>
      </c>
    </row>
    <row r="14" spans="1:21" x14ac:dyDescent="0.2">
      <c r="A14" s="1">
        <v>11</v>
      </c>
      <c r="B14" s="1" t="str">
        <f>VLOOKUP(A14,'All-Stages'!$A$3:$T$19,2,FALSE)</f>
        <v>ماكينة 8</v>
      </c>
      <c r="C14" s="1" t="str">
        <f>VLOOKUP(A14,'All-Stages'!$A$3:$T$19,3,FALSE)</f>
        <v>كمية الاستيل</v>
      </c>
      <c r="D14" s="1" t="str">
        <f>IF(VLOOKUP(A14,'All-Stages'!$A$3:$T$19,4,FALSE)&lt;&gt;"",VLOOKUP(A14,'All-Stages'!$A$3:$T$19,4,FALSE),"")</f>
        <v>مادة 5</v>
      </c>
      <c r="E14" s="14">
        <f>675/15*1000*0.2</f>
        <v>9000</v>
      </c>
      <c r="F14" s="14"/>
      <c r="G14" s="14"/>
      <c r="H14" s="1" t="str">
        <f>IF(VLOOKUP(A14,'All-Stages'!$A$3:$T$19,10,FALSE)&lt;&gt;"",VLOOKUP(A14,'All-Stages'!$A$3:$T$19,10,FALSE),"")</f>
        <v>2 فرد</v>
      </c>
      <c r="I14" s="14">
        <f>8.96*8/25*2.25*2</f>
        <v>12.902400000000002</v>
      </c>
      <c r="J14" s="1" t="str">
        <f>IF(VLOOKUP(A14,'All-Stages'!$A$3:$T$19,11,FALSE)&lt;&gt;"",VLOOKUP(A14,'All-Stages'!$A$3:$T$19,11,FALSE),"")</f>
        <v/>
      </c>
      <c r="K14" s="14"/>
      <c r="L14" s="1" t="str">
        <f>IF(VLOOKUP(A14,'All-Stages'!$A$3:$T$19,14,FALSE)&lt;&gt;"",VLOOKUP(A14,'All-Stages'!$A$3:$T$19,14,FALSE),"")</f>
        <v>كهرباء ماكينة 7</v>
      </c>
      <c r="M14" s="14">
        <f>1500/30/25</f>
        <v>2</v>
      </c>
      <c r="N14" s="1" t="str">
        <f>IF(VLOOKUP(A14,'All-Stages'!$A$3:$T$19,15,FALSE)&lt;&gt;"",VLOOKUP(A14,'All-Stages'!$A$3:$T$19,15,FALSE),"")</f>
        <v>استهلاك 9</v>
      </c>
      <c r="O14" s="14">
        <f>(407000)/10/12/30/25</f>
        <v>4.5222222222222221</v>
      </c>
      <c r="P14" s="1" t="str">
        <f>IF(VLOOKUP(A14,'All-Stages'!$A$3:$T$19,16,FALSE)&lt;&gt;"",VLOOKUP(A14,'All-Stages'!$A$3:$T$19,16,FALSE),"")</f>
        <v>صيانة  10</v>
      </c>
      <c r="Q14" s="14">
        <f t="shared" si="0"/>
        <v>0.22611111111111112</v>
      </c>
      <c r="R14" s="1" t="str">
        <f>IF(VLOOKUP(A14,'All-Stages'!$A$3:$T$19,17,FALSE)&lt;&gt;"",VLOOKUP(A14,'All-Stages'!$A$3:$T$19,17,FALSE),"")</f>
        <v/>
      </c>
      <c r="S14" s="1" t="str">
        <f>IF(VLOOKUP(A14,'All-Stages'!$A$3:$T$19,18,FALSE)&lt;&gt;"",VLOOKUP(A14,'All-Stages'!$A$3:$T$19,18,FALSE),"")</f>
        <v/>
      </c>
      <c r="T14" s="1" t="str">
        <f>IF(VLOOKUP($A14,'All-Stages'!$A$3:$T$19,19,FALSE)&lt;&gt;"",VLOOKUP($A14,'All-Stages'!$A$3:$T$19,19,FALSE),"")</f>
        <v/>
      </c>
      <c r="U14" s="1" t="str">
        <f>IF(VLOOKUP($A14,'All-Stages'!$A$3:$T$19,20,FALSE)&lt;&gt;"",VLOOKUP($A14,'All-Stages'!$A$3:$T$19,20,FALSE),"")</f>
        <v>متوسط 350 ك للماكينة باليوم (الوردية 8 ساعات)</v>
      </c>
    </row>
    <row r="15" spans="1:21" x14ac:dyDescent="0.2">
      <c r="A15" s="1">
        <v>12</v>
      </c>
      <c r="B15" s="1" t="str">
        <f>VLOOKUP(A15,'All-Stages'!$A$3:$T$19,2,FALSE)</f>
        <v>ماكينة 9</v>
      </c>
      <c r="C15" s="1" t="str">
        <f>VLOOKUP(A15,'All-Stages'!$A$3:$T$19,3,FALSE)</f>
        <v>مدة التخزين</v>
      </c>
      <c r="D15" s="1" t="str">
        <f>IF(VLOOKUP(A15,'All-Stages'!$A$3:$T$19,4,FALSE)&lt;&gt;"",VLOOKUP(A15,'All-Stages'!$A$3:$T$19,4,FALSE),"")</f>
        <v/>
      </c>
      <c r="E15" s="14"/>
      <c r="F15" s="14"/>
      <c r="G15" s="14"/>
      <c r="H15" s="1" t="str">
        <f>IF(VLOOKUP(A15,'All-Stages'!$A$3:$T$19,10,FALSE)&lt;&gt;"",VLOOKUP(A15,'All-Stages'!$A$3:$T$19,10,FALSE),"")</f>
        <v>حبيب</v>
      </c>
      <c r="I15" s="14">
        <f>9.27*8/25*2.25/3</f>
        <v>2.2247999999999997</v>
      </c>
      <c r="J15" s="1" t="str">
        <f>IF(VLOOKUP(A15,'All-Stages'!$A$3:$T$19,11,FALSE)&lt;&gt;"",VLOOKUP(A15,'All-Stages'!$A$3:$T$19,11,FALSE),"")</f>
        <v/>
      </c>
      <c r="K15" s="14"/>
      <c r="L15" s="1" t="str">
        <f>IF(VLOOKUP(A15,'All-Stages'!$A$3:$T$19,14,FALSE)&lt;&gt;"",VLOOKUP(A15,'All-Stages'!$A$3:$T$19,14,FALSE),"")</f>
        <v>كهرباء ماكينة 8</v>
      </c>
      <c r="M15" s="14">
        <f>2000/30/50*3</f>
        <v>4</v>
      </c>
      <c r="N15" s="1" t="str">
        <f>IF(VLOOKUP(A15,'All-Stages'!$A$3:$T$19,15,FALSE)&lt;&gt;"",VLOOKUP(A15,'All-Stages'!$A$3:$T$19,15,FALSE),"")</f>
        <v>استهلاك 10</v>
      </c>
      <c r="O15" s="14">
        <f>(113000/5/12/30/25+85000/10/12/30/25)</f>
        <v>3.4555555555555557</v>
      </c>
      <c r="P15" s="1" t="str">
        <f>IF(VLOOKUP(A15,'All-Stages'!$A$3:$T$19,16,FALSE)&lt;&gt;"",VLOOKUP(A15,'All-Stages'!$A$3:$T$19,16,FALSE),"")</f>
        <v>صيانة  11</v>
      </c>
      <c r="Q15" s="14">
        <f t="shared" si="0"/>
        <v>0.17277777777777781</v>
      </c>
      <c r="R15" s="1" t="str">
        <f>IF(VLOOKUP(A15,'All-Stages'!$A$3:$T$19,17,FALSE)&lt;&gt;"",VLOOKUP(A15,'All-Stages'!$A$3:$T$19,17,FALSE),"")</f>
        <v>استهلاك 2</v>
      </c>
      <c r="S15" s="1" t="str">
        <f>IF(VLOOKUP(A15,'All-Stages'!$A$3:$T$19,18,FALSE)&lt;&gt;"",VLOOKUP(A15,'All-Stages'!$A$3:$T$19,18,FALSE),"")</f>
        <v>صيانة الفوركلفت</v>
      </c>
      <c r="T15" s="1" t="str">
        <f>IF(VLOOKUP($A15,'All-Stages'!$A$3:$T$19,19,FALSE)&lt;&gt;"",VLOOKUP($A15,'All-Stages'!$A$3:$T$19,19,FALSE),"")</f>
        <v/>
      </c>
      <c r="U15" s="1" t="str">
        <f>IF(VLOOKUP($A15,'All-Stages'!$A$3:$T$19,20,FALSE)&lt;&gt;"",VLOOKUP($A15,'All-Stages'!$A$3:$T$19,20,FALSE),"")</f>
        <v/>
      </c>
    </row>
    <row r="16" spans="1:21" x14ac:dyDescent="0.2">
      <c r="A16" s="1">
        <v>13</v>
      </c>
      <c r="B16" s="1" t="str">
        <f>VLOOKUP(A16,'All-Stages'!$A$3:$T$19,2,FALSE)</f>
        <v>التلميع والتثبيت</v>
      </c>
      <c r="C16" s="1" t="str">
        <f>VLOOKUP(A16,'All-Stages'!$A$3:$T$19,3,FALSE)</f>
        <v>كمية الاستيل</v>
      </c>
      <c r="D16" s="1" t="str">
        <f>IF(VLOOKUP(A16,'All-Stages'!$A$3:$T$19,4,FALSE)&lt;&gt;"",VLOOKUP(A16,'All-Stages'!$A$3:$T$19,4,FALSE),"")</f>
        <v>مواد التغليف</v>
      </c>
      <c r="E16" s="14">
        <f>1*1000*1.2</f>
        <v>1200</v>
      </c>
      <c r="F16" s="14">
        <f>1.16*4*1000*1.2</f>
        <v>5568</v>
      </c>
      <c r="G16" s="14">
        <f>1.6/12*4*1000*1.2</f>
        <v>640</v>
      </c>
      <c r="H16" s="1" t="str">
        <f>IF(VLOOKUP(A16,'All-Stages'!$A$3:$T$19,10,FALSE)&lt;&gt;"",VLOOKUP(A16,'All-Stages'!$A$3:$T$19,10,FALSE),"")</f>
        <v>2 فرد</v>
      </c>
      <c r="I16" s="14">
        <f>8.96*8/25*2.25*2</f>
        <v>12.902400000000002</v>
      </c>
      <c r="J16" s="1" t="str">
        <f>IF(VLOOKUP(A16,'All-Stages'!$A$3:$T$19,11,FALSE)&lt;&gt;"",VLOOKUP(A16,'All-Stages'!$A$3:$T$19,11,FALSE),"")</f>
        <v/>
      </c>
      <c r="K16" s="14"/>
      <c r="L16" s="1" t="str">
        <f>IF(VLOOKUP(A16,'All-Stages'!$A$3:$T$19,14,FALSE)&lt;&gt;"",VLOOKUP(A16,'All-Stages'!$A$3:$T$19,14,FALSE),"")</f>
        <v>كهرباء ماكينة 9</v>
      </c>
      <c r="M16" s="14">
        <f>1500/30/0.35</f>
        <v>142.85714285714286</v>
      </c>
      <c r="N16" s="1" t="str">
        <f>IF(VLOOKUP(A16,'All-Stages'!$A$3:$T$19,15,FALSE)&lt;&gt;"",VLOOKUP(A16,'All-Stages'!$A$3:$T$19,15,FALSE),"")</f>
        <v>استهلاك 11</v>
      </c>
      <c r="O16" s="14">
        <f>(122500)/10/12/30/25</f>
        <v>1.3611111111111112</v>
      </c>
      <c r="P16" s="1" t="str">
        <f>IF(VLOOKUP(A16,'All-Stages'!$A$3:$T$19,16,FALSE)&lt;&gt;"",VLOOKUP(A16,'All-Stages'!$A$3:$T$19,16,FALSE),"")</f>
        <v>صيانة  12</v>
      </c>
      <c r="Q16" s="14">
        <f t="shared" si="0"/>
        <v>6.8055555555555564E-2</v>
      </c>
      <c r="R16" s="1" t="str">
        <f>IF(VLOOKUP(A16,'All-Stages'!$A$3:$T$19,17,FALSE)&lt;&gt;"",VLOOKUP(A16,'All-Stages'!$A$3:$T$19,17,FALSE),"")</f>
        <v/>
      </c>
      <c r="S16" s="1" t="str">
        <f>IF(VLOOKUP(A16,'All-Stages'!$A$3:$T$19,18,FALSE)&lt;&gt;"",VLOOKUP(A16,'All-Stages'!$A$3:$T$19,18,FALSE),"")</f>
        <v/>
      </c>
      <c r="T16" s="1" t="str">
        <f>IF(VLOOKUP($A16,'All-Stages'!$A$3:$T$19,19,FALSE)&lt;&gt;"",VLOOKUP($A16,'All-Stages'!$A$3:$T$19,19,FALSE),"")</f>
        <v/>
      </c>
      <c r="U16" s="1" t="str">
        <f>IF(VLOOKUP($A16,'All-Stages'!$A$3:$T$19,20,FALSE)&lt;&gt;"",VLOOKUP($A16,'All-Stages'!$A$3:$T$19,20,FALSE),"")</f>
        <v/>
      </c>
    </row>
    <row r="17" spans="1:22" x14ac:dyDescent="0.2">
      <c r="A17" s="1">
        <v>14</v>
      </c>
      <c r="B17" s="1" t="str">
        <f>VLOOKUP(A17,'All-Stages'!$A$3:$T$19,2,FALSE)</f>
        <v>التعبئة</v>
      </c>
      <c r="C17" s="1" t="str">
        <f>VLOOKUP(A17,'All-Stages'!$A$3:$T$19,3,FALSE)</f>
        <v>عدد العبوات</v>
      </c>
      <c r="D17" s="1" t="str">
        <f>IF(VLOOKUP(A17,'All-Stages'!$A$3:$T$19,4,FALSE)&lt;&gt;"",VLOOKUP(A17,'All-Stages'!$A$3:$T$19,4,FALSE),"")</f>
        <v>مواد التعبئة</v>
      </c>
      <c r="E17" s="14">
        <f>1.16/3*1000</f>
        <v>386.66666666666669</v>
      </c>
      <c r="F17" s="14">
        <f>2.75/4/3*1000</f>
        <v>229.16666666666666</v>
      </c>
      <c r="G17" s="14"/>
      <c r="H17" s="1" t="str">
        <f>IF(VLOOKUP(A17,'All-Stages'!$A$3:$T$19,10,FALSE)&lt;&gt;"",VLOOKUP(A17,'All-Stages'!$A$3:$T$19,10,FALSE),"")</f>
        <v>فرد للوزن + فرد للشرينك</v>
      </c>
      <c r="I17" s="14">
        <f>8.96*8/25*2.25*2</f>
        <v>12.902400000000002</v>
      </c>
      <c r="J17" s="1" t="str">
        <f>IF(VLOOKUP(A17,'All-Stages'!$A$3:$T$19,11,FALSE)&lt;&gt;"",VLOOKUP(A17,'All-Stages'!$A$3:$T$19,11,FALSE),"")</f>
        <v/>
      </c>
      <c r="K17" s="14"/>
      <c r="L17" s="1" t="str">
        <f>IF(VLOOKUP(A17,'All-Stages'!$A$3:$T$19,14,FALSE)&lt;&gt;"",VLOOKUP(A17,'All-Stages'!$A$3:$T$19,14,FALSE),"")</f>
        <v>كهرباء ماكينة 10</v>
      </c>
      <c r="M17" s="14">
        <f>2000/30/25</f>
        <v>2.666666666666667</v>
      </c>
      <c r="N17" s="1" t="str">
        <f>IF(VLOOKUP(A17,'All-Stages'!$A$3:$T$19,15,FALSE)&lt;&gt;"",VLOOKUP(A17,'All-Stages'!$A$3:$T$19,15,FALSE),"")</f>
        <v>استهلاك 12</v>
      </c>
      <c r="O17" s="14">
        <f>(164850)/10/12/30/25</f>
        <v>1.8316666666666666</v>
      </c>
      <c r="P17" s="1" t="str">
        <f>IF(VLOOKUP(A17,'All-Stages'!$A$3:$T$19,16,FALSE)&lt;&gt;"",VLOOKUP(A17,'All-Stages'!$A$3:$T$19,16,FALSE),"")</f>
        <v>صيانة  13</v>
      </c>
      <c r="Q17" s="14">
        <f t="shared" si="0"/>
        <v>9.1583333333333336E-2</v>
      </c>
      <c r="R17" s="1" t="str">
        <f>IF(VLOOKUP(A17,'All-Stages'!$A$3:$T$19,17,FALSE)&lt;&gt;"",VLOOKUP(A17,'All-Stages'!$A$3:$T$19,17,FALSE),"")</f>
        <v/>
      </c>
      <c r="S17" s="1" t="str">
        <f>IF(VLOOKUP(A17,'All-Stages'!$A$3:$T$19,18,FALSE)&lt;&gt;"",VLOOKUP(A17,'All-Stages'!$A$3:$T$19,18,FALSE),"")</f>
        <v/>
      </c>
      <c r="T17" s="1" t="str">
        <f>IF(VLOOKUP($A17,'All-Stages'!$A$3:$T$19,19,FALSE)&lt;&gt;"",VLOOKUP($A17,'All-Stages'!$A$3:$T$19,19,FALSE),"")</f>
        <v/>
      </c>
      <c r="U17" s="1" t="str">
        <f>IF(VLOOKUP($A17,'All-Stages'!$A$3:$T$19,20,FALSE)&lt;&gt;"",VLOOKUP($A17,'All-Stages'!$A$3:$T$19,20,FALSE),"")</f>
        <v/>
      </c>
    </row>
    <row r="18" spans="1:22" x14ac:dyDescent="0.2">
      <c r="A18" s="1">
        <v>15</v>
      </c>
      <c r="B18" s="1" t="str">
        <f>VLOOKUP(A18,'All-Stages'!$A$3:$T$19,2,FALSE)</f>
        <v>تغليف شرينك للباليت</v>
      </c>
      <c r="C18" s="1" t="str">
        <f>VLOOKUP(A18,'All-Stages'!$A$3:$T$19,3,FALSE)</f>
        <v>عدد الباليت</v>
      </c>
      <c r="D18" s="1" t="str">
        <f>IF(VLOOKUP(A18,'All-Stages'!$A$3:$T$19,4,FALSE)&lt;&gt;"",VLOOKUP(A18,'All-Stages'!$A$3:$T$19,4,FALSE),"")</f>
        <v>مواد التعبئة</v>
      </c>
      <c r="E18" s="14">
        <v>20</v>
      </c>
      <c r="F18" s="14"/>
      <c r="G18" s="14"/>
      <c r="H18" s="1" t="str">
        <f>IF(VLOOKUP(A18,'All-Stages'!$A$3:$T$19,10,FALSE)&lt;&gt;"",VLOOKUP(A18,'All-Stages'!$A$3:$T$19,10,FALSE),"")</f>
        <v>3 أفراد</v>
      </c>
      <c r="I18" s="14">
        <f>8.96*8/25*2.25*3</f>
        <v>19.353600000000004</v>
      </c>
      <c r="J18" s="1" t="str">
        <f>IF(VLOOKUP(A18,'All-Stages'!$A$3:$T$19,11,FALSE)&lt;&gt;"",VLOOKUP(A18,'All-Stages'!$A$3:$T$19,11,FALSE),"")</f>
        <v/>
      </c>
      <c r="K18" s="14"/>
      <c r="L18" s="1" t="str">
        <f>IF(VLOOKUP(A18,'All-Stages'!$A$3:$T$19,14,FALSE)&lt;&gt;"",VLOOKUP(A18,'All-Stages'!$A$3:$T$19,14,FALSE),"")</f>
        <v>كهرباء ماكينة 11</v>
      </c>
      <c r="M18" s="14">
        <f>300/30/25</f>
        <v>0.4</v>
      </c>
      <c r="N18" s="1" t="str">
        <f>IF(VLOOKUP(A18,'All-Stages'!$A$3:$T$19,15,FALSE)&lt;&gt;"",VLOOKUP(A18,'All-Stages'!$A$3:$T$19,15,FALSE),"")</f>
        <v>استهلاك 13</v>
      </c>
      <c r="O18" s="14">
        <f>(24960)/10/12/30/25</f>
        <v>0.27733333333333332</v>
      </c>
      <c r="P18" s="1" t="str">
        <f>IF(VLOOKUP(A18,'All-Stages'!$A$3:$T$19,16,FALSE)&lt;&gt;"",VLOOKUP(A18,'All-Stages'!$A$3:$T$19,16,FALSE),"")</f>
        <v>صيانة  14</v>
      </c>
      <c r="Q18" s="14">
        <f t="shared" si="0"/>
        <v>1.3866666666666666E-2</v>
      </c>
      <c r="R18" s="1" t="str">
        <f>IF(VLOOKUP(A18,'All-Stages'!$A$3:$T$19,17,FALSE)&lt;&gt;"",VLOOKUP(A18,'All-Stages'!$A$3:$T$19,17,FALSE),"")</f>
        <v/>
      </c>
      <c r="S18" s="1" t="str">
        <f>IF(VLOOKUP(A18,'All-Stages'!$A$3:$T$19,18,FALSE)&lt;&gt;"",VLOOKUP(A18,'All-Stages'!$A$3:$T$19,18,FALSE),"")</f>
        <v/>
      </c>
      <c r="T18" s="1" t="str">
        <f>IF(VLOOKUP($A18,'All-Stages'!$A$3:$T$19,19,FALSE)&lt;&gt;"",VLOOKUP($A18,'All-Stages'!$A$3:$T$19,19,FALSE),"")</f>
        <v/>
      </c>
      <c r="U18" s="1" t="str">
        <f>IF(VLOOKUP($A18,'All-Stages'!$A$3:$T$19,20,FALSE)&lt;&gt;"",VLOOKUP($A18,'All-Stages'!$A$3:$T$19,20,FALSE),"")</f>
        <v/>
      </c>
    </row>
    <row r="19" spans="1:22" x14ac:dyDescent="0.2">
      <c r="A19" s="1">
        <v>16</v>
      </c>
      <c r="B19" s="1" t="str">
        <f>VLOOKUP(A19,'All-Stages'!$A$3:$T$19,2,FALSE)</f>
        <v>التخزين في المنتج التام</v>
      </c>
      <c r="C19" s="1" t="str">
        <f>VLOOKUP(A19,'All-Stages'!$A$3:$T$19,3,FALSE)</f>
        <v>كمية الاستيل</v>
      </c>
      <c r="D19" s="1" t="str">
        <f>IF(VLOOKUP(A19,'All-Stages'!$A$3:$T$19,4,FALSE)&lt;&gt;"",VLOOKUP(A19,'All-Stages'!$A$3:$T$19,4,FALSE),"")</f>
        <v/>
      </c>
      <c r="E19" s="14"/>
      <c r="F19" s="14"/>
      <c r="G19" s="14"/>
      <c r="H19" s="1" t="str">
        <f>IF(VLOOKUP(A19,'All-Stages'!$A$3:$T$19,10,FALSE)&lt;&gt;"",VLOOKUP(A19,'All-Stages'!$A$3:$T$19,10,FALSE),"")</f>
        <v>حبيب</v>
      </c>
      <c r="I19" s="14">
        <f>9.27*8/25*2.25/2</f>
        <v>3.3371999999999997</v>
      </c>
      <c r="J19" s="1" t="str">
        <f>IF(VLOOKUP(A19,'All-Stages'!$A$3:$T$19,11,FALSE)&lt;&gt;"",VLOOKUP(A19,'All-Stages'!$A$3:$T$19,11,FALSE),"")</f>
        <v/>
      </c>
      <c r="K19" s="14"/>
      <c r="L19" s="1" t="str">
        <f>IF(VLOOKUP(A19,'All-Stages'!$A$3:$T$19,14,FALSE)&lt;&gt;"",VLOOKUP(A19,'All-Stages'!$A$3:$T$19,14,FALSE),"")</f>
        <v>كهرباء ماكينة 12</v>
      </c>
      <c r="M19" s="14">
        <f>2000/30/50*3</f>
        <v>4</v>
      </c>
      <c r="N19" s="1" t="str">
        <f>IF(VLOOKUP(A19,'All-Stages'!$A$3:$T$19,15,FALSE)&lt;&gt;"",VLOOKUP(A19,'All-Stages'!$A$3:$T$19,15,FALSE),"")</f>
        <v>استهلاك 14</v>
      </c>
      <c r="O19" s="14">
        <f>(113000/5/12/30/25+85000/10/12/30/25)</f>
        <v>3.4555555555555557</v>
      </c>
      <c r="P19" s="1" t="str">
        <f>IF(VLOOKUP(A19,'All-Stages'!$A$3:$T$19,16,FALSE)&lt;&gt;"",VLOOKUP(A19,'All-Stages'!$A$3:$T$19,16,FALSE),"")</f>
        <v>صيانة  15</v>
      </c>
      <c r="Q19" s="14">
        <f t="shared" si="0"/>
        <v>0.17277777777777781</v>
      </c>
      <c r="R19" s="1" t="str">
        <f>IF(VLOOKUP(A19,'All-Stages'!$A$3:$T$19,17,FALSE)&lt;&gt;"",VLOOKUP(A19,'All-Stages'!$A$3:$T$19,17,FALSE),"")</f>
        <v>استهلاك 14</v>
      </c>
      <c r="S19" s="1" t="str">
        <f>IF(VLOOKUP(A19,'All-Stages'!$A$3:$T$19,18,FALSE)&lt;&gt;"",VLOOKUP(A19,'All-Stages'!$A$3:$T$19,18,FALSE),"")</f>
        <v>صيانة الفوركلفت</v>
      </c>
      <c r="T19" s="1" t="str">
        <f>IF(VLOOKUP($A19,'All-Stages'!$A$3:$T$19,19,FALSE)&lt;&gt;"",VLOOKUP($A19,'All-Stages'!$A$3:$T$19,19,FALSE),"")</f>
        <v/>
      </c>
      <c r="U19" s="1" t="str">
        <f>IF(VLOOKUP($A19,'All-Stages'!$A$3:$T$19,20,FALSE)&lt;&gt;"",VLOOKUP($A19,'All-Stages'!$A$3:$T$19,20,FALSE),"")</f>
        <v/>
      </c>
    </row>
    <row r="20" spans="1:22" x14ac:dyDescent="0.2">
      <c r="E20" s="14">
        <f t="shared" ref="E20:G20" si="1">SUM(E4:E19)</f>
        <v>16405.777777777777</v>
      </c>
      <c r="F20" s="14">
        <f t="shared" si="1"/>
        <v>5797.166666666667</v>
      </c>
      <c r="G20" s="14">
        <f t="shared" si="1"/>
        <v>640</v>
      </c>
      <c r="I20" s="15">
        <f t="shared" ref="I20:K20" si="2">SUM(I4:I19)</f>
        <v>229.0248</v>
      </c>
      <c r="J20" s="15"/>
      <c r="K20" s="15">
        <f t="shared" si="2"/>
        <v>18.489599999999999</v>
      </c>
      <c r="M20" s="15">
        <f>SUM(M4:M19)</f>
        <v>174.05714285714285</v>
      </c>
      <c r="O20" s="15">
        <f>SUM(O4:O19)</f>
        <v>44.031966666666662</v>
      </c>
      <c r="Q20" s="15">
        <f>SUM(Q4:Q19)</f>
        <v>2.2015983333333331</v>
      </c>
      <c r="V20" s="14">
        <f>E20+F20+G20+I20+J20+K20+M20+O20+Q20+R20+S20+T20</f>
        <v>23310.749552301586</v>
      </c>
    </row>
  </sheetData>
  <mergeCells count="3">
    <mergeCell ref="D2:G2"/>
    <mergeCell ref="H2:K2"/>
    <mergeCell ref="L2:T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FED7-2930-4A6A-BC8E-EB0A60073881}">
  <sheetPr>
    <pageSetUpPr fitToPage="1"/>
  </sheetPr>
  <dimension ref="A1:Z26"/>
  <sheetViews>
    <sheetView rightToLeft="1" workbookViewId="0">
      <selection activeCell="B12" sqref="B12"/>
    </sheetView>
  </sheetViews>
  <sheetFormatPr defaultColWidth="9.125" defaultRowHeight="14.25" x14ac:dyDescent="0.2"/>
  <cols>
    <col min="1" max="1" width="3.25" style="3" bestFit="1" customWidth="1"/>
    <col min="2" max="2" width="36.375" style="3" bestFit="1" customWidth="1"/>
    <col min="3" max="3" width="16.375" style="3" hidden="1" customWidth="1"/>
    <col min="4" max="4" width="14.75" style="3" hidden="1" customWidth="1"/>
    <col min="5" max="5" width="11.625" style="3" bestFit="1" customWidth="1"/>
    <col min="6" max="6" width="11.625" style="3" customWidth="1"/>
    <col min="7" max="7" width="9.125" style="3"/>
    <col min="8" max="8" width="18.75" style="3" hidden="1" customWidth="1"/>
    <col min="9" max="9" width="8.75" style="3" bestFit="1" customWidth="1"/>
    <col min="10" max="10" width="16.625" style="3" hidden="1" customWidth="1"/>
    <col min="11" max="11" width="11.25" style="3" customWidth="1"/>
    <col min="12" max="12" width="30" style="3" hidden="1" customWidth="1"/>
    <col min="13" max="13" width="9.375" style="3" bestFit="1" customWidth="1"/>
    <col min="14" max="14" width="32" style="3" hidden="1" customWidth="1"/>
    <col min="15" max="15" width="10.375" style="3" bestFit="1" customWidth="1"/>
    <col min="16" max="16" width="29.25" style="3" hidden="1" customWidth="1"/>
    <col min="17" max="17" width="9.125" style="3"/>
    <col min="18" max="20" width="0" style="3" hidden="1" customWidth="1"/>
    <col min="21" max="21" width="36" style="3" bestFit="1" customWidth="1"/>
    <col min="22" max="22" width="11.625" style="3" bestFit="1" customWidth="1"/>
    <col min="23" max="16384" width="9.125" style="3"/>
  </cols>
  <sheetData>
    <row r="1" spans="1:25" ht="23.25" x14ac:dyDescent="0.2">
      <c r="I1" s="26" t="s">
        <v>45</v>
      </c>
    </row>
    <row r="2" spans="1:25" ht="18" x14ac:dyDescent="0.2">
      <c r="I2" s="27" t="s">
        <v>114</v>
      </c>
      <c r="K2" s="27"/>
    </row>
    <row r="3" spans="1:25" ht="3.75" customHeight="1" thickBot="1" x14ac:dyDescent="0.25"/>
    <row r="4" spans="1:25" ht="23.25" customHeight="1" x14ac:dyDescent="0.2">
      <c r="A4" s="34" t="s">
        <v>34</v>
      </c>
      <c r="B4" s="36" t="s">
        <v>33</v>
      </c>
      <c r="C4" s="4" t="s">
        <v>4</v>
      </c>
      <c r="D4" s="36" t="s">
        <v>1</v>
      </c>
      <c r="E4" s="36"/>
      <c r="F4" s="36"/>
      <c r="G4" s="36"/>
      <c r="H4" s="36" t="s">
        <v>2</v>
      </c>
      <c r="I4" s="36"/>
      <c r="J4" s="36"/>
      <c r="K4" s="36"/>
      <c r="L4" s="36" t="s">
        <v>3</v>
      </c>
      <c r="M4" s="36"/>
      <c r="N4" s="36"/>
      <c r="O4" s="36"/>
      <c r="P4" s="36"/>
      <c r="Q4" s="36"/>
      <c r="R4" s="36"/>
      <c r="S4" s="36"/>
      <c r="T4" s="36"/>
      <c r="U4" s="37" t="s">
        <v>5</v>
      </c>
      <c r="V4" s="43"/>
    </row>
    <row r="5" spans="1:25" ht="23.25" customHeight="1" x14ac:dyDescent="0.2">
      <c r="A5" s="35"/>
      <c r="B5" s="39"/>
      <c r="C5" s="6">
        <v>1</v>
      </c>
      <c r="D5" s="5">
        <v>1</v>
      </c>
      <c r="E5" s="5" t="s">
        <v>38</v>
      </c>
      <c r="F5" s="5" t="s">
        <v>38</v>
      </c>
      <c r="G5" s="5" t="s">
        <v>38</v>
      </c>
      <c r="H5" s="5">
        <v>1</v>
      </c>
      <c r="I5" s="5" t="s">
        <v>39</v>
      </c>
      <c r="J5" s="5">
        <v>2</v>
      </c>
      <c r="K5" s="5" t="s">
        <v>40</v>
      </c>
      <c r="L5" s="5">
        <v>1</v>
      </c>
      <c r="M5" s="5" t="s">
        <v>41</v>
      </c>
      <c r="N5" s="5">
        <v>2</v>
      </c>
      <c r="O5" s="5" t="s">
        <v>42</v>
      </c>
      <c r="P5" s="5">
        <v>3</v>
      </c>
      <c r="Q5" s="5" t="s">
        <v>43</v>
      </c>
      <c r="R5" s="5">
        <v>4</v>
      </c>
      <c r="S5" s="5">
        <v>5</v>
      </c>
      <c r="T5" s="5">
        <v>6</v>
      </c>
      <c r="U5" s="38"/>
      <c r="V5" s="43"/>
    </row>
    <row r="6" spans="1:25" ht="27.75" customHeight="1" x14ac:dyDescent="0.2">
      <c r="A6" s="7">
        <v>1</v>
      </c>
      <c r="B6" s="6" t="str">
        <f>VLOOKUP(A6,'All-Stages'!$A$3:$T$19,2,FALSE)</f>
        <v>الوزن والاستلام</v>
      </c>
      <c r="C6" s="6" t="str">
        <f>'All-Stages Values'!C4</f>
        <v>كمية الاستيل</v>
      </c>
      <c r="D6" s="18" t="str">
        <f>IF('All-Stages Values'!D4="","",'All-Stages Values'!D4)</f>
        <v/>
      </c>
      <c r="E6" s="19">
        <f>IF(VLOOKUP($A6,'All-Stages Values'!$A$3:$U$19,5,FALSE)&lt;&gt;"",VLOOKUP($A6,'All-Stages Values'!$A$3:$U$19,5,FALSE),0)</f>
        <v>0</v>
      </c>
      <c r="F6" s="19">
        <f>IF(VLOOKUP($A6,'All-Stages Values'!$A$3:$U$19,6,FALSE)&lt;&gt;"",VLOOKUP($A6,'All-Stages Values'!$A$3:$U$19,6,FALSE),0)</f>
        <v>0</v>
      </c>
      <c r="G6" s="19">
        <f>IF(VLOOKUP($A6,'All-Stages Values'!$A$3:$U$19,7,FALSE)&lt;&gt;"",VLOOKUP($A6,'All-Stages Values'!$A$3:$U$19,7,FALSE),0)</f>
        <v>0</v>
      </c>
      <c r="H6" s="19">
        <f>IF(VLOOKUP($A6,'All-Stages Values'!$A$3:$U$19,7,FALSE)&lt;&gt;"",VLOOKUP($A6,'All-Stages Values'!$A$3:$U$19,7,FALSE),0)</f>
        <v>0</v>
      </c>
      <c r="I6" s="19">
        <f>IF(VLOOKUP($A6,'All-Stages Values'!$A$3:$U$19,9,FALSE)&lt;&gt;"",VLOOKUP($A6,'All-Stages Values'!$A$3:$U$19,9,FALSE),0)</f>
        <v>8.1</v>
      </c>
      <c r="J6" s="19">
        <f>IF(VLOOKUP($A6,'All-Stages Values'!$A$3:$U$19,9,FALSE)&lt;&gt;"",VLOOKUP($A6,'All-Stages Values'!$A$3:$U$19,9,FALSE),0)</f>
        <v>8.1</v>
      </c>
      <c r="K6" s="19">
        <f>IF(VLOOKUP($A6,'All-Stages Values'!$A$3:$U$19,11,FALSE)&lt;&gt;"",VLOOKUP($A6,'All-Stages Values'!$A$3:$U$19,11,FALSE),0)</f>
        <v>6.6743999999999994</v>
      </c>
      <c r="L6" s="19">
        <f>IF(VLOOKUP($A6,'All-Stages Values'!$A$3:$U$19,11,FALSE)&lt;&gt;"",VLOOKUP($A6,'All-Stages Values'!$A$3:$U$19,11,FALSE),0)</f>
        <v>6.6743999999999994</v>
      </c>
      <c r="M6" s="19">
        <f>IF(VLOOKUP($A6,'All-Stages Values'!$A$3:$U$19,13,FALSE)&lt;&gt;"",VLOOKUP($A6,'All-Stages Values'!$A$3:$U$19,13,FALSE),0)</f>
        <v>0.8</v>
      </c>
      <c r="N6" s="19">
        <f>IF(VLOOKUP($A6,'All-Stages Values'!$A$3:$U$19,13,FALSE)&lt;&gt;"",VLOOKUP($A6,'All-Stages Values'!$A$3:$U$19,13,FALSE),0)</f>
        <v>0.8</v>
      </c>
      <c r="O6" s="19">
        <f>IF(VLOOKUP($A6,'All-Stages Values'!$A$3:$U$19,15,FALSE)&lt;&gt;"",VLOOKUP($A6,'All-Stages Values'!$A$3:$U$19,15,FALSE),0)</f>
        <v>2.5222222222222221</v>
      </c>
      <c r="P6" s="19">
        <f>IF(VLOOKUP($A6,'All-Stages Values'!$A$3:$U$19,15,FALSE)&lt;&gt;"",VLOOKUP($A6,'All-Stages Values'!$A$3:$U$19,15,FALSE),0)</f>
        <v>2.5222222222222221</v>
      </c>
      <c r="Q6" s="19">
        <f>IF(VLOOKUP($A6,'All-Stages Values'!$A$3:$U$19,17,FALSE)&lt;&gt;"",VLOOKUP($A6,'All-Stages Values'!$A$3:$U$19,17,FALSE),0)</f>
        <v>0.12611111111111112</v>
      </c>
      <c r="R6" s="19">
        <f>IF(VLOOKUP($A6,'All-Stages Values'!$A$3:$U$19,17,FALSE)&lt;&gt;"",VLOOKUP($A6,'All-Stages Values'!$A$3:$U$19,17,FALSE),0)</f>
        <v>0.12611111111111112</v>
      </c>
      <c r="S6" s="19">
        <f>IF(VLOOKUP($A6,'All-Stages Values'!$A$3:$U$19,17,FALSE)&lt;&gt;"",VLOOKUP($A6,'All-Stages Values'!$A$3:$U$19,17,FALSE),0)</f>
        <v>0.12611111111111112</v>
      </c>
      <c r="T6" s="19">
        <f>IF(VLOOKUP($A6,'All-Stages Values'!$A$3:$U$19,17,FALSE)&lt;&gt;"",VLOOKUP($A6,'All-Stages Values'!$A$3:$U$19,17,FALSE),0)</f>
        <v>0.12611111111111112</v>
      </c>
      <c r="U6" s="20" t="str">
        <f>IF(VLOOKUP($A6,'All-Stages Values'!$A$3:$U$19,21,FALSE)&lt;&gt;"",VLOOKUP($A6,'All-Stages Values'!$A$3:$U$19,21,FALSE),"")</f>
        <v>متوسط 25 طن باليوم</v>
      </c>
      <c r="V6" s="16">
        <f>'All-Stages Values'!V4</f>
        <v>0</v>
      </c>
      <c r="W6" s="16"/>
      <c r="X6" s="16"/>
      <c r="Y6" s="16"/>
    </row>
    <row r="7" spans="1:25" ht="27.75" customHeight="1" x14ac:dyDescent="0.2">
      <c r="A7" s="7">
        <v>2</v>
      </c>
      <c r="B7" s="6" t="str">
        <f>VLOOKUP(A7,'All-Stages'!$A$3:$T$19,2,FALSE)</f>
        <v>التتنظيف</v>
      </c>
      <c r="C7" s="6" t="str">
        <f>'All-Stages Values'!C5</f>
        <v>كمية الاستيل</v>
      </c>
      <c r="D7" s="18" t="str">
        <f>'All-Stages Values'!D5</f>
        <v/>
      </c>
      <c r="E7" s="19">
        <f>IF(VLOOKUP($A7,'All-Stages Values'!$A$3:$U$19,5,FALSE)&lt;&gt;"",VLOOKUP($A7,'All-Stages Values'!$A$3:$U$19,5,FALSE),0)</f>
        <v>0</v>
      </c>
      <c r="F7" s="19">
        <f>IF(VLOOKUP($A7,'All-Stages Values'!$A$3:$U$19,6,FALSE)&lt;&gt;"",VLOOKUP($A7,'All-Stages Values'!$A$3:$U$19,6,FALSE),0)</f>
        <v>0</v>
      </c>
      <c r="G7" s="19">
        <f>IF(VLOOKUP($A7,'All-Stages Values'!$A$3:$U$19,7,FALSE)&lt;&gt;"",VLOOKUP($A7,'All-Stages Values'!$A$3:$U$19,7,FALSE),0)</f>
        <v>0</v>
      </c>
      <c r="H7" s="18" t="str">
        <f>'All-Stages Values'!H5</f>
        <v>هيكساني / حكيم</v>
      </c>
      <c r="I7" s="19">
        <f>IF(VLOOKUP($A7,'All-Stages Values'!$A$3:$U$19,9,FALSE)&lt;&gt;"",VLOOKUP($A7,'All-Stages Values'!$A$3:$U$19,9,FALSE),0)</f>
        <v>11.815200000000001</v>
      </c>
      <c r="J7" s="18" t="str">
        <f>'All-Stages Values'!J5</f>
        <v/>
      </c>
      <c r="K7" s="19">
        <f>IF(VLOOKUP($A7,'All-Stages Values'!$A$3:$U$19,11,FALSE)&lt;&gt;"",VLOOKUP($A7,'All-Stages Values'!$A$3:$U$19,11,FALSE),0)</f>
        <v>0</v>
      </c>
      <c r="L7" s="18" t="str">
        <f>'All-Stages Values'!L5</f>
        <v>كهرباء ماكينة 1</v>
      </c>
      <c r="M7" s="19">
        <f>IF(VLOOKUP($A7,'All-Stages Values'!$A$3:$U$19,13,FALSE)&lt;&gt;"",VLOOKUP($A7,'All-Stages Values'!$A$3:$U$19,13,FALSE),0)</f>
        <v>2</v>
      </c>
      <c r="N7" s="18" t="str">
        <f>'All-Stages Values'!N5</f>
        <v>استهلاك 1</v>
      </c>
      <c r="O7" s="19">
        <f>IF(VLOOKUP($A7,'All-Stages Values'!$A$3:$U$19,15,FALSE)&lt;&gt;"",VLOOKUP($A7,'All-Stages Values'!$A$3:$U$19,15,FALSE),0)</f>
        <v>6.2758333333333329</v>
      </c>
      <c r="P7" s="18" t="str">
        <f>'All-Stages Values'!P5</f>
        <v>صيانة 3</v>
      </c>
      <c r="Q7" s="19">
        <f>IF(VLOOKUP($A7,'All-Stages Values'!$A$3:$U$19,17,FALSE)&lt;&gt;"",VLOOKUP($A7,'All-Stages Values'!$A$3:$U$19,17,FALSE),0)</f>
        <v>0.31379166666666669</v>
      </c>
      <c r="R7" s="19" t="str">
        <f>'All-Stages Values'!R5</f>
        <v/>
      </c>
      <c r="S7" s="19" t="str">
        <f>'All-Stages Values'!S5</f>
        <v/>
      </c>
      <c r="T7" s="19" t="str">
        <f>'All-Stages Values'!T5</f>
        <v/>
      </c>
      <c r="U7" s="20" t="str">
        <f>IF(VLOOKUP($A7,'All-Stages Values'!$A$3:$U$19,21,FALSE)&lt;&gt;"",VLOOKUP($A7,'All-Stages Values'!$A$3:$U$19,21,FALSE),"")</f>
        <v>متوسط 50 طن 3 أيام</v>
      </c>
      <c r="V7" s="16">
        <f>'All-Stages Values'!V5</f>
        <v>0</v>
      </c>
      <c r="W7" s="16"/>
      <c r="X7" s="16"/>
      <c r="Y7" s="16"/>
    </row>
    <row r="8" spans="1:25" ht="27.75" customHeight="1" x14ac:dyDescent="0.2">
      <c r="A8" s="7">
        <v>3</v>
      </c>
      <c r="B8" s="6" t="str">
        <f>VLOOKUP(A8,'All-Stages'!$A$3:$T$19,2,FALSE)</f>
        <v>ماكينة</v>
      </c>
      <c r="C8" s="6" t="str">
        <f>'All-Stages Values'!C6</f>
        <v>مدة التخزين</v>
      </c>
      <c r="D8" s="18" t="str">
        <f>'All-Stages Values'!D6</f>
        <v/>
      </c>
      <c r="E8" s="19">
        <f>IF(VLOOKUP($A8,'All-Stages Values'!$A$3:$U$19,5,FALSE)&lt;&gt;"",VLOOKUP($A8,'All-Stages Values'!$A$3:$U$19,5,FALSE),0)</f>
        <v>0</v>
      </c>
      <c r="F8" s="19">
        <f>IF(VLOOKUP($A8,'All-Stages Values'!$A$3:$U$19,6,FALSE)&lt;&gt;"",VLOOKUP($A8,'All-Stages Values'!$A$3:$U$19,6,FALSE),0)</f>
        <v>0</v>
      </c>
      <c r="G8" s="19">
        <f>IF(VLOOKUP($A8,'All-Stages Values'!$A$3:$U$19,7,FALSE)&lt;&gt;"",VLOOKUP($A8,'All-Stages Values'!$A$3:$U$19,7,FALSE),0)</f>
        <v>0</v>
      </c>
      <c r="H8" s="18" t="str">
        <f>'All-Stages Values'!H6</f>
        <v>حبيب</v>
      </c>
      <c r="I8" s="19">
        <f>IF(VLOOKUP($A8,'All-Stages Values'!$A$3:$U$19,9,FALSE)&lt;&gt;"",VLOOKUP($A8,'All-Stages Values'!$A$3:$U$19,9,FALSE),0)</f>
        <v>6.6743999999999994</v>
      </c>
      <c r="J8" s="18" t="str">
        <f>'All-Stages Values'!J6</f>
        <v/>
      </c>
      <c r="K8" s="19">
        <f>IF(VLOOKUP($A8,'All-Stages Values'!$A$3:$U$19,11,FALSE)&lt;&gt;"",VLOOKUP($A8,'All-Stages Values'!$A$3:$U$19,11,FALSE),0)</f>
        <v>0</v>
      </c>
      <c r="L8" s="18" t="str">
        <f>'All-Stages Values'!L6</f>
        <v>كهرباء ماكينة 2</v>
      </c>
      <c r="M8" s="19">
        <f>IF(VLOOKUP($A8,'All-Stages Values'!$A$3:$U$19,13,FALSE)&lt;&gt;"",VLOOKUP($A8,'All-Stages Values'!$A$3:$U$19,13,FALSE),0)</f>
        <v>4.666666666666667</v>
      </c>
      <c r="N8" s="18" t="str">
        <f>'All-Stages Values'!N6</f>
        <v>استهلاك 2</v>
      </c>
      <c r="O8" s="19">
        <f>IF(VLOOKUP($A8,'All-Stages Values'!$A$3:$U$19,15,FALSE)&lt;&gt;"",VLOOKUP($A8,'All-Stages Values'!$A$3:$U$19,15,FALSE),0)</f>
        <v>3.4555555555555557</v>
      </c>
      <c r="P8" s="18" t="str">
        <f>'All-Stages Values'!P6</f>
        <v>صيانة 4</v>
      </c>
      <c r="Q8" s="19">
        <f>IF(VLOOKUP($A8,'All-Stages Values'!$A$3:$U$19,17,FALSE)&lt;&gt;"",VLOOKUP($A8,'All-Stages Values'!$A$3:$U$19,17,FALSE),0)</f>
        <v>0.17277777777777781</v>
      </c>
      <c r="R8" s="19" t="str">
        <f>'All-Stages Values'!R6</f>
        <v>استهلاك 13</v>
      </c>
      <c r="S8" s="19" t="str">
        <f>'All-Stages Values'!S6</f>
        <v>صيانة الفوركلفت</v>
      </c>
      <c r="T8" s="19" t="str">
        <f>'All-Stages Values'!T6</f>
        <v/>
      </c>
      <c r="U8" s="20" t="str">
        <f>IF(VLOOKUP($A8,'All-Stages Values'!$A$3:$U$19,21,FALSE)&lt;&gt;"",VLOOKUP($A8,'All-Stages Values'!$A$3:$U$19,21,FALSE),"")</f>
        <v/>
      </c>
      <c r="V8" s="16">
        <f>'All-Stages Values'!V6</f>
        <v>0</v>
      </c>
      <c r="W8" s="16"/>
      <c r="X8" s="16"/>
      <c r="Y8" s="16"/>
    </row>
    <row r="9" spans="1:25" ht="27.75" customHeight="1" x14ac:dyDescent="0.2">
      <c r="A9" s="7">
        <v>4</v>
      </c>
      <c r="B9" s="6" t="str">
        <f>VLOOKUP(A9,'All-Stages'!$A$3:$T$19,2,FALSE)</f>
        <v>ماكينة 1</v>
      </c>
      <c r="C9" s="6" t="str">
        <f>'All-Stages Values'!C7</f>
        <v>كمية الاستيل</v>
      </c>
      <c r="D9" s="18" t="str">
        <f>'All-Stages Values'!D7</f>
        <v/>
      </c>
      <c r="E9" s="19">
        <f>IF(VLOOKUP($A9,'All-Stages Values'!$A$3:$U$19,5,FALSE)&lt;&gt;"",VLOOKUP($A9,'All-Stages Values'!$A$3:$U$19,5,FALSE),0)</f>
        <v>0</v>
      </c>
      <c r="F9" s="19">
        <f>IF(VLOOKUP($A9,'All-Stages Values'!$A$3:$U$19,6,FALSE)&lt;&gt;"",VLOOKUP($A9,'All-Stages Values'!$A$3:$U$19,6,FALSE),0)</f>
        <v>0</v>
      </c>
      <c r="G9" s="19">
        <f>IF(VLOOKUP($A9,'All-Stages Values'!$A$3:$U$19,7,FALSE)&lt;&gt;"",VLOOKUP($A9,'All-Stages Values'!$A$3:$U$19,7,FALSE),0)</f>
        <v>0</v>
      </c>
      <c r="H9" s="18" t="str">
        <f>'All-Stages Values'!H7</f>
        <v>3 أفراد</v>
      </c>
      <c r="I9" s="19">
        <f>IF(VLOOKUP($A9,'All-Stages Values'!$A$3:$U$19,9,FALSE)&lt;&gt;"",VLOOKUP($A9,'All-Stages Values'!$A$3:$U$19,9,FALSE),0)</f>
        <v>19.353600000000004</v>
      </c>
      <c r="J9" s="18" t="str">
        <f>'All-Stages Values'!J7</f>
        <v/>
      </c>
      <c r="K9" s="19">
        <f>IF(VLOOKUP($A9,'All-Stages Values'!$A$3:$U$19,11,FALSE)&lt;&gt;"",VLOOKUP($A9,'All-Stages Values'!$A$3:$U$19,11,FALSE),0)</f>
        <v>0</v>
      </c>
      <c r="L9" s="18" t="str">
        <f>'All-Stages Values'!L7</f>
        <v>كهرباء ماكينة 3</v>
      </c>
      <c r="M9" s="19">
        <f>IF(VLOOKUP($A9,'All-Stages Values'!$A$3:$U$19,13,FALSE)&lt;&gt;"",VLOOKUP($A9,'All-Stages Values'!$A$3:$U$19,13,FALSE),0)</f>
        <v>0.66666666666666674</v>
      </c>
      <c r="N9" s="18" t="str">
        <f>'All-Stages Values'!N7</f>
        <v>استهلاك 3</v>
      </c>
      <c r="O9" s="19">
        <f>IF(VLOOKUP($A9,'All-Stages Values'!$A$3:$U$19,15,FALSE)&lt;&gt;"",VLOOKUP($A9,'All-Stages Values'!$A$3:$U$19,15,FALSE),0)</f>
        <v>0.88888888888888884</v>
      </c>
      <c r="P9" s="18" t="str">
        <f>'All-Stages Values'!P7</f>
        <v>صيانة 5</v>
      </c>
      <c r="Q9" s="19">
        <f>IF(VLOOKUP($A9,'All-Stages Values'!$A$3:$U$19,17,FALSE)&lt;&gt;"",VLOOKUP($A9,'All-Stages Values'!$A$3:$U$19,17,FALSE),0)</f>
        <v>4.4444444444444446E-2</v>
      </c>
      <c r="R9" s="19" t="str">
        <f>'All-Stages Values'!R7</f>
        <v/>
      </c>
      <c r="S9" s="19" t="str">
        <f>'All-Stages Values'!S7</f>
        <v/>
      </c>
      <c r="T9" s="19" t="str">
        <f>'All-Stages Values'!T7</f>
        <v/>
      </c>
      <c r="U9" s="20" t="str">
        <f>IF(VLOOKUP($A9,'All-Stages Values'!$A$3:$U$19,21,FALSE)&lt;&gt;"",VLOOKUP($A9,'All-Stages Values'!$A$3:$U$19,21,FALSE),"")</f>
        <v/>
      </c>
      <c r="V9" s="16">
        <f>'All-Stages Values'!V7</f>
        <v>0</v>
      </c>
      <c r="W9" s="16"/>
      <c r="X9" s="16"/>
      <c r="Y9" s="16"/>
    </row>
    <row r="10" spans="1:25" ht="27.75" customHeight="1" x14ac:dyDescent="0.2">
      <c r="A10" s="7">
        <v>6</v>
      </c>
      <c r="B10" s="6" t="str">
        <f>VLOOKUP(A10,'All-Stages'!$A$3:$T$19,2,FALSE)</f>
        <v>ماكينة 3</v>
      </c>
      <c r="C10" s="6" t="str">
        <f>'All-Stages Values'!C9</f>
        <v>عدد المقاسات المطلوبة</v>
      </c>
      <c r="D10" s="18" t="str">
        <f>'All-Stages Values'!D9</f>
        <v/>
      </c>
      <c r="E10" s="19">
        <f>IF(VLOOKUP($A10,'All-Stages Values'!$A$3:$U$19,5,FALSE)&lt;&gt;"",VLOOKUP($A10,'All-Stages Values'!$A$3:$U$19,5,FALSE),0)</f>
        <v>0</v>
      </c>
      <c r="F10" s="19">
        <f>IF(VLOOKUP($A10,'All-Stages Values'!$A$3:$U$19,6,FALSE)&lt;&gt;"",VLOOKUP($A10,'All-Stages Values'!$A$3:$U$19,6,FALSE),0)</f>
        <v>0</v>
      </c>
      <c r="G10" s="19">
        <f>IF(VLOOKUP($A10,'All-Stages Values'!$A$3:$U$19,7,FALSE)&lt;&gt;"",VLOOKUP($A10,'All-Stages Values'!$A$3:$U$19,7,FALSE),0)</f>
        <v>0</v>
      </c>
      <c r="H10" s="18" t="str">
        <f>'All-Stages Values'!H9</f>
        <v>متوسط 5 أفراد</v>
      </c>
      <c r="I10" s="19">
        <f>IF(VLOOKUP($A10,'All-Stages Values'!$A$3:$U$19,9,FALSE)&lt;&gt;"",VLOOKUP($A10,'All-Stages Values'!$A$3:$U$19,9,FALSE),0)</f>
        <v>32.256000000000007</v>
      </c>
      <c r="J10" s="18" t="str">
        <f>'All-Stages Values'!J9</f>
        <v>هيكساني أو حكيم</v>
      </c>
      <c r="K10" s="19">
        <f>IF(VLOOKUP($A10,'All-Stages Values'!$A$3:$U$19,11,FALSE)&lt;&gt;"",VLOOKUP($A10,'All-Stages Values'!$A$3:$U$19,11,FALSE),0)</f>
        <v>11.815200000000001</v>
      </c>
      <c r="L10" s="18" t="str">
        <f>'All-Stages Values'!L9</f>
        <v>كهرباء ماكينة 5</v>
      </c>
      <c r="M10" s="19">
        <f>IF(VLOOKUP($A10,'All-Stages Values'!$A$3:$U$19,13,FALSE)&lt;&gt;"",VLOOKUP($A10,'All-Stages Values'!$A$3:$U$19,13,FALSE),0)</f>
        <v>2</v>
      </c>
      <c r="N10" s="18" t="str">
        <f>'All-Stages Values'!N9</f>
        <v>استهلاك 5</v>
      </c>
      <c r="O10" s="19">
        <f>IF(VLOOKUP($A10,'All-Stages Values'!$A$3:$U$19,15,FALSE)&lt;&gt;"",VLOOKUP($A10,'All-Stages Values'!$A$3:$U$19,15,FALSE),0)</f>
        <v>9.844444444444445</v>
      </c>
      <c r="P10" s="18" t="str">
        <f>'All-Stages Values'!P9</f>
        <v>صيانة 7</v>
      </c>
      <c r="Q10" s="19">
        <f>IF(VLOOKUP($A10,'All-Stages Values'!$A$3:$U$19,17,FALSE)&lt;&gt;"",VLOOKUP($A10,'All-Stages Values'!$A$3:$U$19,17,FALSE),0)</f>
        <v>0.49222222222222228</v>
      </c>
      <c r="R10" s="19" t="str">
        <f>'All-Stages Values'!R9</f>
        <v/>
      </c>
      <c r="S10" s="19" t="str">
        <f>'All-Stages Values'!S9</f>
        <v/>
      </c>
      <c r="T10" s="19" t="str">
        <f>'All-Stages Values'!T9</f>
        <v/>
      </c>
      <c r="U10" s="20" t="str">
        <f>IF(VLOOKUP($A10,'All-Stages Values'!$A$3:$U$19,21,FALSE)&lt;&gt;"",VLOOKUP($A10,'All-Stages Values'!$A$3:$U$19,21,FALSE),"")</f>
        <v>متوسط 4 طن للماكينة باليوم (الوردية 8 ساعات)</v>
      </c>
      <c r="V10" s="16">
        <f>'All-Stages Values'!V9</f>
        <v>0</v>
      </c>
      <c r="W10" s="16"/>
      <c r="X10" s="16"/>
      <c r="Y10" s="16"/>
    </row>
    <row r="11" spans="1:25" ht="27.75" customHeight="1" x14ac:dyDescent="0.2">
      <c r="A11" s="7">
        <v>7</v>
      </c>
      <c r="B11" s="6" t="str">
        <f>VLOOKUP(A11,'All-Stages'!$A$3:$T$19,2,FALSE)</f>
        <v>ماكينة 4</v>
      </c>
      <c r="C11" s="6" t="str">
        <f>'All-Stages Values'!C10</f>
        <v>كمية الاستيل</v>
      </c>
      <c r="D11" s="18" t="str">
        <f>'All-Stages Values'!D10</f>
        <v/>
      </c>
      <c r="E11" s="19">
        <f>IF(VLOOKUP($A11,'All-Stages Values'!$A$3:$U$19,5,FALSE)&lt;&gt;"",VLOOKUP($A11,'All-Stages Values'!$A$3:$U$19,5,FALSE),0)</f>
        <v>0</v>
      </c>
      <c r="F11" s="19">
        <f>IF(VLOOKUP($A11,'All-Stages Values'!$A$3:$U$19,6,FALSE)&lt;&gt;"",VLOOKUP($A11,'All-Stages Values'!$A$3:$U$19,6,FALSE),0)</f>
        <v>0</v>
      </c>
      <c r="G11" s="19">
        <f>IF(VLOOKUP($A11,'All-Stages Values'!$A$3:$U$19,7,FALSE)&lt;&gt;"",VLOOKUP($A11,'All-Stages Values'!$A$3:$U$19,7,FALSE),0)</f>
        <v>0</v>
      </c>
      <c r="H11" s="18" t="str">
        <f>'All-Stages Values'!H10</f>
        <v>3 أفراد</v>
      </c>
      <c r="I11" s="19">
        <f>IF(VLOOKUP($A11,'All-Stages Values'!$A$3:$U$19,9,FALSE)&lt;&gt;"",VLOOKUP($A11,'All-Stages Values'!$A$3:$U$19,9,FALSE),0)</f>
        <v>19.353600000000004</v>
      </c>
      <c r="J11" s="18" t="str">
        <f>'All-Stages Values'!J10</f>
        <v/>
      </c>
      <c r="K11" s="19">
        <f>IF(VLOOKUP($A11,'All-Stages Values'!$A$3:$U$19,11,FALSE)&lt;&gt;"",VLOOKUP($A11,'All-Stages Values'!$A$3:$U$19,11,FALSE),0)</f>
        <v>0</v>
      </c>
      <c r="L11" s="18" t="str">
        <f>'All-Stages Values'!L10</f>
        <v>كهرباء ماكينة 6</v>
      </c>
      <c r="M11" s="19">
        <f>IF(VLOOKUP($A11,'All-Stages Values'!$A$3:$U$19,13,FALSE)&lt;&gt;"",VLOOKUP($A11,'All-Stages Values'!$A$3:$U$19,13,FALSE),0)</f>
        <v>2.666666666666667</v>
      </c>
      <c r="N11" s="18" t="str">
        <f>'All-Stages Values'!N10</f>
        <v>استهلاك 6</v>
      </c>
      <c r="O11" s="19">
        <f>IF(VLOOKUP($A11,'All-Stages Values'!$A$3:$U$19,15,FALSE)&lt;&gt;"",VLOOKUP($A11,'All-Stages Values'!$A$3:$U$19,15,FALSE),0)</f>
        <v>0.3726888888888889</v>
      </c>
      <c r="P11" s="18" t="str">
        <f>'All-Stages Values'!P10</f>
        <v>صيانة 8</v>
      </c>
      <c r="Q11" s="19">
        <f>IF(VLOOKUP($A11,'All-Stages Values'!$A$3:$U$19,17,FALSE)&lt;&gt;"",VLOOKUP($A11,'All-Stages Values'!$A$3:$U$19,17,FALSE),0)</f>
        <v>1.8634444444444447E-2</v>
      </c>
      <c r="R11" s="19" t="str">
        <f>'All-Stages Values'!R10</f>
        <v/>
      </c>
      <c r="S11" s="19" t="str">
        <f>'All-Stages Values'!S10</f>
        <v/>
      </c>
      <c r="T11" s="19" t="str">
        <f>'All-Stages Values'!T10</f>
        <v/>
      </c>
      <c r="U11" s="20" t="str">
        <f>IF(VLOOKUP($A11,'All-Stages Values'!$A$3:$U$19,21,FALSE)&lt;&gt;"",VLOOKUP($A11,'All-Stages Values'!$A$3:$U$19,21,FALSE),"")</f>
        <v/>
      </c>
      <c r="V11" s="16">
        <f>'All-Stages Values'!V10</f>
        <v>0</v>
      </c>
      <c r="W11" s="16"/>
      <c r="X11" s="16"/>
      <c r="Y11" s="16"/>
    </row>
    <row r="12" spans="1:25" ht="27.75" customHeight="1" x14ac:dyDescent="0.2">
      <c r="A12" s="7">
        <v>8</v>
      </c>
      <c r="B12" s="6" t="str">
        <f>VLOOKUP(A12,'All-Stages'!$A$3:$T$19,2,FALSE)</f>
        <v>ماكينة 5</v>
      </c>
      <c r="C12" s="6" t="str">
        <f>'All-Stages Values'!C11</f>
        <v>كمية الاستيل</v>
      </c>
      <c r="D12" s="18" t="str">
        <f>'All-Stages Values'!D11</f>
        <v>استيل</v>
      </c>
      <c r="E12" s="19">
        <f>IF(VLOOKUP($A12,'All-Stages Values'!$A$3:$U$19,5,FALSE)&lt;&gt;"",VLOOKUP($A12,'All-Stages Values'!$A$3:$U$19,5,FALSE),0)</f>
        <v>4000</v>
      </c>
      <c r="F12" s="19">
        <f>IF(VLOOKUP($A12,'All-Stages Values'!$A$3:$U$19,6,FALSE)&lt;&gt;"",VLOOKUP($A12,'All-Stages Values'!$A$3:$U$19,6,FALSE),0)</f>
        <v>0</v>
      </c>
      <c r="G12" s="19">
        <f>IF(VLOOKUP($A12,'All-Stages Values'!$A$3:$U$19,7,FALSE)&lt;&gt;"",VLOOKUP($A12,'All-Stages Values'!$A$3:$U$19,7,FALSE),0)</f>
        <v>0</v>
      </c>
      <c r="H12" s="18" t="str">
        <f>'All-Stages Values'!H11</f>
        <v>2 أفراد</v>
      </c>
      <c r="I12" s="19">
        <f>IF(VLOOKUP($A12,'All-Stages Values'!$A$3:$U$19,9,FALSE)&lt;&gt;"",VLOOKUP($A12,'All-Stages Values'!$A$3:$U$19,9,FALSE),0)</f>
        <v>12.902400000000002</v>
      </c>
      <c r="J12" s="18" t="str">
        <f>'All-Stages Values'!J11</f>
        <v/>
      </c>
      <c r="K12" s="19">
        <f>IF(VLOOKUP($A12,'All-Stages Values'!$A$3:$U$19,11,FALSE)&lt;&gt;"",VLOOKUP($A12,'All-Stages Values'!$A$3:$U$19,11,FALSE),0)</f>
        <v>0</v>
      </c>
      <c r="L12" s="18" t="str">
        <f>'All-Stages Values'!L11</f>
        <v/>
      </c>
      <c r="M12" s="19">
        <f>IF(VLOOKUP($A12,'All-Stages Values'!$A$3:$U$19,13,FALSE)&lt;&gt;"",VLOOKUP($A12,'All-Stages Values'!$A$3:$U$19,13,FALSE),0)</f>
        <v>0</v>
      </c>
      <c r="N12" s="18" t="str">
        <f>'All-Stages Values'!N11</f>
        <v>استهلاك 7</v>
      </c>
      <c r="O12" s="19">
        <f>IF(VLOOKUP($A12,'All-Stages Values'!$A$3:$U$19,15,FALSE)&lt;&gt;"",VLOOKUP($A12,'All-Stages Values'!$A$3:$U$19,15,FALSE),0)</f>
        <v>0.5</v>
      </c>
      <c r="P12" s="18" t="str">
        <f>'All-Stages Values'!P11</f>
        <v>التامين ضد المخاطر</v>
      </c>
      <c r="Q12" s="19">
        <f>IF(VLOOKUP($A12,'All-Stages Values'!$A$3:$U$19,17,FALSE)&lt;&gt;"",VLOOKUP($A12,'All-Stages Values'!$A$3:$U$19,17,FALSE),0)</f>
        <v>2.5000000000000001E-2</v>
      </c>
      <c r="R12" s="19" t="str">
        <f>'All-Stages Values'!R11</f>
        <v/>
      </c>
      <c r="S12" s="19" t="str">
        <f>'All-Stages Values'!S11</f>
        <v/>
      </c>
      <c r="T12" s="19" t="str">
        <f>'All-Stages Values'!T11</f>
        <v/>
      </c>
      <c r="U12" s="20" t="str">
        <f>IF(VLOOKUP($A12,'All-Stages Values'!$A$3:$U$19,21,FALSE)&lt;&gt;"",VLOOKUP($A12,'All-Stages Values'!$A$3:$U$19,21,FALSE),"")</f>
        <v>متوسط 25 ك للفرد باليوم</v>
      </c>
      <c r="V12" s="16">
        <f>'All-Stages Values'!V11</f>
        <v>0</v>
      </c>
      <c r="W12" s="16"/>
      <c r="X12" s="16"/>
      <c r="Y12" s="16"/>
    </row>
    <row r="13" spans="1:25" ht="27.75" customHeight="1" x14ac:dyDescent="0.2">
      <c r="A13" s="7">
        <v>9</v>
      </c>
      <c r="B13" s="6" t="str">
        <f>VLOOKUP(A13,'All-Stages'!$A$3:$T$19,2,FALSE)</f>
        <v>ماكينة 6</v>
      </c>
      <c r="C13" s="6" t="str">
        <f>'All-Stages Values'!C12</f>
        <v>كمية الاستيل</v>
      </c>
      <c r="D13" s="18" t="str">
        <f>'All-Stages Values'!D12</f>
        <v/>
      </c>
      <c r="E13" s="19">
        <f>IF(VLOOKUP($A13,'All-Stages Values'!$A$3:$U$19,5,FALSE)&lt;&gt;"",VLOOKUP($A13,'All-Stages Values'!$A$3:$U$19,5,FALSE),0)</f>
        <v>1799.1111111111111</v>
      </c>
      <c r="F13" s="19">
        <f>IF(VLOOKUP($A13,'All-Stages Values'!$A$3:$U$19,6,FALSE)&lt;&gt;"",VLOOKUP($A13,'All-Stages Values'!$A$3:$U$19,6,FALSE),0)</f>
        <v>0</v>
      </c>
      <c r="G13" s="19">
        <f>IF(VLOOKUP($A13,'All-Stages Values'!$A$3:$U$19,7,FALSE)&lt;&gt;"",VLOOKUP($A13,'All-Stages Values'!$A$3:$U$19,7,FALSE),0)</f>
        <v>0</v>
      </c>
      <c r="H13" s="18" t="str">
        <f>'All-Stages Values'!H12</f>
        <v>فرد 1</v>
      </c>
      <c r="I13" s="19">
        <f>IF(VLOOKUP($A13,'All-Stages Values'!$A$3:$U$19,9,FALSE)&lt;&gt;"",VLOOKUP($A13,'All-Stages Values'!$A$3:$U$19,9,FALSE),0)</f>
        <v>6.4512000000000009</v>
      </c>
      <c r="J13" s="18" t="str">
        <f>'All-Stages Values'!J12</f>
        <v/>
      </c>
      <c r="K13" s="19">
        <f>IF(VLOOKUP($A13,'All-Stages Values'!$A$3:$U$19,11,FALSE)&lt;&gt;"",VLOOKUP($A13,'All-Stages Values'!$A$3:$U$19,11,FALSE),0)</f>
        <v>0</v>
      </c>
      <c r="L13" s="18" t="str">
        <f>'All-Stages Values'!L12</f>
        <v/>
      </c>
      <c r="M13" s="19">
        <f>IF(VLOOKUP($A13,'All-Stages Values'!$A$3:$U$19,13,FALSE)&lt;&gt;"",VLOOKUP($A13,'All-Stages Values'!$A$3:$U$19,13,FALSE),0)</f>
        <v>0</v>
      </c>
      <c r="N13" s="18" t="str">
        <f>'All-Stages Values'!N12</f>
        <v/>
      </c>
      <c r="O13" s="19">
        <f>IF(VLOOKUP($A13,'All-Stages Values'!$A$3:$U$19,15,FALSE)&lt;&gt;"",VLOOKUP($A13,'All-Stages Values'!$A$3:$U$19,15,FALSE),0)</f>
        <v>0</v>
      </c>
      <c r="P13" s="18" t="str">
        <f>'All-Stages Values'!P12</f>
        <v/>
      </c>
      <c r="Q13" s="19">
        <f>IF(VLOOKUP($A13,'All-Stages Values'!$A$3:$U$19,17,FALSE)&lt;&gt;"",VLOOKUP($A13,'All-Stages Values'!$A$3:$U$19,17,FALSE),0)</f>
        <v>0</v>
      </c>
      <c r="R13" s="19" t="str">
        <f>'All-Stages Values'!R12</f>
        <v/>
      </c>
      <c r="S13" s="19" t="str">
        <f>'All-Stages Values'!S12</f>
        <v/>
      </c>
      <c r="T13" s="19" t="str">
        <f>'All-Stages Values'!T12</f>
        <v/>
      </c>
      <c r="U13" s="20" t="str">
        <f>IF(VLOOKUP($A13,'All-Stages Values'!$A$3:$U$19,21,FALSE)&lt;&gt;"",VLOOKUP($A13,'All-Stages Values'!$A$3:$U$19,21,FALSE),"")</f>
        <v>متوسط 50 ك للفرد باليوم</v>
      </c>
      <c r="V13" s="16">
        <f>'All-Stages Values'!V12</f>
        <v>0</v>
      </c>
      <c r="W13" s="16"/>
      <c r="X13" s="16"/>
      <c r="Y13" s="16"/>
    </row>
    <row r="14" spans="1:25" ht="27.75" customHeight="1" x14ac:dyDescent="0.2">
      <c r="A14" s="7">
        <v>10</v>
      </c>
      <c r="B14" s="6" t="str">
        <f>VLOOKUP(A14,'All-Stages'!$A$3:$T$19,2,FALSE)</f>
        <v>ماكينة 7</v>
      </c>
      <c r="C14" s="6" t="str">
        <f>'All-Stages Values'!C13</f>
        <v>مدة التخزين</v>
      </c>
      <c r="D14" s="18" t="str">
        <f>'All-Stages Values'!D13</f>
        <v/>
      </c>
      <c r="E14" s="19">
        <f>IF(VLOOKUP($A14,'All-Stages Values'!$A$3:$U$19,5,FALSE)&lt;&gt;"",VLOOKUP($A14,'All-Stages Values'!$A$3:$U$19,5,FALSE),0)</f>
        <v>0</v>
      </c>
      <c r="F14" s="19">
        <f>IF(VLOOKUP($A14,'All-Stages Values'!$A$3:$U$19,6,FALSE)&lt;&gt;"",VLOOKUP($A14,'All-Stages Values'!$A$3:$U$19,6,FALSE),0)</f>
        <v>0</v>
      </c>
      <c r="G14" s="19">
        <f>IF(VLOOKUP($A14,'All-Stages Values'!$A$3:$U$19,7,FALSE)&lt;&gt;"",VLOOKUP($A14,'All-Stages Values'!$A$3:$U$19,7,FALSE),0)</f>
        <v>0</v>
      </c>
      <c r="H14" s="18" t="str">
        <f>'All-Stages Values'!H13</f>
        <v>حبيب</v>
      </c>
      <c r="I14" s="19">
        <f>IF(VLOOKUP($A14,'All-Stages Values'!$A$3:$U$19,9,FALSE)&lt;&gt;"",VLOOKUP($A14,'All-Stages Values'!$A$3:$U$19,9,FALSE),0)</f>
        <v>3.3371999999999997</v>
      </c>
      <c r="J14" s="18" t="str">
        <f>'All-Stages Values'!J13</f>
        <v/>
      </c>
      <c r="K14" s="19">
        <f>IF(VLOOKUP($A14,'All-Stages Values'!$A$3:$U$19,11,FALSE)&lt;&gt;"",VLOOKUP($A14,'All-Stages Values'!$A$3:$U$19,11,FALSE),0)</f>
        <v>0</v>
      </c>
      <c r="L14" s="18" t="str">
        <f>'All-Stages Values'!L13</f>
        <v>كهرباء غرفة الدهان</v>
      </c>
      <c r="M14" s="19">
        <f>IF(VLOOKUP($A14,'All-Stages Values'!$A$3:$U$19,13,FALSE)&lt;&gt;"",VLOOKUP($A14,'All-Stages Values'!$A$3:$U$19,13,FALSE),0)</f>
        <v>4</v>
      </c>
      <c r="N14" s="18" t="str">
        <f>'All-Stages Values'!N13</f>
        <v>استهلاك 8</v>
      </c>
      <c r="O14" s="19">
        <f>IF(VLOOKUP($A14,'All-Stages Values'!$A$3:$U$19,15,FALSE)&lt;&gt;"",VLOOKUP($A14,'All-Stages Values'!$A$3:$U$19,15,FALSE),0)</f>
        <v>3.4555555555555557</v>
      </c>
      <c r="P14" s="18" t="str">
        <f>'All-Stages Values'!P13</f>
        <v>صيانة  9</v>
      </c>
      <c r="Q14" s="19">
        <f>IF(VLOOKUP($A14,'All-Stages Values'!$A$3:$U$19,17,FALSE)&lt;&gt;"",VLOOKUP($A14,'All-Stages Values'!$A$3:$U$19,17,FALSE),0)</f>
        <v>0.17277777777777781</v>
      </c>
      <c r="R14" s="19" t="str">
        <f>'All-Stages Values'!R13</f>
        <v>استهلاك 5</v>
      </c>
      <c r="S14" s="19" t="str">
        <f>'All-Stages Values'!S13</f>
        <v>صيانة الفوركلفت</v>
      </c>
      <c r="T14" s="19" t="str">
        <f>'All-Stages Values'!T13</f>
        <v/>
      </c>
      <c r="U14" s="20" t="str">
        <f>IF(VLOOKUP($A14,'All-Stages Values'!$A$3:$U$19,21,FALSE)&lt;&gt;"",VLOOKUP($A14,'All-Stages Values'!$A$3:$U$19,21,FALSE),"")</f>
        <v/>
      </c>
      <c r="V14" s="16">
        <f>'All-Stages Values'!V13</f>
        <v>0</v>
      </c>
      <c r="W14" s="16"/>
      <c r="X14" s="16"/>
      <c r="Y14" s="16"/>
    </row>
    <row r="15" spans="1:25" ht="27.75" customHeight="1" x14ac:dyDescent="0.2">
      <c r="A15" s="7">
        <v>11</v>
      </c>
      <c r="B15" s="6" t="str">
        <f>VLOOKUP(A15,'All-Stages'!$A$3:$T$19,2,FALSE)</f>
        <v>ماكينة 8</v>
      </c>
      <c r="C15" s="6" t="str">
        <f>'All-Stages Values'!C14</f>
        <v>كمية الاستيل</v>
      </c>
      <c r="D15" s="18" t="str">
        <f>'All-Stages Values'!D14</f>
        <v>مادة 5</v>
      </c>
      <c r="E15" s="19">
        <f>IF(VLOOKUP($A15,'All-Stages Values'!$A$3:$U$19,5,FALSE)&lt;&gt;"",VLOOKUP($A15,'All-Stages Values'!$A$3:$U$19,5,FALSE),0)</f>
        <v>9000</v>
      </c>
      <c r="F15" s="19">
        <f>IF(VLOOKUP($A15,'All-Stages Values'!$A$3:$U$19,6,FALSE)&lt;&gt;"",VLOOKUP($A15,'All-Stages Values'!$A$3:$U$19,6,FALSE),0)</f>
        <v>0</v>
      </c>
      <c r="G15" s="19">
        <f>IF(VLOOKUP($A15,'All-Stages Values'!$A$3:$U$19,7,FALSE)&lt;&gt;"",VLOOKUP($A15,'All-Stages Values'!$A$3:$U$19,7,FALSE),0)</f>
        <v>0</v>
      </c>
      <c r="H15" s="18" t="str">
        <f>'All-Stages Values'!H14</f>
        <v>2 فرد</v>
      </c>
      <c r="I15" s="19">
        <f>IF(VLOOKUP($A15,'All-Stages Values'!$A$3:$U$19,9,FALSE)&lt;&gt;"",VLOOKUP($A15,'All-Stages Values'!$A$3:$U$19,9,FALSE),0)</f>
        <v>12.902400000000002</v>
      </c>
      <c r="J15" s="18" t="str">
        <f>'All-Stages Values'!J14</f>
        <v/>
      </c>
      <c r="K15" s="19">
        <f>IF(VLOOKUP($A15,'All-Stages Values'!$A$3:$U$19,11,FALSE)&lt;&gt;"",VLOOKUP($A15,'All-Stages Values'!$A$3:$U$19,11,FALSE),0)</f>
        <v>0</v>
      </c>
      <c r="L15" s="18" t="str">
        <f>'All-Stages Values'!L14</f>
        <v>كهرباء ماكينة 7</v>
      </c>
      <c r="M15" s="19">
        <f>IF(VLOOKUP($A15,'All-Stages Values'!$A$3:$U$19,13,FALSE)&lt;&gt;"",VLOOKUP($A15,'All-Stages Values'!$A$3:$U$19,13,FALSE),0)</f>
        <v>2</v>
      </c>
      <c r="N15" s="18" t="str">
        <f>'All-Stages Values'!N14</f>
        <v>استهلاك 9</v>
      </c>
      <c r="O15" s="19">
        <f>IF(VLOOKUP($A15,'All-Stages Values'!$A$3:$U$19,15,FALSE)&lt;&gt;"",VLOOKUP($A15,'All-Stages Values'!$A$3:$U$19,15,FALSE),0)</f>
        <v>4.5222222222222221</v>
      </c>
      <c r="P15" s="18" t="str">
        <f>'All-Stages Values'!P14</f>
        <v>صيانة  10</v>
      </c>
      <c r="Q15" s="19">
        <f>IF(VLOOKUP($A15,'All-Stages Values'!$A$3:$U$19,17,FALSE)&lt;&gt;"",VLOOKUP($A15,'All-Stages Values'!$A$3:$U$19,17,FALSE),0)</f>
        <v>0.22611111111111112</v>
      </c>
      <c r="R15" s="19" t="str">
        <f>'All-Stages Values'!R14</f>
        <v/>
      </c>
      <c r="S15" s="19" t="str">
        <f>'All-Stages Values'!S14</f>
        <v/>
      </c>
      <c r="T15" s="19" t="str">
        <f>'All-Stages Values'!T14</f>
        <v/>
      </c>
      <c r="U15" s="20" t="str">
        <f>IF(VLOOKUP($A15,'All-Stages Values'!$A$3:$U$19,21,FALSE)&lt;&gt;"",VLOOKUP($A15,'All-Stages Values'!$A$3:$U$19,21,FALSE),"")</f>
        <v>متوسط 350 ك للماكينة باليوم (الوردية 8 ساعات)</v>
      </c>
      <c r="V15" s="16">
        <f>'All-Stages Values'!V14</f>
        <v>0</v>
      </c>
      <c r="W15" s="16"/>
      <c r="X15" s="16"/>
      <c r="Y15" s="16"/>
    </row>
    <row r="16" spans="1:25" ht="27.75" customHeight="1" x14ac:dyDescent="0.2">
      <c r="A16" s="7">
        <v>12</v>
      </c>
      <c r="B16" s="6" t="str">
        <f>VLOOKUP(A16,'All-Stages'!$A$3:$T$19,2,FALSE)</f>
        <v>ماكينة 9</v>
      </c>
      <c r="C16" s="6" t="str">
        <f>'All-Stages Values'!C15</f>
        <v>مدة التخزين</v>
      </c>
      <c r="D16" s="18" t="str">
        <f>'All-Stages Values'!D15</f>
        <v/>
      </c>
      <c r="E16" s="19">
        <f>IF(VLOOKUP($A16,'All-Stages Values'!$A$3:$U$19,5,FALSE)&lt;&gt;"",VLOOKUP($A16,'All-Stages Values'!$A$3:$U$19,5,FALSE),0)</f>
        <v>0</v>
      </c>
      <c r="F16" s="19">
        <f>IF(VLOOKUP($A16,'All-Stages Values'!$A$3:$U$19,6,FALSE)&lt;&gt;"",VLOOKUP($A16,'All-Stages Values'!$A$3:$U$19,6,FALSE),0)</f>
        <v>0</v>
      </c>
      <c r="G16" s="19">
        <f>IF(VLOOKUP($A16,'All-Stages Values'!$A$3:$U$19,7,FALSE)&lt;&gt;"",VLOOKUP($A16,'All-Stages Values'!$A$3:$U$19,7,FALSE),0)</f>
        <v>0</v>
      </c>
      <c r="H16" s="18" t="str">
        <f>'All-Stages Values'!H15</f>
        <v>حبيب</v>
      </c>
      <c r="I16" s="19">
        <f>IF(VLOOKUP($A16,'All-Stages Values'!$A$3:$U$19,9,FALSE)&lt;&gt;"",VLOOKUP($A16,'All-Stages Values'!$A$3:$U$19,9,FALSE),0)</f>
        <v>2.2247999999999997</v>
      </c>
      <c r="J16" s="18" t="str">
        <f>'All-Stages Values'!J15</f>
        <v/>
      </c>
      <c r="K16" s="19">
        <f>IF(VLOOKUP($A16,'All-Stages Values'!$A$3:$U$19,11,FALSE)&lt;&gt;"",VLOOKUP($A16,'All-Stages Values'!$A$3:$U$19,11,FALSE),0)</f>
        <v>0</v>
      </c>
      <c r="L16" s="18" t="str">
        <f>'All-Stages Values'!L15</f>
        <v>كهرباء ماكينة 8</v>
      </c>
      <c r="M16" s="19">
        <f>IF(VLOOKUP($A16,'All-Stages Values'!$A$3:$U$19,13,FALSE)&lt;&gt;"",VLOOKUP($A16,'All-Stages Values'!$A$3:$U$19,13,FALSE),0)</f>
        <v>4</v>
      </c>
      <c r="N16" s="18" t="str">
        <f>'All-Stages Values'!N15</f>
        <v>استهلاك 10</v>
      </c>
      <c r="O16" s="19">
        <f>IF(VLOOKUP($A16,'All-Stages Values'!$A$3:$U$19,15,FALSE)&lt;&gt;"",VLOOKUP($A16,'All-Stages Values'!$A$3:$U$19,15,FALSE),0)</f>
        <v>3.4555555555555557</v>
      </c>
      <c r="P16" s="18" t="str">
        <f>'All-Stages Values'!P15</f>
        <v>صيانة  11</v>
      </c>
      <c r="Q16" s="19">
        <f>IF(VLOOKUP($A16,'All-Stages Values'!$A$3:$U$19,17,FALSE)&lt;&gt;"",VLOOKUP($A16,'All-Stages Values'!$A$3:$U$19,17,FALSE),0)</f>
        <v>0.17277777777777781</v>
      </c>
      <c r="R16" s="19" t="str">
        <f>'All-Stages Values'!R15</f>
        <v>استهلاك 2</v>
      </c>
      <c r="S16" s="19" t="str">
        <f>'All-Stages Values'!S15</f>
        <v>صيانة الفوركلفت</v>
      </c>
      <c r="T16" s="19" t="str">
        <f>'All-Stages Values'!T15</f>
        <v/>
      </c>
      <c r="U16" s="20" t="str">
        <f>IF(VLOOKUP($A16,'All-Stages Values'!$A$3:$U$19,21,FALSE)&lt;&gt;"",VLOOKUP($A16,'All-Stages Values'!$A$3:$U$19,21,FALSE),"")</f>
        <v/>
      </c>
      <c r="V16" s="16">
        <f>'All-Stages Values'!V15</f>
        <v>0</v>
      </c>
      <c r="W16" s="16"/>
      <c r="X16" s="16"/>
      <c r="Y16" s="16"/>
    </row>
    <row r="17" spans="1:26" ht="27.75" customHeight="1" x14ac:dyDescent="0.2">
      <c r="A17" s="7">
        <v>13</v>
      </c>
      <c r="B17" s="6" t="str">
        <f>VLOOKUP(A17,'All-Stages'!$A$3:$T$19,2,FALSE)</f>
        <v>التلميع والتثبيت</v>
      </c>
      <c r="C17" s="6" t="str">
        <f>'All-Stages Values'!C16</f>
        <v>كمية الاستيل</v>
      </c>
      <c r="D17" s="18" t="str">
        <f>'All-Stages Values'!D16</f>
        <v>مواد التغليف</v>
      </c>
      <c r="E17" s="19">
        <f>IF(VLOOKUP($A17,'All-Stages Values'!$A$3:$U$19,5,FALSE)&lt;&gt;"",VLOOKUP($A17,'All-Stages Values'!$A$3:$U$19,5,FALSE),0)</f>
        <v>1200</v>
      </c>
      <c r="F17" s="19">
        <f>IF(VLOOKUP($A17,'All-Stages Values'!$A$3:$U$19,6,FALSE)&lt;&gt;"",VLOOKUP($A17,'All-Stages Values'!$A$3:$U$19,6,FALSE),0)</f>
        <v>5568</v>
      </c>
      <c r="G17" s="19">
        <f>IF(VLOOKUP($A17,'All-Stages Values'!$A$3:$U$19,7,FALSE)&lt;&gt;"",VLOOKUP($A17,'All-Stages Values'!$A$3:$U$19,7,FALSE),0)</f>
        <v>640</v>
      </c>
      <c r="H17" s="18" t="str">
        <f>'All-Stages Values'!H16</f>
        <v>2 فرد</v>
      </c>
      <c r="I17" s="19">
        <f>IF(VLOOKUP($A17,'All-Stages Values'!$A$3:$U$19,9,FALSE)&lt;&gt;"",VLOOKUP($A17,'All-Stages Values'!$A$3:$U$19,9,FALSE),0)</f>
        <v>12.902400000000002</v>
      </c>
      <c r="J17" s="18" t="str">
        <f>'All-Stages Values'!J16</f>
        <v/>
      </c>
      <c r="K17" s="19">
        <f>IF(VLOOKUP($A17,'All-Stages Values'!$A$3:$U$19,11,FALSE)&lt;&gt;"",VLOOKUP($A17,'All-Stages Values'!$A$3:$U$19,11,FALSE),0)</f>
        <v>0</v>
      </c>
      <c r="L17" s="18" t="str">
        <f>'All-Stages Values'!L16</f>
        <v>كهرباء ماكينة 9</v>
      </c>
      <c r="M17" s="19">
        <f>IF(VLOOKUP($A17,'All-Stages Values'!$A$3:$U$19,13,FALSE)&lt;&gt;"",VLOOKUP($A17,'All-Stages Values'!$A$3:$U$19,13,FALSE),0)</f>
        <v>142.85714285714286</v>
      </c>
      <c r="N17" s="18" t="str">
        <f>'All-Stages Values'!N16</f>
        <v>استهلاك 11</v>
      </c>
      <c r="O17" s="19">
        <f>IF(VLOOKUP($A17,'All-Stages Values'!$A$3:$U$19,15,FALSE)&lt;&gt;"",VLOOKUP($A17,'All-Stages Values'!$A$3:$U$19,15,FALSE),0)</f>
        <v>1.3611111111111112</v>
      </c>
      <c r="P17" s="18" t="str">
        <f>'All-Stages Values'!P16</f>
        <v>صيانة  12</v>
      </c>
      <c r="Q17" s="19">
        <f>IF(VLOOKUP($A17,'All-Stages Values'!$A$3:$U$19,17,FALSE)&lt;&gt;"",VLOOKUP($A17,'All-Stages Values'!$A$3:$U$19,17,FALSE),0)</f>
        <v>6.8055555555555564E-2</v>
      </c>
      <c r="R17" s="19" t="str">
        <f>'All-Stages Values'!R16</f>
        <v/>
      </c>
      <c r="S17" s="19" t="str">
        <f>'All-Stages Values'!S16</f>
        <v/>
      </c>
      <c r="T17" s="19" t="str">
        <f>'All-Stages Values'!T16</f>
        <v/>
      </c>
      <c r="U17" s="20" t="str">
        <f>IF(VLOOKUP($A17,'All-Stages Values'!$A$3:$U$19,21,FALSE)&lt;&gt;"",VLOOKUP($A17,'All-Stages Values'!$A$3:$U$19,21,FALSE),"")</f>
        <v/>
      </c>
      <c r="V17" s="16">
        <f>'All-Stages Values'!V16</f>
        <v>0</v>
      </c>
      <c r="W17" s="16"/>
      <c r="X17" s="16"/>
      <c r="Y17" s="16"/>
    </row>
    <row r="18" spans="1:26" ht="27.75" customHeight="1" x14ac:dyDescent="0.2">
      <c r="A18" s="7">
        <v>16</v>
      </c>
      <c r="B18" s="6" t="str">
        <f>VLOOKUP(A18,'All-Stages'!$A$3:$T$19,2,FALSE)</f>
        <v>التخزين في المنتج التام</v>
      </c>
      <c r="C18" s="6" t="str">
        <f>'All-Stages Values'!C19</f>
        <v>كمية الاستيل</v>
      </c>
      <c r="D18" s="18" t="str">
        <f>'All-Stages Values'!D19</f>
        <v/>
      </c>
      <c r="E18" s="19">
        <f>IF(VLOOKUP($A18,'All-Stages Values'!$A$3:$U$19,5,FALSE)&lt;&gt;"",VLOOKUP($A18,'All-Stages Values'!$A$3:$U$19,5,FALSE),0)</f>
        <v>0</v>
      </c>
      <c r="F18" s="19">
        <f>IF(VLOOKUP($A18,'All-Stages Values'!$A$3:$U$19,6,FALSE)&lt;&gt;"",VLOOKUP($A18,'All-Stages Values'!$A$3:$U$19,6,FALSE),0)</f>
        <v>0</v>
      </c>
      <c r="G18" s="19">
        <f>IF(VLOOKUP($A18,'All-Stages Values'!$A$3:$U$19,7,FALSE)&lt;&gt;"",VLOOKUP($A18,'All-Stages Values'!$A$3:$U$19,7,FALSE),0)</f>
        <v>0</v>
      </c>
      <c r="H18" s="18" t="str">
        <f>'All-Stages Values'!H19</f>
        <v>حبيب</v>
      </c>
      <c r="I18" s="19">
        <f>IF(VLOOKUP($A18,'All-Stages Values'!$A$3:$U$19,9,FALSE)&lt;&gt;"",VLOOKUP($A18,'All-Stages Values'!$A$3:$U$19,9,FALSE),0)</f>
        <v>3.3371999999999997</v>
      </c>
      <c r="J18" s="18" t="str">
        <f>'All-Stages Values'!J19</f>
        <v/>
      </c>
      <c r="K18" s="19">
        <f>IF(VLOOKUP($A18,'All-Stages Values'!$A$3:$U$19,11,FALSE)&lt;&gt;"",VLOOKUP($A18,'All-Stages Values'!$A$3:$U$19,11,FALSE),0)</f>
        <v>0</v>
      </c>
      <c r="L18" s="18" t="str">
        <f>'All-Stages Values'!L19</f>
        <v>كهرباء ماكينة 12</v>
      </c>
      <c r="M18" s="19">
        <f>IF(VLOOKUP($A18,'All-Stages Values'!$A$3:$U$19,13,FALSE)&lt;&gt;"",VLOOKUP($A18,'All-Stages Values'!$A$3:$U$19,13,FALSE),0)</f>
        <v>4</v>
      </c>
      <c r="N18" s="18" t="str">
        <f>'All-Stages Values'!N19</f>
        <v>استهلاك 14</v>
      </c>
      <c r="O18" s="19">
        <f>IF(VLOOKUP($A18,'All-Stages Values'!$A$3:$U$19,15,FALSE)&lt;&gt;"",VLOOKUP($A18,'All-Stages Values'!$A$3:$U$19,15,FALSE),0)</f>
        <v>3.4555555555555557</v>
      </c>
      <c r="P18" s="18" t="str">
        <f>'All-Stages Values'!P19</f>
        <v>صيانة  15</v>
      </c>
      <c r="Q18" s="19">
        <f>IF(VLOOKUP($A18,'All-Stages Values'!$A$3:$U$19,17,FALSE)&lt;&gt;"",VLOOKUP($A18,'All-Stages Values'!$A$3:$U$19,17,FALSE),0)</f>
        <v>0.17277777777777781</v>
      </c>
      <c r="R18" s="19" t="str">
        <f>'All-Stages Values'!R19</f>
        <v>استهلاك 14</v>
      </c>
      <c r="S18" s="19" t="str">
        <f>'All-Stages Values'!S19</f>
        <v>صيانة الفوركلفت</v>
      </c>
      <c r="T18" s="19" t="str">
        <f>'All-Stages Values'!T19</f>
        <v/>
      </c>
      <c r="U18" s="20" t="str">
        <f>IF(VLOOKUP($A18,'All-Stages Values'!$A$3:$U$19,21,FALSE)&lt;&gt;"",VLOOKUP($A18,'All-Stages Values'!$A$3:$U$19,21,FALSE),"")</f>
        <v/>
      </c>
      <c r="V18" s="16">
        <f>'All-Stages Values'!V19</f>
        <v>0</v>
      </c>
      <c r="W18" s="16"/>
      <c r="X18" s="16"/>
      <c r="Y18" s="16"/>
    </row>
    <row r="19" spans="1:26" ht="39.75" customHeight="1" thickBot="1" x14ac:dyDescent="0.25">
      <c r="A19" s="44" t="s">
        <v>44</v>
      </c>
      <c r="B19" s="45"/>
      <c r="C19" s="11"/>
      <c r="D19" s="21"/>
      <c r="E19" s="23">
        <f>SUM(E6:E18)</f>
        <v>15999.111111111111</v>
      </c>
      <c r="F19" s="23">
        <f>SUM(F6:F18)</f>
        <v>5568</v>
      </c>
      <c r="G19" s="23">
        <f>SUM(G6:G18)</f>
        <v>640</v>
      </c>
      <c r="H19" s="23"/>
      <c r="I19" s="23">
        <f>SUM(I6:I18)</f>
        <v>151.6104</v>
      </c>
      <c r="J19" s="23">
        <f>SUM(J6:J18)</f>
        <v>8.1</v>
      </c>
      <c r="K19" s="23">
        <f>SUM(K6:K18)</f>
        <v>18.489599999999999</v>
      </c>
      <c r="L19" s="23"/>
      <c r="M19" s="23">
        <f>SUM(M6:M18)</f>
        <v>169.65714285714287</v>
      </c>
      <c r="N19" s="23"/>
      <c r="O19" s="23">
        <f>SUM(O6:O18)</f>
        <v>40.109633333333342</v>
      </c>
      <c r="P19" s="23"/>
      <c r="Q19" s="23">
        <f>SUM(Q6:Q18)</f>
        <v>2.0054816666666668</v>
      </c>
      <c r="R19" s="21"/>
      <c r="S19" s="21"/>
      <c r="T19" s="21"/>
      <c r="U19" s="22"/>
      <c r="V19" s="16">
        <f>SUM(C19:U19)</f>
        <v>22597.083368968255</v>
      </c>
      <c r="W19" s="16"/>
      <c r="X19" s="16"/>
      <c r="Y19" s="16"/>
    </row>
    <row r="20" spans="1:26" ht="23.25" customHeight="1" x14ac:dyDescent="0.2"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 t="s">
        <v>46</v>
      </c>
      <c r="P20" s="16"/>
      <c r="Q20" s="16"/>
      <c r="R20" s="16"/>
      <c r="S20" s="16"/>
      <c r="T20" s="16"/>
      <c r="U20" s="24">
        <f>V19</f>
        <v>22597.083368968255</v>
      </c>
      <c r="V20" s="16">
        <f>V19/1000</f>
        <v>22.597083368968256</v>
      </c>
      <c r="W20" s="16">
        <v>20</v>
      </c>
      <c r="X20" s="16">
        <v>27</v>
      </c>
      <c r="Y20" s="16">
        <f>X20-W20</f>
        <v>7</v>
      </c>
      <c r="Z20" s="3">
        <f>Y20/X20</f>
        <v>0.25925925925925924</v>
      </c>
    </row>
    <row r="21" spans="1:26" ht="23.25" customHeight="1" x14ac:dyDescent="0.2">
      <c r="B21" s="3" t="s">
        <v>53</v>
      </c>
      <c r="D21" s="16"/>
      <c r="E21" s="24">
        <f>U24*0.08</f>
        <v>0.5565217391304349</v>
      </c>
      <c r="F21" s="25">
        <v>0.08</v>
      </c>
      <c r="G21" s="16"/>
      <c r="H21" s="16"/>
      <c r="I21" s="16"/>
      <c r="J21" s="16"/>
      <c r="K21" s="16"/>
      <c r="L21" s="16"/>
      <c r="M21" s="16"/>
      <c r="N21" s="16"/>
      <c r="O21" s="16" t="s">
        <v>47</v>
      </c>
      <c r="P21" s="16"/>
      <c r="Q21" s="16"/>
      <c r="R21" s="16"/>
      <c r="S21" s="16"/>
      <c r="T21" s="16"/>
      <c r="U21" s="24">
        <f>V20-2.59</f>
        <v>20.007083368968257</v>
      </c>
      <c r="V21" s="16">
        <f>V20/2</f>
        <v>11.298541684484128</v>
      </c>
      <c r="W21" s="16">
        <v>11</v>
      </c>
      <c r="X21" s="16">
        <v>16</v>
      </c>
      <c r="Y21" s="16">
        <f t="shared" ref="Y21:Y22" si="0">X21-W21</f>
        <v>5</v>
      </c>
      <c r="Z21" s="3">
        <f t="shared" ref="Z21:Z22" si="1">Y21/X21</f>
        <v>0.3125</v>
      </c>
    </row>
    <row r="22" spans="1:26" ht="23.25" customHeight="1" x14ac:dyDescent="0.2">
      <c r="B22" s="3" t="s">
        <v>54</v>
      </c>
      <c r="D22" s="16"/>
      <c r="E22" s="24">
        <f>U24*0.04</f>
        <v>0.27826086956521745</v>
      </c>
      <c r="F22" s="25">
        <v>0.04</v>
      </c>
      <c r="G22" s="16"/>
      <c r="H22" s="16"/>
      <c r="I22" s="16"/>
      <c r="J22" s="16"/>
      <c r="K22" s="16"/>
      <c r="L22" s="16"/>
      <c r="M22" s="16"/>
      <c r="N22" s="16"/>
      <c r="O22" s="16" t="s">
        <v>48</v>
      </c>
      <c r="P22" s="16"/>
      <c r="Q22" s="16"/>
      <c r="R22" s="16"/>
      <c r="S22" s="16"/>
      <c r="T22" s="16"/>
      <c r="U22" s="24">
        <f>V21-0.29</f>
        <v>11.008541684484129</v>
      </c>
      <c r="V22" s="16">
        <f>V21/2</f>
        <v>5.6492708422420641</v>
      </c>
      <c r="W22" s="16">
        <v>5.65</v>
      </c>
      <c r="X22" s="16">
        <v>8</v>
      </c>
      <c r="Y22" s="16">
        <f t="shared" si="0"/>
        <v>2.3499999999999996</v>
      </c>
      <c r="Z22" s="3">
        <f t="shared" si="1"/>
        <v>0.29374999999999996</v>
      </c>
    </row>
    <row r="23" spans="1:26" ht="23.25" customHeight="1" x14ac:dyDescent="0.2">
      <c r="B23" s="3" t="s">
        <v>55</v>
      </c>
      <c r="D23" s="16"/>
      <c r="E23" s="24">
        <f>U23+E21+E22</f>
        <v>6.4840534509377168</v>
      </c>
      <c r="F23" s="25">
        <f>SUM(F21:F22)</f>
        <v>0.12</v>
      </c>
      <c r="G23" s="16"/>
      <c r="H23" s="16"/>
      <c r="I23" s="16"/>
      <c r="J23" s="16"/>
      <c r="K23" s="16"/>
      <c r="L23" s="16"/>
      <c r="M23" s="16"/>
      <c r="N23" s="16"/>
      <c r="O23" s="16" t="s">
        <v>49</v>
      </c>
      <c r="P23" s="16"/>
      <c r="Q23" s="16"/>
      <c r="R23" s="16"/>
      <c r="S23" s="16"/>
      <c r="T23" s="16"/>
      <c r="U23" s="24">
        <f t="shared" ref="U23" si="2">V22</f>
        <v>5.6492708422420641</v>
      </c>
      <c r="V23" s="16">
        <v>8</v>
      </c>
      <c r="W23" s="16"/>
      <c r="X23" s="16"/>
      <c r="Y23" s="16"/>
    </row>
    <row r="24" spans="1:26" ht="23.25" customHeight="1" x14ac:dyDescent="0.2">
      <c r="B24" s="3" t="s">
        <v>56</v>
      </c>
      <c r="D24" s="16"/>
      <c r="E24" s="24">
        <f>U24-E23</f>
        <v>0.47246828819271869</v>
      </c>
      <c r="F24" s="25">
        <f>E24/U24</f>
        <v>6.7917316427703309E-2</v>
      </c>
      <c r="G24" s="16"/>
      <c r="H24" s="16"/>
      <c r="I24" s="16"/>
      <c r="J24" s="16"/>
      <c r="K24" s="16"/>
      <c r="L24" s="16"/>
      <c r="M24" s="16"/>
      <c r="N24" s="16"/>
      <c r="O24" s="16" t="s">
        <v>50</v>
      </c>
      <c r="P24" s="16"/>
      <c r="Q24" s="16"/>
      <c r="R24" s="16"/>
      <c r="S24" s="16"/>
      <c r="T24" s="16"/>
      <c r="U24" s="24">
        <f>V23/1.15</f>
        <v>6.9565217391304355</v>
      </c>
      <c r="V24" s="16">
        <f>V23-V22</f>
        <v>2.3507291577579359</v>
      </c>
      <c r="W24" s="16"/>
      <c r="X24" s="16"/>
      <c r="Y24" s="16"/>
    </row>
    <row r="25" spans="1:26" ht="23.25" customHeight="1" x14ac:dyDescent="0.2">
      <c r="B25" s="3" t="s">
        <v>57</v>
      </c>
      <c r="E25" s="25">
        <f>E24/U24</f>
        <v>6.7917316427703309E-2</v>
      </c>
      <c r="O25" s="3" t="s">
        <v>51</v>
      </c>
      <c r="U25" s="24">
        <f>U24-U23</f>
        <v>1.3072508968883714</v>
      </c>
      <c r="V25" s="17">
        <f>V24/V23</f>
        <v>0.29384114471974199</v>
      </c>
    </row>
    <row r="26" spans="1:26" ht="23.25" customHeight="1" x14ac:dyDescent="0.2">
      <c r="O26" s="3" t="s">
        <v>52</v>
      </c>
      <c r="U26" s="25">
        <f>U25/U24</f>
        <v>0.18791731642770337</v>
      </c>
    </row>
  </sheetData>
  <mergeCells count="8">
    <mergeCell ref="U4:U5"/>
    <mergeCell ref="V4:V5"/>
    <mergeCell ref="A4:A5"/>
    <mergeCell ref="A19:B19"/>
    <mergeCell ref="D4:G4"/>
    <mergeCell ref="H4:K4"/>
    <mergeCell ref="L4:T4"/>
    <mergeCell ref="B4:B5"/>
  </mergeCells>
  <printOptions horizontalCentered="1"/>
  <pageMargins left="0.25" right="0.25" top="0.75" bottom="0.75" header="0.55000000000000004" footer="0.3"/>
  <pageSetup paperSize="9" scale="7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3FFF-4206-4D26-BBA2-1B8CA8B11CEB}">
  <sheetPr>
    <pageSetUpPr fitToPage="1"/>
  </sheetPr>
  <dimension ref="A1:R18"/>
  <sheetViews>
    <sheetView rightToLeft="1" workbookViewId="0">
      <selection activeCell="H1" sqref="H1"/>
    </sheetView>
  </sheetViews>
  <sheetFormatPr defaultColWidth="9.125" defaultRowHeight="14.25" x14ac:dyDescent="0.2"/>
  <cols>
    <col min="1" max="1" width="3.25" style="3" bestFit="1" customWidth="1"/>
    <col min="2" max="2" width="18.625" style="3" customWidth="1"/>
    <col min="3" max="3" width="16.375" style="3" bestFit="1" customWidth="1"/>
    <col min="4" max="4" width="8.25" style="3" bestFit="1" customWidth="1"/>
    <col min="5" max="7" width="4.25" style="3" customWidth="1"/>
    <col min="8" max="8" width="11.625" style="3" bestFit="1" customWidth="1"/>
    <col min="9" max="9" width="11" style="3" bestFit="1" customWidth="1"/>
    <col min="10" max="10" width="11.25" style="3" hidden="1" customWidth="1"/>
    <col min="11" max="11" width="0" style="3" hidden="1" customWidth="1"/>
    <col min="12" max="12" width="12.625" style="3" bestFit="1" customWidth="1"/>
    <col min="13" max="13" width="11.25" style="3" bestFit="1" customWidth="1"/>
    <col min="14" max="14" width="13.5" style="3" bestFit="1" customWidth="1"/>
    <col min="15" max="15" width="6.75" style="3" bestFit="1" customWidth="1"/>
    <col min="16" max="16" width="8.5" style="3" customWidth="1"/>
    <col min="17" max="17" width="7.375" style="3" customWidth="1"/>
    <col min="18" max="18" width="25.25" style="3" bestFit="1" customWidth="1"/>
    <col min="19" max="16384" width="9.125" style="3"/>
  </cols>
  <sheetData>
    <row r="1" spans="1:18" x14ac:dyDescent="0.2">
      <c r="H1" s="3" t="s">
        <v>35</v>
      </c>
      <c r="I1" s="3" t="s">
        <v>124</v>
      </c>
    </row>
    <row r="2" spans="1:18" ht="15" thickBot="1" x14ac:dyDescent="0.25"/>
    <row r="3" spans="1:18" ht="23.25" customHeight="1" x14ac:dyDescent="0.2">
      <c r="A3" s="34" t="s">
        <v>34</v>
      </c>
      <c r="B3" s="36" t="s">
        <v>33</v>
      </c>
      <c r="C3" s="4" t="s">
        <v>4</v>
      </c>
      <c r="D3" s="36" t="s">
        <v>1</v>
      </c>
      <c r="E3" s="36"/>
      <c r="F3" s="36"/>
      <c r="G3" s="36"/>
      <c r="H3" s="36" t="s">
        <v>2</v>
      </c>
      <c r="I3" s="36"/>
      <c r="J3" s="36"/>
      <c r="K3" s="36"/>
      <c r="L3" s="40" t="s">
        <v>121</v>
      </c>
      <c r="M3" s="41"/>
      <c r="N3" s="41"/>
      <c r="O3" s="42"/>
      <c r="P3" s="40" t="s">
        <v>120</v>
      </c>
      <c r="Q3" s="42"/>
      <c r="R3" s="37" t="s">
        <v>5</v>
      </c>
    </row>
    <row r="4" spans="1:18" ht="23.25" customHeight="1" x14ac:dyDescent="0.2">
      <c r="A4" s="35"/>
      <c r="B4" s="39"/>
      <c r="C4" s="6">
        <v>1</v>
      </c>
      <c r="D4" s="5">
        <v>1</v>
      </c>
      <c r="E4" s="5">
        <v>2</v>
      </c>
      <c r="F4" s="5">
        <v>3</v>
      </c>
      <c r="G4" s="5">
        <v>4</v>
      </c>
      <c r="H4" s="5">
        <v>1</v>
      </c>
      <c r="I4" s="5">
        <v>2</v>
      </c>
      <c r="J4" s="5">
        <v>3</v>
      </c>
      <c r="K4" s="5">
        <v>4</v>
      </c>
      <c r="L4" s="5">
        <v>1</v>
      </c>
      <c r="M4" s="5">
        <v>2</v>
      </c>
      <c r="N4" s="5">
        <v>3</v>
      </c>
      <c r="O4" s="5">
        <v>4</v>
      </c>
      <c r="P4" s="5">
        <v>5</v>
      </c>
      <c r="Q4" s="5">
        <v>6</v>
      </c>
      <c r="R4" s="38"/>
    </row>
    <row r="5" spans="1:18" ht="24.75" customHeight="1" x14ac:dyDescent="0.2">
      <c r="A5" s="7">
        <v>1</v>
      </c>
      <c r="B5" s="6" t="s">
        <v>0</v>
      </c>
      <c r="C5" s="6" t="s">
        <v>115</v>
      </c>
      <c r="D5" s="6" t="s">
        <v>125</v>
      </c>
      <c r="E5" s="6" t="s">
        <v>125</v>
      </c>
      <c r="F5" s="6"/>
      <c r="G5" s="6"/>
      <c r="H5" s="8" t="s">
        <v>118</v>
      </c>
      <c r="I5" s="8" t="s">
        <v>9</v>
      </c>
      <c r="J5" s="8"/>
      <c r="K5" s="8"/>
      <c r="L5" s="8" t="s">
        <v>117</v>
      </c>
      <c r="M5" s="8" t="s">
        <v>7</v>
      </c>
      <c r="N5" s="8" t="s">
        <v>119</v>
      </c>
      <c r="O5" s="8" t="s">
        <v>100</v>
      </c>
      <c r="P5" s="8" t="s">
        <v>122</v>
      </c>
      <c r="Q5" s="8" t="s">
        <v>123</v>
      </c>
      <c r="R5" s="9" t="s">
        <v>8</v>
      </c>
    </row>
    <row r="6" spans="1:18" ht="24.75" customHeight="1" x14ac:dyDescent="0.2">
      <c r="A6" s="7">
        <v>2</v>
      </c>
      <c r="B6" s="6" t="s">
        <v>58</v>
      </c>
      <c r="C6" s="6" t="s">
        <v>115</v>
      </c>
      <c r="D6" s="6" t="s">
        <v>125</v>
      </c>
      <c r="E6" s="6" t="s">
        <v>125</v>
      </c>
      <c r="F6" s="6"/>
      <c r="G6" s="6"/>
      <c r="H6" s="8" t="s">
        <v>11</v>
      </c>
      <c r="I6" s="8" t="s">
        <v>125</v>
      </c>
      <c r="J6" s="8"/>
      <c r="K6" s="8"/>
      <c r="L6" s="8" t="s">
        <v>73</v>
      </c>
      <c r="M6" s="8" t="s">
        <v>86</v>
      </c>
      <c r="N6" s="8" t="s">
        <v>101</v>
      </c>
      <c r="O6" s="8" t="s">
        <v>125</v>
      </c>
      <c r="P6" s="8" t="s">
        <v>122</v>
      </c>
      <c r="Q6" s="8" t="s">
        <v>123</v>
      </c>
      <c r="R6" s="9" t="s">
        <v>15</v>
      </c>
    </row>
    <row r="7" spans="1:18" ht="24.75" customHeight="1" x14ac:dyDescent="0.2">
      <c r="A7" s="7">
        <v>3</v>
      </c>
      <c r="B7" s="6" t="s">
        <v>72</v>
      </c>
      <c r="C7" s="6" t="s">
        <v>10</v>
      </c>
      <c r="D7" s="6" t="s">
        <v>125</v>
      </c>
      <c r="E7" s="6" t="s">
        <v>125</v>
      </c>
      <c r="F7" s="6"/>
      <c r="G7" s="6"/>
      <c r="H7" s="8" t="s">
        <v>13</v>
      </c>
      <c r="I7" s="8" t="s">
        <v>125</v>
      </c>
      <c r="J7" s="8"/>
      <c r="K7" s="8"/>
      <c r="L7" s="8" t="s">
        <v>74</v>
      </c>
      <c r="M7" s="8" t="s">
        <v>87</v>
      </c>
      <c r="N7" s="8" t="s">
        <v>102</v>
      </c>
      <c r="O7" s="8" t="s">
        <v>17</v>
      </c>
      <c r="P7" s="8" t="s">
        <v>122</v>
      </c>
      <c r="Q7" s="8" t="s">
        <v>123</v>
      </c>
      <c r="R7" s="9" t="s">
        <v>125</v>
      </c>
    </row>
    <row r="8" spans="1:18" ht="24.75" customHeight="1" x14ac:dyDescent="0.2">
      <c r="A8" s="7">
        <v>4</v>
      </c>
      <c r="B8" s="6" t="s">
        <v>59</v>
      </c>
      <c r="C8" s="6" t="s">
        <v>115</v>
      </c>
      <c r="D8" s="6" t="s">
        <v>125</v>
      </c>
      <c r="E8" s="6" t="s">
        <v>125</v>
      </c>
      <c r="F8" s="6"/>
      <c r="G8" s="6"/>
      <c r="H8" s="8" t="s">
        <v>14</v>
      </c>
      <c r="I8" s="8" t="s">
        <v>125</v>
      </c>
      <c r="J8" s="8"/>
      <c r="K8" s="8"/>
      <c r="L8" s="8" t="s">
        <v>75</v>
      </c>
      <c r="M8" s="8" t="s">
        <v>88</v>
      </c>
      <c r="N8" s="8" t="s">
        <v>103</v>
      </c>
      <c r="O8" s="8" t="s">
        <v>125</v>
      </c>
      <c r="P8" s="8" t="s">
        <v>122</v>
      </c>
      <c r="Q8" s="8" t="s">
        <v>123</v>
      </c>
      <c r="R8" s="9" t="s">
        <v>125</v>
      </c>
    </row>
    <row r="9" spans="1:18" ht="24.75" customHeight="1" x14ac:dyDescent="0.2">
      <c r="A9" s="7">
        <v>6</v>
      </c>
      <c r="B9" s="6" t="s">
        <v>61</v>
      </c>
      <c r="C9" s="6" t="s">
        <v>29</v>
      </c>
      <c r="D9" s="6" t="s">
        <v>125</v>
      </c>
      <c r="E9" s="6" t="s">
        <v>125</v>
      </c>
      <c r="F9" s="6"/>
      <c r="G9" s="6"/>
      <c r="H9" s="8" t="s">
        <v>31</v>
      </c>
      <c r="I9" s="8" t="s">
        <v>32</v>
      </c>
      <c r="J9" s="8"/>
      <c r="K9" s="8"/>
      <c r="L9" s="8" t="s">
        <v>77</v>
      </c>
      <c r="M9" s="8" t="s">
        <v>90</v>
      </c>
      <c r="N9" s="8" t="s">
        <v>105</v>
      </c>
      <c r="O9" s="8" t="s">
        <v>125</v>
      </c>
      <c r="P9" s="8" t="s">
        <v>122</v>
      </c>
      <c r="Q9" s="8" t="s">
        <v>123</v>
      </c>
      <c r="R9" s="9" t="s">
        <v>30</v>
      </c>
    </row>
    <row r="10" spans="1:18" ht="24.75" customHeight="1" x14ac:dyDescent="0.2">
      <c r="A10" s="7">
        <v>7</v>
      </c>
      <c r="B10" s="6" t="s">
        <v>62</v>
      </c>
      <c r="C10" s="6" t="s">
        <v>115</v>
      </c>
      <c r="D10" s="6" t="s">
        <v>125</v>
      </c>
      <c r="E10" s="6" t="s">
        <v>125</v>
      </c>
      <c r="F10" s="6"/>
      <c r="G10" s="6"/>
      <c r="H10" s="8" t="s">
        <v>14</v>
      </c>
      <c r="I10" s="8" t="s">
        <v>125</v>
      </c>
      <c r="J10" s="8"/>
      <c r="K10" s="8"/>
      <c r="L10" s="8" t="s">
        <v>78</v>
      </c>
      <c r="M10" s="8" t="s">
        <v>91</v>
      </c>
      <c r="N10" s="8" t="s">
        <v>106</v>
      </c>
      <c r="O10" s="8" t="s">
        <v>125</v>
      </c>
      <c r="P10" s="8" t="s">
        <v>122</v>
      </c>
      <c r="Q10" s="8" t="s">
        <v>123</v>
      </c>
      <c r="R10" s="9" t="s">
        <v>125</v>
      </c>
    </row>
    <row r="11" spans="1:18" ht="24.75" customHeight="1" x14ac:dyDescent="0.2">
      <c r="A11" s="7">
        <v>8</v>
      </c>
      <c r="B11" s="6" t="s">
        <v>63</v>
      </c>
      <c r="C11" s="6" t="s">
        <v>115</v>
      </c>
      <c r="D11" s="6" t="s">
        <v>116</v>
      </c>
      <c r="E11" s="6" t="s">
        <v>125</v>
      </c>
      <c r="F11" s="6"/>
      <c r="G11" s="6"/>
      <c r="H11" s="8" t="s">
        <v>19</v>
      </c>
      <c r="I11" s="8" t="s">
        <v>125</v>
      </c>
      <c r="J11" s="8"/>
      <c r="K11" s="8"/>
      <c r="L11" s="8" t="s">
        <v>125</v>
      </c>
      <c r="M11" s="8" t="s">
        <v>92</v>
      </c>
      <c r="N11" s="8" t="s">
        <v>18</v>
      </c>
      <c r="O11" s="8" t="s">
        <v>125</v>
      </c>
      <c r="P11" s="8" t="s">
        <v>122</v>
      </c>
      <c r="Q11" s="8" t="s">
        <v>123</v>
      </c>
      <c r="R11" s="9" t="s">
        <v>23</v>
      </c>
    </row>
    <row r="12" spans="1:18" ht="24.75" customHeight="1" x14ac:dyDescent="0.2">
      <c r="A12" s="7">
        <v>9</v>
      </c>
      <c r="B12" s="6" t="s">
        <v>64</v>
      </c>
      <c r="C12" s="6" t="s">
        <v>115</v>
      </c>
      <c r="D12" s="6" t="s">
        <v>125</v>
      </c>
      <c r="E12" s="6" t="s">
        <v>70</v>
      </c>
      <c r="F12" s="6"/>
      <c r="G12" s="6"/>
      <c r="H12" s="8" t="s">
        <v>20</v>
      </c>
      <c r="I12" s="8" t="s">
        <v>125</v>
      </c>
      <c r="J12" s="8"/>
      <c r="K12" s="8"/>
      <c r="L12" s="8" t="s">
        <v>125</v>
      </c>
      <c r="M12" s="8" t="s">
        <v>125</v>
      </c>
      <c r="N12" s="8" t="s">
        <v>125</v>
      </c>
      <c r="O12" s="8" t="s">
        <v>125</v>
      </c>
      <c r="P12" s="8" t="s">
        <v>122</v>
      </c>
      <c r="Q12" s="8" t="s">
        <v>123</v>
      </c>
      <c r="R12" s="9" t="s">
        <v>22</v>
      </c>
    </row>
    <row r="13" spans="1:18" ht="24.75" customHeight="1" x14ac:dyDescent="0.2">
      <c r="A13" s="7">
        <v>10</v>
      </c>
      <c r="B13" s="6" t="s">
        <v>65</v>
      </c>
      <c r="C13" s="6" t="s">
        <v>10</v>
      </c>
      <c r="D13" s="6" t="s">
        <v>125</v>
      </c>
      <c r="E13" s="6" t="s">
        <v>125</v>
      </c>
      <c r="F13" s="6"/>
      <c r="G13" s="6"/>
      <c r="H13" s="8" t="s">
        <v>13</v>
      </c>
      <c r="I13" s="8" t="s">
        <v>125</v>
      </c>
      <c r="J13" s="8"/>
      <c r="K13" s="8"/>
      <c r="L13" s="8" t="s">
        <v>79</v>
      </c>
      <c r="M13" s="8" t="s">
        <v>93</v>
      </c>
      <c r="N13" s="8" t="s">
        <v>107</v>
      </c>
      <c r="O13" s="8" t="s">
        <v>17</v>
      </c>
      <c r="P13" s="8" t="s">
        <v>122</v>
      </c>
      <c r="Q13" s="8" t="s">
        <v>123</v>
      </c>
      <c r="R13" s="9" t="s">
        <v>125</v>
      </c>
    </row>
    <row r="14" spans="1:18" ht="24.75" customHeight="1" x14ac:dyDescent="0.2">
      <c r="A14" s="7">
        <v>11</v>
      </c>
      <c r="B14" s="6" t="s">
        <v>66</v>
      </c>
      <c r="C14" s="6" t="s">
        <v>115</v>
      </c>
      <c r="D14" s="6" t="s">
        <v>71</v>
      </c>
      <c r="E14" s="6" t="s">
        <v>125</v>
      </c>
      <c r="F14" s="6"/>
      <c r="G14" s="6"/>
      <c r="H14" s="8" t="s">
        <v>21</v>
      </c>
      <c r="I14" s="8" t="s">
        <v>125</v>
      </c>
      <c r="J14" s="8"/>
      <c r="K14" s="8"/>
      <c r="L14" s="8" t="s">
        <v>80</v>
      </c>
      <c r="M14" s="8" t="s">
        <v>94</v>
      </c>
      <c r="N14" s="8" t="s">
        <v>108</v>
      </c>
      <c r="O14" s="8" t="s">
        <v>125</v>
      </c>
      <c r="P14" s="8" t="s">
        <v>122</v>
      </c>
      <c r="Q14" s="8" t="s">
        <v>123</v>
      </c>
      <c r="R14" s="9" t="s">
        <v>24</v>
      </c>
    </row>
    <row r="15" spans="1:18" ht="24.75" customHeight="1" x14ac:dyDescent="0.2">
      <c r="A15" s="7">
        <v>12</v>
      </c>
      <c r="B15" s="6" t="s">
        <v>67</v>
      </c>
      <c r="C15" s="6" t="s">
        <v>10</v>
      </c>
      <c r="D15" s="6" t="s">
        <v>125</v>
      </c>
      <c r="E15" s="6" t="s">
        <v>125</v>
      </c>
      <c r="F15" s="6"/>
      <c r="G15" s="6"/>
      <c r="H15" s="8" t="s">
        <v>13</v>
      </c>
      <c r="I15" s="8" t="s">
        <v>125</v>
      </c>
      <c r="J15" s="8"/>
      <c r="K15" s="8"/>
      <c r="L15" s="8" t="s">
        <v>81</v>
      </c>
      <c r="M15" s="8" t="s">
        <v>95</v>
      </c>
      <c r="N15" s="8" t="s">
        <v>109</v>
      </c>
      <c r="O15" s="8" t="s">
        <v>17</v>
      </c>
      <c r="P15" s="8" t="s">
        <v>122</v>
      </c>
      <c r="Q15" s="8" t="s">
        <v>123</v>
      </c>
      <c r="R15" s="9" t="s">
        <v>125</v>
      </c>
    </row>
    <row r="16" spans="1:18" ht="24.75" customHeight="1" x14ac:dyDescent="0.2">
      <c r="A16" s="7">
        <v>13</v>
      </c>
      <c r="B16" s="6" t="s">
        <v>68</v>
      </c>
      <c r="C16" s="6" t="s">
        <v>115</v>
      </c>
      <c r="D16" s="6" t="s">
        <v>25</v>
      </c>
      <c r="E16" s="6" t="s">
        <v>125</v>
      </c>
      <c r="F16" s="6"/>
      <c r="G16" s="6"/>
      <c r="H16" s="8" t="s">
        <v>21</v>
      </c>
      <c r="I16" s="8" t="s">
        <v>125</v>
      </c>
      <c r="J16" s="8"/>
      <c r="K16" s="8"/>
      <c r="L16" s="8" t="s">
        <v>82</v>
      </c>
      <c r="M16" s="8" t="s">
        <v>96</v>
      </c>
      <c r="N16" s="8" t="s">
        <v>110</v>
      </c>
      <c r="O16" s="8" t="s">
        <v>125</v>
      </c>
      <c r="P16" s="8" t="s">
        <v>122</v>
      </c>
      <c r="Q16" s="8" t="s">
        <v>123</v>
      </c>
      <c r="R16" s="9" t="s">
        <v>125</v>
      </c>
    </row>
    <row r="17" spans="1:18" ht="24.75" customHeight="1" x14ac:dyDescent="0.2">
      <c r="A17" s="7">
        <v>15</v>
      </c>
      <c r="B17" s="6" t="s">
        <v>36</v>
      </c>
      <c r="C17" s="6" t="s">
        <v>37</v>
      </c>
      <c r="D17" s="6" t="s">
        <v>27</v>
      </c>
      <c r="E17" s="6" t="s">
        <v>125</v>
      </c>
      <c r="F17" s="6"/>
      <c r="G17" s="6"/>
      <c r="H17" s="8" t="s">
        <v>14</v>
      </c>
      <c r="I17" s="8" t="s">
        <v>125</v>
      </c>
      <c r="J17" s="8"/>
      <c r="K17" s="8"/>
      <c r="L17" s="8" t="s">
        <v>84</v>
      </c>
      <c r="M17" s="8" t="s">
        <v>98</v>
      </c>
      <c r="N17" s="8" t="s">
        <v>112</v>
      </c>
      <c r="O17" s="8" t="s">
        <v>125</v>
      </c>
      <c r="P17" s="8" t="s">
        <v>122</v>
      </c>
      <c r="Q17" s="8" t="s">
        <v>123</v>
      </c>
      <c r="R17" s="9" t="s">
        <v>125</v>
      </c>
    </row>
    <row r="18" spans="1:18" ht="24.75" customHeight="1" thickBot="1" x14ac:dyDescent="0.25">
      <c r="A18" s="10">
        <v>16</v>
      </c>
      <c r="B18" s="11" t="s">
        <v>69</v>
      </c>
      <c r="C18" s="11" t="s">
        <v>115</v>
      </c>
      <c r="D18" s="11" t="s">
        <v>125</v>
      </c>
      <c r="E18" s="11" t="s">
        <v>125</v>
      </c>
      <c r="F18" s="11"/>
      <c r="G18" s="11"/>
      <c r="H18" s="12" t="s">
        <v>13</v>
      </c>
      <c r="I18" s="12" t="s">
        <v>125</v>
      </c>
      <c r="J18" s="12"/>
      <c r="K18" s="12"/>
      <c r="L18" s="12" t="s">
        <v>85</v>
      </c>
      <c r="M18" s="12" t="s">
        <v>99</v>
      </c>
      <c r="N18" s="12" t="s">
        <v>113</v>
      </c>
      <c r="O18" s="12" t="s">
        <v>17</v>
      </c>
      <c r="P18" s="12" t="s">
        <v>122</v>
      </c>
      <c r="Q18" s="12" t="s">
        <v>123</v>
      </c>
      <c r="R18" s="13" t="s">
        <v>125</v>
      </c>
    </row>
  </sheetData>
  <mergeCells count="7">
    <mergeCell ref="R3:R4"/>
    <mergeCell ref="A3:A4"/>
    <mergeCell ref="B3:B4"/>
    <mergeCell ref="D3:G3"/>
    <mergeCell ref="H3:K3"/>
    <mergeCell ref="L3:O3"/>
    <mergeCell ref="P3:Q3"/>
  </mergeCells>
  <pageMargins left="0.25" right="0.25" top="0.75" bottom="0.75" header="0.3" footer="0.3"/>
  <pageSetup paperSize="9" scale="7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7FFB-0EB0-423B-91F0-4904D42DCEA5}">
  <sheetPr>
    <pageSetUpPr fitToPage="1"/>
  </sheetPr>
  <dimension ref="A1:Q18"/>
  <sheetViews>
    <sheetView tabSelected="1" workbookViewId="0">
      <selection activeCell="B5" sqref="B5"/>
    </sheetView>
  </sheetViews>
  <sheetFormatPr defaultColWidth="9.125" defaultRowHeight="14.25" x14ac:dyDescent="0.2"/>
  <cols>
    <col min="1" max="1" width="3.25" style="3" bestFit="1" customWidth="1"/>
    <col min="2" max="2" width="21.625" style="3" bestFit="1" customWidth="1"/>
    <col min="3" max="3" width="16.375" style="3" bestFit="1" customWidth="1"/>
    <col min="4" max="4" width="11.25" style="3" customWidth="1"/>
    <col min="5" max="5" width="7.375" style="3" bestFit="1" customWidth="1"/>
    <col min="6" max="7" width="4.25" style="3" customWidth="1"/>
    <col min="8" max="8" width="17.125" style="3" customWidth="1"/>
    <col min="9" max="9" width="14.25" style="3" bestFit="1" customWidth="1"/>
    <col min="10" max="10" width="11.25" style="3" hidden="1" customWidth="1"/>
    <col min="11" max="11" width="0" style="3" hidden="1" customWidth="1"/>
    <col min="12" max="12" width="17.125" style="3" customWidth="1"/>
    <col min="13" max="13" width="15.375" style="3" customWidth="1"/>
    <col min="14" max="14" width="15.875" style="3" customWidth="1"/>
    <col min="15" max="15" width="11.5" style="3" bestFit="1" customWidth="1"/>
    <col min="16" max="16" width="6.25" style="3" customWidth="1"/>
    <col min="17" max="17" width="25.25" style="3" bestFit="1" customWidth="1"/>
    <col min="18" max="16384" width="9.125" style="3"/>
  </cols>
  <sheetData>
    <row r="1" spans="1:17" ht="20.25" customHeight="1" x14ac:dyDescent="0.2">
      <c r="H1" s="31" t="s">
        <v>126</v>
      </c>
      <c r="I1" s="32" t="s">
        <v>127</v>
      </c>
    </row>
    <row r="2" spans="1:17" ht="15" thickBot="1" x14ac:dyDescent="0.25">
      <c r="O2" s="3" t="s">
        <v>212</v>
      </c>
      <c r="P2" s="3" t="s">
        <v>213</v>
      </c>
    </row>
    <row r="3" spans="1:17" ht="23.25" customHeight="1" x14ac:dyDescent="0.2">
      <c r="A3" s="34" t="s">
        <v>129</v>
      </c>
      <c r="B3" s="36" t="s">
        <v>128</v>
      </c>
      <c r="C3" s="46" t="s">
        <v>135</v>
      </c>
      <c r="D3" s="36" t="s">
        <v>192</v>
      </c>
      <c r="E3" s="36"/>
      <c r="F3" s="36"/>
      <c r="G3" s="36"/>
      <c r="H3" s="36" t="s">
        <v>193</v>
      </c>
      <c r="I3" s="36"/>
      <c r="J3" s="36"/>
      <c r="K3" s="36"/>
      <c r="L3" s="40" t="s">
        <v>194</v>
      </c>
      <c r="M3" s="41"/>
      <c r="N3" s="42"/>
      <c r="O3" s="40" t="s">
        <v>195</v>
      </c>
      <c r="P3" s="42"/>
      <c r="Q3" s="37" t="s">
        <v>173</v>
      </c>
    </row>
    <row r="4" spans="1:17" ht="23.25" customHeight="1" x14ac:dyDescent="0.2">
      <c r="A4" s="35"/>
      <c r="B4" s="39"/>
      <c r="C4" s="47"/>
      <c r="D4" s="5">
        <v>1</v>
      </c>
      <c r="E4" s="5">
        <v>2</v>
      </c>
      <c r="F4" s="5">
        <v>3</v>
      </c>
      <c r="G4" s="5">
        <v>4</v>
      </c>
      <c r="H4" s="5">
        <v>1</v>
      </c>
      <c r="I4" s="5">
        <v>2</v>
      </c>
      <c r="J4" s="5">
        <v>3</v>
      </c>
      <c r="K4" s="5">
        <v>4</v>
      </c>
      <c r="L4" s="5">
        <v>1</v>
      </c>
      <c r="M4" s="5">
        <v>2</v>
      </c>
      <c r="N4" s="5">
        <v>3</v>
      </c>
      <c r="O4" s="5">
        <v>4</v>
      </c>
      <c r="P4" s="5">
        <v>5</v>
      </c>
      <c r="Q4" s="38"/>
    </row>
    <row r="5" spans="1:17" ht="41.25" customHeight="1" x14ac:dyDescent="0.2">
      <c r="A5" s="7">
        <v>1</v>
      </c>
      <c r="B5" s="6" t="s">
        <v>130</v>
      </c>
      <c r="C5" s="6" t="s">
        <v>136</v>
      </c>
      <c r="D5" s="6" t="s">
        <v>125</v>
      </c>
      <c r="E5" s="6" t="s">
        <v>125</v>
      </c>
      <c r="F5" s="6"/>
      <c r="G5" s="6"/>
      <c r="H5" s="8" t="s">
        <v>151</v>
      </c>
      <c r="I5" s="8" t="s">
        <v>153</v>
      </c>
      <c r="J5" s="8"/>
      <c r="K5" s="8"/>
      <c r="L5" s="8" t="s">
        <v>155</v>
      </c>
      <c r="M5" s="8" t="s">
        <v>156</v>
      </c>
      <c r="N5" s="8" t="s">
        <v>157</v>
      </c>
      <c r="O5" s="8" t="s">
        <v>171</v>
      </c>
      <c r="P5" s="8" t="s">
        <v>172</v>
      </c>
      <c r="Q5" s="9" t="s">
        <v>174</v>
      </c>
    </row>
    <row r="6" spans="1:17" ht="41.25" customHeight="1" x14ac:dyDescent="0.2">
      <c r="A6" s="7">
        <v>2</v>
      </c>
      <c r="B6" s="6" t="s">
        <v>131</v>
      </c>
      <c r="C6" s="6" t="s">
        <v>136</v>
      </c>
      <c r="D6" s="6" t="s">
        <v>125</v>
      </c>
      <c r="E6" s="6" t="s">
        <v>125</v>
      </c>
      <c r="F6" s="6"/>
      <c r="G6" s="6"/>
      <c r="H6" s="8" t="s">
        <v>145</v>
      </c>
      <c r="I6" s="8" t="s">
        <v>125</v>
      </c>
      <c r="J6" s="8"/>
      <c r="K6" s="8"/>
      <c r="L6" s="8" t="s">
        <v>180</v>
      </c>
      <c r="M6" s="8" t="s">
        <v>159</v>
      </c>
      <c r="N6" s="8" t="s">
        <v>125</v>
      </c>
      <c r="O6" s="8" t="s">
        <v>171</v>
      </c>
      <c r="P6" s="8" t="s">
        <v>172</v>
      </c>
      <c r="Q6" s="9" t="s">
        <v>175</v>
      </c>
    </row>
    <row r="7" spans="1:17" ht="41.25" customHeight="1" x14ac:dyDescent="0.2">
      <c r="A7" s="7">
        <v>3</v>
      </c>
      <c r="B7" s="6" t="s">
        <v>214</v>
      </c>
      <c r="C7" s="6" t="s">
        <v>137</v>
      </c>
      <c r="D7" s="6" t="s">
        <v>125</v>
      </c>
      <c r="E7" s="6" t="s">
        <v>125</v>
      </c>
      <c r="F7" s="6"/>
      <c r="G7" s="6"/>
      <c r="H7" s="8" t="s">
        <v>152</v>
      </c>
      <c r="I7" s="8" t="s">
        <v>125</v>
      </c>
      <c r="J7" s="8"/>
      <c r="K7" s="8"/>
      <c r="L7" s="8" t="s">
        <v>181</v>
      </c>
      <c r="M7" s="8" t="s">
        <v>160</v>
      </c>
      <c r="N7" s="8" t="s">
        <v>158</v>
      </c>
      <c r="O7" s="8" t="s">
        <v>171</v>
      </c>
      <c r="P7" s="8" t="s">
        <v>172</v>
      </c>
      <c r="Q7" s="9" t="s">
        <v>125</v>
      </c>
    </row>
    <row r="8" spans="1:17" ht="41.25" customHeight="1" x14ac:dyDescent="0.2">
      <c r="A8" s="7">
        <v>4</v>
      </c>
      <c r="B8" s="6" t="s">
        <v>215</v>
      </c>
      <c r="C8" s="6" t="s">
        <v>136</v>
      </c>
      <c r="D8" s="6" t="s">
        <v>125</v>
      </c>
      <c r="E8" s="6" t="s">
        <v>125</v>
      </c>
      <c r="F8" s="6"/>
      <c r="G8" s="6"/>
      <c r="H8" s="8" t="s">
        <v>146</v>
      </c>
      <c r="I8" s="8" t="s">
        <v>125</v>
      </c>
      <c r="J8" s="8"/>
      <c r="K8" s="8"/>
      <c r="L8" s="8" t="s">
        <v>182</v>
      </c>
      <c r="M8" s="8" t="s">
        <v>161</v>
      </c>
      <c r="N8" s="8" t="s">
        <v>125</v>
      </c>
      <c r="O8" s="8" t="s">
        <v>171</v>
      </c>
      <c r="P8" s="8" t="s">
        <v>172</v>
      </c>
      <c r="Q8" s="9" t="s">
        <v>125</v>
      </c>
    </row>
    <row r="9" spans="1:17" ht="41.25" customHeight="1" x14ac:dyDescent="0.2">
      <c r="A9" s="7">
        <v>6</v>
      </c>
      <c r="B9" s="6" t="s">
        <v>216</v>
      </c>
      <c r="C9" s="6" t="s">
        <v>138</v>
      </c>
      <c r="D9" s="6" t="s">
        <v>125</v>
      </c>
      <c r="E9" s="6" t="s">
        <v>125</v>
      </c>
      <c r="F9" s="6"/>
      <c r="G9" s="6"/>
      <c r="H9" s="8" t="s">
        <v>147</v>
      </c>
      <c r="I9" s="8" t="s">
        <v>154</v>
      </c>
      <c r="J9" s="8"/>
      <c r="K9" s="8"/>
      <c r="L9" s="8" t="s">
        <v>183</v>
      </c>
      <c r="M9" s="8" t="s">
        <v>162</v>
      </c>
      <c r="N9" s="8" t="s">
        <v>125</v>
      </c>
      <c r="O9" s="8" t="s">
        <v>171</v>
      </c>
      <c r="P9" s="8" t="s">
        <v>172</v>
      </c>
      <c r="Q9" s="9" t="s">
        <v>176</v>
      </c>
    </row>
    <row r="10" spans="1:17" ht="41.25" customHeight="1" x14ac:dyDescent="0.2">
      <c r="A10" s="7">
        <v>7</v>
      </c>
      <c r="B10" s="6" t="s">
        <v>217</v>
      </c>
      <c r="C10" s="6" t="s">
        <v>136</v>
      </c>
      <c r="D10" s="6" t="s">
        <v>125</v>
      </c>
      <c r="E10" s="6" t="s">
        <v>125</v>
      </c>
      <c r="F10" s="6"/>
      <c r="G10" s="6"/>
      <c r="H10" s="8" t="s">
        <v>146</v>
      </c>
      <c r="I10" s="8" t="s">
        <v>125</v>
      </c>
      <c r="J10" s="8"/>
      <c r="K10" s="8"/>
      <c r="L10" s="8" t="s">
        <v>184</v>
      </c>
      <c r="M10" s="8" t="s">
        <v>163</v>
      </c>
      <c r="N10" s="8" t="s">
        <v>125</v>
      </c>
      <c r="O10" s="8" t="s">
        <v>171</v>
      </c>
      <c r="P10" s="8" t="s">
        <v>172</v>
      </c>
      <c r="Q10" s="9" t="s">
        <v>125</v>
      </c>
    </row>
    <row r="11" spans="1:17" ht="41.25" customHeight="1" x14ac:dyDescent="0.2">
      <c r="A11" s="7">
        <v>8</v>
      </c>
      <c r="B11" s="6" t="s">
        <v>218</v>
      </c>
      <c r="C11" s="6" t="s">
        <v>136</v>
      </c>
      <c r="D11" s="6" t="s">
        <v>140</v>
      </c>
      <c r="E11" s="6" t="s">
        <v>125</v>
      </c>
      <c r="F11" s="6"/>
      <c r="G11" s="6"/>
      <c r="H11" s="8" t="s">
        <v>148</v>
      </c>
      <c r="I11" s="8" t="s">
        <v>125</v>
      </c>
      <c r="J11" s="8"/>
      <c r="K11" s="8"/>
      <c r="L11" s="8"/>
      <c r="M11" s="8" t="s">
        <v>164</v>
      </c>
      <c r="N11" s="8" t="s">
        <v>125</v>
      </c>
      <c r="O11" s="8" t="s">
        <v>171</v>
      </c>
      <c r="P11" s="8" t="s">
        <v>172</v>
      </c>
      <c r="Q11" s="9" t="s">
        <v>177</v>
      </c>
    </row>
    <row r="12" spans="1:17" ht="41.25" customHeight="1" x14ac:dyDescent="0.2">
      <c r="A12" s="7">
        <v>9</v>
      </c>
      <c r="B12" s="6" t="s">
        <v>219</v>
      </c>
      <c r="C12" s="6" t="s">
        <v>136</v>
      </c>
      <c r="D12" s="6" t="s">
        <v>125</v>
      </c>
      <c r="E12" s="6" t="s">
        <v>141</v>
      </c>
      <c r="F12" s="6"/>
      <c r="G12" s="6"/>
      <c r="H12" s="8" t="s">
        <v>149</v>
      </c>
      <c r="I12" s="8" t="s">
        <v>125</v>
      </c>
      <c r="J12" s="8"/>
      <c r="K12" s="8"/>
      <c r="L12" s="8" t="s">
        <v>125</v>
      </c>
      <c r="M12" s="8" t="s">
        <v>125</v>
      </c>
      <c r="N12" s="8" t="s">
        <v>125</v>
      </c>
      <c r="O12" s="8" t="s">
        <v>171</v>
      </c>
      <c r="P12" s="8" t="s">
        <v>172</v>
      </c>
      <c r="Q12" s="9" t="s">
        <v>178</v>
      </c>
    </row>
    <row r="13" spans="1:17" ht="41.25" customHeight="1" x14ac:dyDescent="0.2">
      <c r="A13" s="7">
        <v>10</v>
      </c>
      <c r="B13" s="6" t="s">
        <v>220</v>
      </c>
      <c r="C13" s="6" t="s">
        <v>137</v>
      </c>
      <c r="D13" s="6" t="s">
        <v>125</v>
      </c>
      <c r="E13" s="6" t="s">
        <v>125</v>
      </c>
      <c r="F13" s="6"/>
      <c r="G13" s="6"/>
      <c r="H13" s="8" t="s">
        <v>150</v>
      </c>
      <c r="I13" s="8" t="s">
        <v>125</v>
      </c>
      <c r="J13" s="8"/>
      <c r="K13" s="8"/>
      <c r="L13" s="8" t="s">
        <v>186</v>
      </c>
      <c r="M13" s="8" t="s">
        <v>165</v>
      </c>
      <c r="N13" s="8" t="s">
        <v>158</v>
      </c>
      <c r="O13" s="8" t="s">
        <v>171</v>
      </c>
      <c r="P13" s="8" t="s">
        <v>172</v>
      </c>
      <c r="Q13" s="9" t="s">
        <v>125</v>
      </c>
    </row>
    <row r="14" spans="1:17" ht="41.25" customHeight="1" x14ac:dyDescent="0.2">
      <c r="A14" s="7">
        <v>11</v>
      </c>
      <c r="B14" s="6" t="s">
        <v>221</v>
      </c>
      <c r="C14" s="6" t="s">
        <v>136</v>
      </c>
      <c r="D14" s="6" t="s">
        <v>142</v>
      </c>
      <c r="E14" s="6" t="s">
        <v>125</v>
      </c>
      <c r="F14" s="6"/>
      <c r="G14" s="6"/>
      <c r="H14" s="8" t="s">
        <v>148</v>
      </c>
      <c r="I14" s="8" t="s">
        <v>125</v>
      </c>
      <c r="J14" s="8"/>
      <c r="K14" s="8"/>
      <c r="L14" s="8" t="s">
        <v>185</v>
      </c>
      <c r="M14" s="8" t="s">
        <v>166</v>
      </c>
      <c r="N14" s="8" t="s">
        <v>125</v>
      </c>
      <c r="O14" s="8" t="s">
        <v>171</v>
      </c>
      <c r="P14" s="8" t="s">
        <v>172</v>
      </c>
      <c r="Q14" s="9" t="s">
        <v>179</v>
      </c>
    </row>
    <row r="15" spans="1:17" ht="41.25" customHeight="1" x14ac:dyDescent="0.2">
      <c r="A15" s="7">
        <v>12</v>
      </c>
      <c r="B15" s="6" t="s">
        <v>222</v>
      </c>
      <c r="C15" s="6" t="s">
        <v>137</v>
      </c>
      <c r="D15" s="6" t="s">
        <v>125</v>
      </c>
      <c r="E15" s="6" t="s">
        <v>125</v>
      </c>
      <c r="F15" s="6"/>
      <c r="G15" s="6"/>
      <c r="H15" s="8" t="s">
        <v>152</v>
      </c>
      <c r="I15" s="8" t="s">
        <v>125</v>
      </c>
      <c r="J15" s="8"/>
      <c r="K15" s="8"/>
      <c r="L15" s="8" t="s">
        <v>187</v>
      </c>
      <c r="M15" s="8" t="s">
        <v>167</v>
      </c>
      <c r="N15" s="8" t="s">
        <v>158</v>
      </c>
      <c r="O15" s="8" t="s">
        <v>171</v>
      </c>
      <c r="P15" s="8" t="s">
        <v>172</v>
      </c>
      <c r="Q15" s="9" t="s">
        <v>125</v>
      </c>
    </row>
    <row r="16" spans="1:17" ht="41.25" customHeight="1" x14ac:dyDescent="0.2">
      <c r="A16" s="7">
        <v>13</v>
      </c>
      <c r="B16" s="6" t="s">
        <v>132</v>
      </c>
      <c r="C16" s="6" t="s">
        <v>136</v>
      </c>
      <c r="D16" s="28" t="s">
        <v>143</v>
      </c>
      <c r="E16" s="6" t="s">
        <v>125</v>
      </c>
      <c r="F16" s="6"/>
      <c r="G16" s="6"/>
      <c r="H16" s="8" t="s">
        <v>148</v>
      </c>
      <c r="I16" s="8" t="s">
        <v>125</v>
      </c>
      <c r="J16" s="8"/>
      <c r="K16" s="8"/>
      <c r="L16" s="8" t="s">
        <v>188</v>
      </c>
      <c r="M16" s="8" t="s">
        <v>168</v>
      </c>
      <c r="N16" s="8" t="s">
        <v>125</v>
      </c>
      <c r="O16" s="8" t="s">
        <v>171</v>
      </c>
      <c r="P16" s="8" t="s">
        <v>172</v>
      </c>
      <c r="Q16" s="9" t="s">
        <v>125</v>
      </c>
    </row>
    <row r="17" spans="1:17" ht="41.25" customHeight="1" x14ac:dyDescent="0.2">
      <c r="A17" s="7">
        <v>15</v>
      </c>
      <c r="B17" s="6" t="s">
        <v>133</v>
      </c>
      <c r="C17" s="6" t="s">
        <v>139</v>
      </c>
      <c r="D17" s="28" t="s">
        <v>144</v>
      </c>
      <c r="E17" s="6" t="s">
        <v>125</v>
      </c>
      <c r="F17" s="6"/>
      <c r="G17" s="6"/>
      <c r="H17" s="8" t="s">
        <v>146</v>
      </c>
      <c r="I17" s="8" t="s">
        <v>125</v>
      </c>
      <c r="J17" s="8"/>
      <c r="K17" s="8"/>
      <c r="L17" s="8" t="s">
        <v>189</v>
      </c>
      <c r="M17" s="8" t="s">
        <v>169</v>
      </c>
      <c r="N17" s="8" t="s">
        <v>125</v>
      </c>
      <c r="O17" s="8" t="s">
        <v>171</v>
      </c>
      <c r="P17" s="8" t="s">
        <v>172</v>
      </c>
      <c r="Q17" s="9" t="s">
        <v>125</v>
      </c>
    </row>
    <row r="18" spans="1:17" ht="41.25" customHeight="1" thickBot="1" x14ac:dyDescent="0.25">
      <c r="A18" s="10">
        <v>16</v>
      </c>
      <c r="B18" s="11" t="s">
        <v>134</v>
      </c>
      <c r="C18" s="11" t="s">
        <v>136</v>
      </c>
      <c r="D18" s="11" t="s">
        <v>125</v>
      </c>
      <c r="E18" s="11" t="s">
        <v>125</v>
      </c>
      <c r="F18" s="11"/>
      <c r="G18" s="11"/>
      <c r="H18" s="12" t="s">
        <v>152</v>
      </c>
      <c r="I18" s="12" t="s">
        <v>125</v>
      </c>
      <c r="J18" s="12"/>
      <c r="K18" s="12"/>
      <c r="L18" s="12" t="s">
        <v>190</v>
      </c>
      <c r="M18" s="12" t="s">
        <v>170</v>
      </c>
      <c r="N18" s="12" t="s">
        <v>158</v>
      </c>
      <c r="O18" s="12" t="s">
        <v>171</v>
      </c>
      <c r="P18" s="12" t="s">
        <v>172</v>
      </c>
      <c r="Q18" s="13" t="s">
        <v>125</v>
      </c>
    </row>
  </sheetData>
  <mergeCells count="8">
    <mergeCell ref="Q3:Q4"/>
    <mergeCell ref="C3:C4"/>
    <mergeCell ref="A3:A4"/>
    <mergeCell ref="B3:B4"/>
    <mergeCell ref="D3:G3"/>
    <mergeCell ref="H3:K3"/>
    <mergeCell ref="L3:N3"/>
    <mergeCell ref="O3:P3"/>
  </mergeCells>
  <phoneticPr fontId="7" type="noConversion"/>
  <pageMargins left="0.25" right="0.25" top="0.75" bottom="0.75" header="0.3" footer="0.3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CCCDF-732A-4A7F-A06B-DCEA6AFA38B2}">
  <sheetPr>
    <pageSetUpPr fitToPage="1"/>
  </sheetPr>
  <dimension ref="A1:P18"/>
  <sheetViews>
    <sheetView workbookViewId="0">
      <selection activeCell="B7" sqref="B7"/>
    </sheetView>
  </sheetViews>
  <sheetFormatPr defaultColWidth="9.125" defaultRowHeight="14.25" x14ac:dyDescent="0.2"/>
  <cols>
    <col min="1" max="1" width="3.25" style="3" bestFit="1" customWidth="1"/>
    <col min="2" max="2" width="36.375" style="3" customWidth="1"/>
    <col min="3" max="3" width="16.375" style="3" hidden="1" customWidth="1"/>
    <col min="4" max="4" width="9.875" style="3" bestFit="1" customWidth="1"/>
    <col min="5" max="5" width="8.625" style="3" bestFit="1" customWidth="1"/>
    <col min="6" max="6" width="4.25" style="3" customWidth="1"/>
    <col min="7" max="7" width="15.875" style="3" customWidth="1"/>
    <col min="8" max="8" width="14.25" style="3" bestFit="1" customWidth="1"/>
    <col min="9" max="9" width="11.25" style="3" hidden="1" customWidth="1"/>
    <col min="10" max="10" width="0" style="3" hidden="1" customWidth="1"/>
    <col min="11" max="11" width="15.875" style="3" customWidth="1"/>
    <col min="12" max="12" width="15.375" style="3" customWidth="1"/>
    <col min="13" max="13" width="15.875" style="3" customWidth="1"/>
    <col min="14" max="14" width="11.5" style="3" bestFit="1" customWidth="1"/>
    <col min="15" max="15" width="6.25" style="3" customWidth="1"/>
    <col min="16" max="16" width="23.25" style="3" customWidth="1"/>
    <col min="17" max="16384" width="9.125" style="3"/>
  </cols>
  <sheetData>
    <row r="1" spans="1:16" ht="18" x14ac:dyDescent="0.2">
      <c r="G1" s="48" t="s">
        <v>191</v>
      </c>
      <c r="H1" s="48"/>
    </row>
    <row r="2" spans="1:16" ht="15" thickBot="1" x14ac:dyDescent="0.25"/>
    <row r="3" spans="1:16" ht="23.25" customHeight="1" x14ac:dyDescent="0.2">
      <c r="A3" s="34" t="s">
        <v>129</v>
      </c>
      <c r="B3" s="36" t="s">
        <v>196</v>
      </c>
      <c r="C3" s="46" t="s">
        <v>135</v>
      </c>
      <c r="D3" s="36" t="s">
        <v>192</v>
      </c>
      <c r="E3" s="36"/>
      <c r="F3" s="36"/>
      <c r="G3" s="36" t="s">
        <v>193</v>
      </c>
      <c r="H3" s="36"/>
      <c r="I3" s="36"/>
      <c r="J3" s="36"/>
      <c r="K3" s="40" t="s">
        <v>194</v>
      </c>
      <c r="L3" s="41"/>
      <c r="M3" s="42"/>
      <c r="N3" s="40" t="s">
        <v>195</v>
      </c>
      <c r="O3" s="42"/>
      <c r="P3" s="37" t="s">
        <v>173</v>
      </c>
    </row>
    <row r="4" spans="1:16" ht="23.25" customHeight="1" x14ac:dyDescent="0.2">
      <c r="A4" s="35"/>
      <c r="B4" s="39"/>
      <c r="C4" s="47"/>
      <c r="D4" s="5">
        <v>1</v>
      </c>
      <c r="E4" s="5">
        <v>2</v>
      </c>
      <c r="F4" s="5">
        <v>3</v>
      </c>
      <c r="G4" s="5">
        <v>1</v>
      </c>
      <c r="H4" s="5">
        <v>2</v>
      </c>
      <c r="I4" s="5">
        <v>3</v>
      </c>
      <c r="J4" s="5">
        <v>4</v>
      </c>
      <c r="K4" s="5">
        <v>1</v>
      </c>
      <c r="L4" s="5">
        <v>2</v>
      </c>
      <c r="M4" s="5">
        <v>3</v>
      </c>
      <c r="N4" s="5">
        <v>4</v>
      </c>
      <c r="O4" s="5">
        <v>5</v>
      </c>
      <c r="P4" s="38"/>
    </row>
    <row r="5" spans="1:16" ht="41.25" customHeight="1" x14ac:dyDescent="0.2">
      <c r="A5" s="7">
        <v>1</v>
      </c>
      <c r="B5" s="30" t="s">
        <v>197</v>
      </c>
      <c r="C5" s="6" t="s">
        <v>136</v>
      </c>
      <c r="D5" s="6" t="s">
        <v>125</v>
      </c>
      <c r="E5" s="6" t="s">
        <v>125</v>
      </c>
      <c r="F5" s="6"/>
      <c r="G5" s="8" t="s">
        <v>151</v>
      </c>
      <c r="H5" s="8" t="s">
        <v>153</v>
      </c>
      <c r="I5" s="8"/>
      <c r="J5" s="8"/>
      <c r="K5" s="8" t="s">
        <v>155</v>
      </c>
      <c r="L5" s="8" t="s">
        <v>156</v>
      </c>
      <c r="M5" s="8" t="s">
        <v>157</v>
      </c>
      <c r="N5" s="8" t="s">
        <v>171</v>
      </c>
      <c r="O5" s="8" t="s">
        <v>172</v>
      </c>
      <c r="P5" s="9" t="s">
        <v>174</v>
      </c>
    </row>
    <row r="6" spans="1:16" ht="41.25" customHeight="1" x14ac:dyDescent="0.2">
      <c r="A6" s="7">
        <v>2</v>
      </c>
      <c r="B6" s="30" t="s">
        <v>198</v>
      </c>
      <c r="C6" s="6" t="s">
        <v>136</v>
      </c>
      <c r="D6" s="6" t="s">
        <v>125</v>
      </c>
      <c r="E6" s="6" t="s">
        <v>125</v>
      </c>
      <c r="F6" s="6"/>
      <c r="G6" s="8" t="s">
        <v>145</v>
      </c>
      <c r="H6" s="8" t="s">
        <v>125</v>
      </c>
      <c r="I6" s="8"/>
      <c r="J6" s="8"/>
      <c r="K6" s="8" t="s">
        <v>180</v>
      </c>
      <c r="L6" s="8" t="s">
        <v>159</v>
      </c>
      <c r="M6" s="8" t="s">
        <v>125</v>
      </c>
      <c r="N6" s="8" t="s">
        <v>171</v>
      </c>
      <c r="O6" s="8" t="s">
        <v>172</v>
      </c>
      <c r="P6" s="9" t="s">
        <v>175</v>
      </c>
    </row>
    <row r="7" spans="1:16" ht="41.25" customHeight="1" x14ac:dyDescent="0.2">
      <c r="A7" s="7">
        <v>3</v>
      </c>
      <c r="B7" s="28" t="s">
        <v>199</v>
      </c>
      <c r="C7" s="6" t="s">
        <v>137</v>
      </c>
      <c r="D7" s="6" t="s">
        <v>125</v>
      </c>
      <c r="E7" s="6" t="s">
        <v>125</v>
      </c>
      <c r="F7" s="6"/>
      <c r="G7" s="8" t="s">
        <v>152</v>
      </c>
      <c r="H7" s="8" t="s">
        <v>125</v>
      </c>
      <c r="I7" s="8"/>
      <c r="J7" s="8"/>
      <c r="K7" s="8" t="s">
        <v>181</v>
      </c>
      <c r="L7" s="8" t="s">
        <v>160</v>
      </c>
      <c r="M7" s="8" t="s">
        <v>158</v>
      </c>
      <c r="N7" s="8" t="s">
        <v>171</v>
      </c>
      <c r="O7" s="8" t="s">
        <v>172</v>
      </c>
      <c r="P7" s="9" t="s">
        <v>125</v>
      </c>
    </row>
    <row r="8" spans="1:16" ht="41.25" customHeight="1" x14ac:dyDescent="0.2">
      <c r="A8" s="7">
        <v>4</v>
      </c>
      <c r="B8" s="6" t="s">
        <v>200</v>
      </c>
      <c r="C8" s="6" t="s">
        <v>136</v>
      </c>
      <c r="D8" s="6" t="s">
        <v>125</v>
      </c>
      <c r="E8" s="6" t="s">
        <v>125</v>
      </c>
      <c r="F8" s="6"/>
      <c r="G8" s="8" t="s">
        <v>146</v>
      </c>
      <c r="H8" s="8" t="s">
        <v>125</v>
      </c>
      <c r="I8" s="8"/>
      <c r="J8" s="8"/>
      <c r="K8" s="8" t="s">
        <v>182</v>
      </c>
      <c r="L8" s="8" t="s">
        <v>161</v>
      </c>
      <c r="M8" s="8" t="s">
        <v>125</v>
      </c>
      <c r="N8" s="8" t="s">
        <v>171</v>
      </c>
      <c r="O8" s="8" t="s">
        <v>172</v>
      </c>
      <c r="P8" s="9" t="s">
        <v>125</v>
      </c>
    </row>
    <row r="9" spans="1:16" ht="41.25" customHeight="1" x14ac:dyDescent="0.2">
      <c r="A9" s="7">
        <v>5</v>
      </c>
      <c r="B9" s="28" t="s">
        <v>201</v>
      </c>
      <c r="C9" s="6" t="s">
        <v>138</v>
      </c>
      <c r="D9" s="6" t="s">
        <v>125</v>
      </c>
      <c r="E9" s="6" t="s">
        <v>125</v>
      </c>
      <c r="F9" s="6"/>
      <c r="G9" s="8" t="s">
        <v>147</v>
      </c>
      <c r="H9" s="8" t="s">
        <v>154</v>
      </c>
      <c r="I9" s="8"/>
      <c r="J9" s="8"/>
      <c r="K9" s="8" t="s">
        <v>183</v>
      </c>
      <c r="L9" s="8" t="s">
        <v>162</v>
      </c>
      <c r="M9" s="8" t="s">
        <v>125</v>
      </c>
      <c r="N9" s="8" t="s">
        <v>171</v>
      </c>
      <c r="O9" s="8" t="s">
        <v>172</v>
      </c>
      <c r="P9" s="9" t="s">
        <v>176</v>
      </c>
    </row>
    <row r="10" spans="1:16" ht="41.25" customHeight="1" x14ac:dyDescent="0.2">
      <c r="A10" s="7">
        <v>6</v>
      </c>
      <c r="B10" s="28" t="s">
        <v>202</v>
      </c>
      <c r="C10" s="6" t="s">
        <v>136</v>
      </c>
      <c r="D10" s="6" t="s">
        <v>125</v>
      </c>
      <c r="E10" s="6" t="s">
        <v>125</v>
      </c>
      <c r="F10" s="6"/>
      <c r="G10" s="8" t="s">
        <v>146</v>
      </c>
      <c r="H10" s="8" t="s">
        <v>125</v>
      </c>
      <c r="I10" s="8"/>
      <c r="J10" s="8"/>
      <c r="K10" s="8" t="s">
        <v>184</v>
      </c>
      <c r="L10" s="8" t="s">
        <v>163</v>
      </c>
      <c r="M10" s="8" t="s">
        <v>125</v>
      </c>
      <c r="N10" s="8" t="s">
        <v>171</v>
      </c>
      <c r="O10" s="8" t="s">
        <v>172</v>
      </c>
      <c r="P10" s="9" t="s">
        <v>125</v>
      </c>
    </row>
    <row r="11" spans="1:16" ht="41.25" customHeight="1" x14ac:dyDescent="0.2">
      <c r="A11" s="7">
        <v>7</v>
      </c>
      <c r="B11" s="28" t="s">
        <v>203</v>
      </c>
      <c r="C11" s="6" t="s">
        <v>136</v>
      </c>
      <c r="D11" s="6" t="s">
        <v>140</v>
      </c>
      <c r="E11" s="6" t="s">
        <v>125</v>
      </c>
      <c r="F11" s="6"/>
      <c r="G11" s="8" t="s">
        <v>148</v>
      </c>
      <c r="H11" s="8" t="s">
        <v>125</v>
      </c>
      <c r="I11" s="8"/>
      <c r="J11" s="8"/>
      <c r="K11" s="8"/>
      <c r="L11" s="8" t="s">
        <v>164</v>
      </c>
      <c r="M11" s="8" t="s">
        <v>125</v>
      </c>
      <c r="N11" s="8" t="s">
        <v>171</v>
      </c>
      <c r="O11" s="8" t="s">
        <v>172</v>
      </c>
      <c r="P11" s="9" t="s">
        <v>177</v>
      </c>
    </row>
    <row r="12" spans="1:16" ht="41.25" customHeight="1" x14ac:dyDescent="0.2">
      <c r="A12" s="7">
        <v>8</v>
      </c>
      <c r="B12" s="6" t="s">
        <v>204</v>
      </c>
      <c r="C12" s="6" t="s">
        <v>136</v>
      </c>
      <c r="D12" s="6" t="s">
        <v>125</v>
      </c>
      <c r="E12" s="6"/>
      <c r="F12" s="6"/>
      <c r="G12" s="8" t="s">
        <v>149</v>
      </c>
      <c r="H12" s="8" t="s">
        <v>125</v>
      </c>
      <c r="I12" s="8"/>
      <c r="J12" s="8"/>
      <c r="K12" s="8" t="s">
        <v>125</v>
      </c>
      <c r="L12" s="8" t="s">
        <v>125</v>
      </c>
      <c r="M12" s="8" t="s">
        <v>125</v>
      </c>
      <c r="N12" s="8" t="s">
        <v>171</v>
      </c>
      <c r="O12" s="8" t="s">
        <v>172</v>
      </c>
      <c r="P12" s="9" t="s">
        <v>178</v>
      </c>
    </row>
    <row r="13" spans="1:16" ht="41.25" customHeight="1" x14ac:dyDescent="0.2">
      <c r="A13" s="7">
        <v>9</v>
      </c>
      <c r="B13" s="28" t="s">
        <v>205</v>
      </c>
      <c r="C13" s="6" t="s">
        <v>137</v>
      </c>
      <c r="D13" s="6" t="s">
        <v>125</v>
      </c>
      <c r="E13" s="6" t="s">
        <v>210</v>
      </c>
      <c r="F13" s="6"/>
      <c r="G13" s="8" t="s">
        <v>150</v>
      </c>
      <c r="H13" s="8" t="s">
        <v>125</v>
      </c>
      <c r="I13" s="8"/>
      <c r="J13" s="8"/>
      <c r="K13" s="8" t="s">
        <v>186</v>
      </c>
      <c r="L13" s="8" t="s">
        <v>165</v>
      </c>
      <c r="M13" s="8" t="s">
        <v>158</v>
      </c>
      <c r="N13" s="8" t="s">
        <v>171</v>
      </c>
      <c r="O13" s="8" t="s">
        <v>172</v>
      </c>
      <c r="P13" s="9" t="s">
        <v>125</v>
      </c>
    </row>
    <row r="14" spans="1:16" ht="41.25" customHeight="1" x14ac:dyDescent="0.2">
      <c r="A14" s="7">
        <v>10</v>
      </c>
      <c r="B14" s="28" t="s">
        <v>206</v>
      </c>
      <c r="C14" s="6" t="s">
        <v>136</v>
      </c>
      <c r="D14" s="6" t="s">
        <v>142</v>
      </c>
      <c r="E14" s="6" t="s">
        <v>125</v>
      </c>
      <c r="F14" s="6"/>
      <c r="G14" s="8" t="s">
        <v>148</v>
      </c>
      <c r="H14" s="8" t="s">
        <v>125</v>
      </c>
      <c r="I14" s="8"/>
      <c r="J14" s="8"/>
      <c r="K14" s="8" t="s">
        <v>185</v>
      </c>
      <c r="L14" s="8" t="s">
        <v>166</v>
      </c>
      <c r="M14" s="8" t="s">
        <v>125</v>
      </c>
      <c r="N14" s="8" t="s">
        <v>171</v>
      </c>
      <c r="O14" s="8" t="s">
        <v>172</v>
      </c>
      <c r="P14" s="9" t="s">
        <v>179</v>
      </c>
    </row>
    <row r="15" spans="1:16" ht="41.25" customHeight="1" x14ac:dyDescent="0.2">
      <c r="A15" s="7">
        <v>11</v>
      </c>
      <c r="B15" s="28" t="s">
        <v>207</v>
      </c>
      <c r="C15" s="6" t="s">
        <v>137</v>
      </c>
      <c r="D15" s="6" t="s">
        <v>125</v>
      </c>
      <c r="E15" s="6" t="s">
        <v>125</v>
      </c>
      <c r="F15" s="29" t="s">
        <v>211</v>
      </c>
      <c r="G15" s="8" t="s">
        <v>152</v>
      </c>
      <c r="H15" s="8" t="s">
        <v>125</v>
      </c>
      <c r="I15" s="8"/>
      <c r="J15" s="8"/>
      <c r="K15" s="8" t="s">
        <v>187</v>
      </c>
      <c r="L15" s="8" t="s">
        <v>167</v>
      </c>
      <c r="M15" s="8" t="s">
        <v>158</v>
      </c>
      <c r="N15" s="8" t="s">
        <v>171</v>
      </c>
      <c r="O15" s="8" t="s">
        <v>172</v>
      </c>
      <c r="P15" s="9" t="s">
        <v>125</v>
      </c>
    </row>
    <row r="16" spans="1:16" ht="41.25" customHeight="1" x14ac:dyDescent="0.2">
      <c r="A16" s="7">
        <v>12</v>
      </c>
      <c r="B16" s="6" t="s">
        <v>208</v>
      </c>
      <c r="C16" s="6" t="s">
        <v>136</v>
      </c>
      <c r="D16" s="28" t="s">
        <v>143</v>
      </c>
      <c r="E16" s="6" t="s">
        <v>125</v>
      </c>
      <c r="F16" s="6"/>
      <c r="G16" s="8" t="s">
        <v>148</v>
      </c>
      <c r="H16" s="8" t="s">
        <v>125</v>
      </c>
      <c r="I16" s="8"/>
      <c r="J16" s="8"/>
      <c r="K16" s="8" t="s">
        <v>188</v>
      </c>
      <c r="L16" s="8" t="s">
        <v>168</v>
      </c>
      <c r="M16" s="8" t="s">
        <v>125</v>
      </c>
      <c r="N16" s="8" t="s">
        <v>171</v>
      </c>
      <c r="O16" s="8" t="s">
        <v>172</v>
      </c>
      <c r="P16" s="9" t="s">
        <v>125</v>
      </c>
    </row>
    <row r="17" spans="1:16" ht="41.25" customHeight="1" x14ac:dyDescent="0.2">
      <c r="A17" s="7">
        <v>13</v>
      </c>
      <c r="B17" s="28" t="s">
        <v>209</v>
      </c>
      <c r="C17" s="6" t="s">
        <v>139</v>
      </c>
      <c r="D17" s="28" t="s">
        <v>144</v>
      </c>
      <c r="E17" s="6" t="s">
        <v>125</v>
      </c>
      <c r="F17" s="6"/>
      <c r="G17" s="8" t="s">
        <v>146</v>
      </c>
      <c r="H17" s="8" t="s">
        <v>125</v>
      </c>
      <c r="I17" s="8"/>
      <c r="J17" s="8"/>
      <c r="K17" s="8" t="s">
        <v>189</v>
      </c>
      <c r="L17" s="8" t="s">
        <v>169</v>
      </c>
      <c r="M17" s="8" t="s">
        <v>125</v>
      </c>
      <c r="N17" s="8" t="s">
        <v>171</v>
      </c>
      <c r="O17" s="8" t="s">
        <v>172</v>
      </c>
      <c r="P17" s="9" t="s">
        <v>125</v>
      </c>
    </row>
    <row r="18" spans="1:16" ht="41.25" customHeight="1" thickBot="1" x14ac:dyDescent="0.25">
      <c r="A18" s="10">
        <v>14</v>
      </c>
      <c r="B18" s="11" t="s">
        <v>134</v>
      </c>
      <c r="C18" s="11" t="s">
        <v>136</v>
      </c>
      <c r="D18" s="11" t="s">
        <v>125</v>
      </c>
      <c r="E18" s="11" t="s">
        <v>125</v>
      </c>
      <c r="F18" s="11"/>
      <c r="G18" s="12" t="s">
        <v>152</v>
      </c>
      <c r="H18" s="12" t="s">
        <v>125</v>
      </c>
      <c r="I18" s="12"/>
      <c r="J18" s="12"/>
      <c r="K18" s="12" t="s">
        <v>190</v>
      </c>
      <c r="L18" s="12" t="s">
        <v>170</v>
      </c>
      <c r="M18" s="12" t="s">
        <v>158</v>
      </c>
      <c r="N18" s="12" t="s">
        <v>171</v>
      </c>
      <c r="O18" s="12" t="s">
        <v>172</v>
      </c>
      <c r="P18" s="13" t="s">
        <v>125</v>
      </c>
    </row>
  </sheetData>
  <mergeCells count="9">
    <mergeCell ref="P3:P4"/>
    <mergeCell ref="G1:H1"/>
    <mergeCell ref="C3:C4"/>
    <mergeCell ref="A3:A4"/>
    <mergeCell ref="B3:B4"/>
    <mergeCell ref="D3:F3"/>
    <mergeCell ref="G3:J3"/>
    <mergeCell ref="K3:M3"/>
    <mergeCell ref="N3:O3"/>
  </mergeCells>
  <pageMargins left="0.25" right="0.25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All-Stages</vt:lpstr>
      <vt:lpstr>Alu-Stages</vt:lpstr>
      <vt:lpstr>Steel-Stages</vt:lpstr>
      <vt:lpstr>All-Stages Values</vt:lpstr>
      <vt:lpstr>Alu-Values</vt:lpstr>
      <vt:lpstr>Steel-Stages (2)</vt:lpstr>
      <vt:lpstr>Industrial Costs-Stages</vt:lpstr>
      <vt:lpstr>Project Costs-Activities</vt:lpstr>
      <vt:lpstr>'Alu-Stages'!Print_Area</vt:lpstr>
      <vt:lpstr>'Alu-Values'!Print_Area</vt:lpstr>
      <vt:lpstr>'Industrial Costs-Stages'!Print_Area</vt:lpstr>
      <vt:lpstr>'Project Costs-Activities'!Print_Area</vt:lpstr>
      <vt:lpstr>'Steel-Stages'!Print_Area</vt:lpstr>
      <vt:lpstr>'Steel-Stages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Ouf</dc:creator>
  <cp:lastModifiedBy>Ahmed Abuouf</cp:lastModifiedBy>
  <cp:lastPrinted>2024-01-14T06:20:48Z</cp:lastPrinted>
  <dcterms:created xsi:type="dcterms:W3CDTF">2015-06-05T18:17:20Z</dcterms:created>
  <dcterms:modified xsi:type="dcterms:W3CDTF">2024-01-15T13:16:16Z</dcterms:modified>
</cp:coreProperties>
</file>