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Shapiro\QueBIT Documents\Training\Java Class\C4.5\"/>
    </mc:Choice>
  </mc:AlternateContent>
  <bookViews>
    <workbookView xWindow="0" yWindow="0" windowWidth="25980" windowHeight="7920"/>
  </bookViews>
  <sheets>
    <sheet name="PlayGolf Calculation" sheetId="1" r:id="rId1"/>
    <sheet name="Continuous IV Example" sheetId="3" r:id="rId2"/>
    <sheet name="Entropy Function" sheetId="2" r:id="rId3"/>
  </sheets>
  <definedNames>
    <definedName name="_xlnm._FilterDatabase" localSheetId="1" hidden="1">'Continuous IV Example'!$B$2:$K$32</definedName>
    <definedName name="_xlnm._FilterDatabase" localSheetId="0" hidden="1">'PlayGolf Calculation'!$B$3:$H$17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H40" i="3"/>
  <c r="H39" i="3"/>
  <c r="H38" i="3"/>
  <c r="H37" i="3"/>
  <c r="AR24"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 i="3"/>
  <c r="AR22" i="3" s="1"/>
  <c r="H44" i="3"/>
  <c r="H43" i="3"/>
  <c r="H42" i="3"/>
  <c r="H41" i="3"/>
  <c r="BB21" i="1"/>
  <c r="BB20" i="1"/>
  <c r="BB16" i="1"/>
  <c r="BB15" i="1"/>
  <c r="BB14" i="1"/>
  <c r="AW29" i="1"/>
  <c r="AW25" i="1"/>
  <c r="AW21" i="1"/>
  <c r="AW17" i="1"/>
  <c r="AB24" i="1"/>
  <c r="AE22" i="3"/>
  <c r="AF22" i="3" s="1"/>
  <c r="AF38" i="3"/>
  <c r="AE86" i="3"/>
  <c r="AF86" i="3" s="1"/>
  <c r="AE85" i="3"/>
  <c r="AF85" i="3" s="1"/>
  <c r="AE82" i="3"/>
  <c r="AF82" i="3" s="1"/>
  <c r="AE81" i="3"/>
  <c r="AF81" i="3" s="1"/>
  <c r="AE78" i="3"/>
  <c r="AF78" i="3" s="1"/>
  <c r="AE77" i="3"/>
  <c r="AF77" i="3" s="1"/>
  <c r="AE74" i="3"/>
  <c r="AF74" i="3" s="1"/>
  <c r="AE73" i="3"/>
  <c r="AF73" i="3" s="1"/>
  <c r="AE70" i="3"/>
  <c r="AF70" i="3" s="1"/>
  <c r="AE69" i="3"/>
  <c r="AF69" i="3" s="1"/>
  <c r="AE66" i="3"/>
  <c r="AF66" i="3" s="1"/>
  <c r="AE65" i="3"/>
  <c r="AF65" i="3" s="1"/>
  <c r="AE62" i="3"/>
  <c r="AF62" i="3" s="1"/>
  <c r="AE61" i="3"/>
  <c r="AF61" i="3" s="1"/>
  <c r="AE58" i="3"/>
  <c r="AF58" i="3" s="1"/>
  <c r="AE57" i="3"/>
  <c r="AF57" i="3" s="1"/>
  <c r="AE54" i="3"/>
  <c r="AF54" i="3" s="1"/>
  <c r="AE53" i="3"/>
  <c r="AF53" i="3" s="1"/>
  <c r="AE50" i="3"/>
  <c r="AF50" i="3" s="1"/>
  <c r="AE49" i="3"/>
  <c r="AF49" i="3" s="1"/>
  <c r="AE46" i="3"/>
  <c r="AF46" i="3" s="1"/>
  <c r="AE45" i="3"/>
  <c r="AF45" i="3" s="1"/>
  <c r="AE42" i="3"/>
  <c r="AF42" i="3" s="1"/>
  <c r="AE41" i="3"/>
  <c r="AF41" i="3" s="1"/>
  <c r="AE38" i="3"/>
  <c r="AE37" i="3"/>
  <c r="AF37" i="3" s="1"/>
  <c r="AE34" i="3"/>
  <c r="AF34" i="3" s="1"/>
  <c r="AE33" i="3"/>
  <c r="AF33" i="3" s="1"/>
  <c r="AE30" i="3"/>
  <c r="AF30" i="3" s="1"/>
  <c r="AE29" i="3"/>
  <c r="AF29" i="3" s="1"/>
  <c r="AE26" i="3"/>
  <c r="AF26" i="3" s="1"/>
  <c r="AE25" i="3"/>
  <c r="AF25" i="3" s="1"/>
  <c r="AE21" i="3"/>
  <c r="AF21" i="3" s="1"/>
  <c r="AF23" i="3" s="1"/>
  <c r="AE18" i="3"/>
  <c r="AF18" i="3" s="1"/>
  <c r="AE17" i="3"/>
  <c r="AF17" i="3" s="1"/>
  <c r="AE14" i="3"/>
  <c r="AF14" i="3" s="1"/>
  <c r="AE13" i="3"/>
  <c r="AF13" i="3" s="1"/>
  <c r="AF15" i="3" s="1"/>
  <c r="AE10" i="3"/>
  <c r="AF10" i="3" s="1"/>
  <c r="AE9" i="3"/>
  <c r="AF9" i="3" s="1"/>
  <c r="AE6" i="3"/>
  <c r="AF6" i="3" s="1"/>
  <c r="AE5" i="3"/>
  <c r="AF5" i="3" s="1"/>
  <c r="Y86" i="3"/>
  <c r="Y82" i="3"/>
  <c r="Y78" i="3"/>
  <c r="Y74" i="3"/>
  <c r="Y70" i="3"/>
  <c r="Y66" i="3"/>
  <c r="Y62" i="3"/>
  <c r="Y58" i="3"/>
  <c r="Y54" i="3"/>
  <c r="Y50" i="3"/>
  <c r="Y46" i="3"/>
  <c r="Y42" i="3"/>
  <c r="Y38" i="3"/>
  <c r="Y34" i="3"/>
  <c r="Y30" i="3"/>
  <c r="Y26" i="3"/>
  <c r="Y22" i="3"/>
  <c r="Y18" i="3"/>
  <c r="Y14" i="3"/>
  <c r="Y10" i="3"/>
  <c r="Y5" i="3"/>
  <c r="Y6" i="3"/>
  <c r="U130" i="3"/>
  <c r="U129" i="3"/>
  <c r="U128" i="3"/>
  <c r="Z86" i="3" s="1"/>
  <c r="T124" i="3"/>
  <c r="U124" i="3" s="1"/>
  <c r="T123" i="3"/>
  <c r="U123" i="3" s="1"/>
  <c r="T122" i="3"/>
  <c r="U122" i="3" s="1"/>
  <c r="Z82" i="3" s="1"/>
  <c r="T118" i="3"/>
  <c r="U118" i="3" s="1"/>
  <c r="T117" i="3"/>
  <c r="U117" i="3" s="1"/>
  <c r="T116" i="3"/>
  <c r="U116" i="3" s="1"/>
  <c r="T112" i="3"/>
  <c r="U112" i="3" s="1"/>
  <c r="T111" i="3"/>
  <c r="U111" i="3" s="1"/>
  <c r="T110" i="3"/>
  <c r="U110" i="3" s="1"/>
  <c r="T106" i="3"/>
  <c r="U106" i="3" s="1"/>
  <c r="T105" i="3"/>
  <c r="U105" i="3" s="1"/>
  <c r="T104" i="3"/>
  <c r="U104" i="3" s="1"/>
  <c r="Z70" i="3" s="1"/>
  <c r="T100" i="3"/>
  <c r="U100" i="3" s="1"/>
  <c r="T99" i="3"/>
  <c r="U99" i="3" s="1"/>
  <c r="T98" i="3"/>
  <c r="U98" i="3" s="1"/>
  <c r="T94" i="3"/>
  <c r="U94" i="3" s="1"/>
  <c r="T93" i="3"/>
  <c r="U93" i="3" s="1"/>
  <c r="T92" i="3"/>
  <c r="U92" i="3" s="1"/>
  <c r="T88" i="3"/>
  <c r="U88" i="3" s="1"/>
  <c r="T87" i="3"/>
  <c r="U87" i="3" s="1"/>
  <c r="T86" i="3"/>
  <c r="U86" i="3" s="1"/>
  <c r="T82" i="3"/>
  <c r="U82" i="3" s="1"/>
  <c r="T81" i="3"/>
  <c r="U81" i="3" s="1"/>
  <c r="T80" i="3"/>
  <c r="U80" i="3" s="1"/>
  <c r="Z54" i="3" s="1"/>
  <c r="T76" i="3"/>
  <c r="U76" i="3" s="1"/>
  <c r="T75" i="3"/>
  <c r="U75" i="3" s="1"/>
  <c r="T74" i="3"/>
  <c r="U74" i="3" s="1"/>
  <c r="Z50" i="3" s="1"/>
  <c r="T70" i="3"/>
  <c r="U70" i="3" s="1"/>
  <c r="T69" i="3"/>
  <c r="U69" i="3" s="1"/>
  <c r="T68" i="3"/>
  <c r="U68" i="3" s="1"/>
  <c r="T64" i="3"/>
  <c r="U64" i="3" s="1"/>
  <c r="T63" i="3"/>
  <c r="U63" i="3" s="1"/>
  <c r="T62" i="3"/>
  <c r="U62" i="3" s="1"/>
  <c r="T58" i="3"/>
  <c r="U58" i="3" s="1"/>
  <c r="T57" i="3"/>
  <c r="U57" i="3" s="1"/>
  <c r="T56" i="3"/>
  <c r="U56" i="3" s="1"/>
  <c r="Z38" i="3" s="1"/>
  <c r="T52" i="3"/>
  <c r="U52" i="3" s="1"/>
  <c r="T51" i="3"/>
  <c r="U51" i="3" s="1"/>
  <c r="T50" i="3"/>
  <c r="U50" i="3" s="1"/>
  <c r="T46" i="3"/>
  <c r="U46" i="3" s="1"/>
  <c r="T45" i="3"/>
  <c r="U45" i="3" s="1"/>
  <c r="T44" i="3"/>
  <c r="U44" i="3" s="1"/>
  <c r="T40" i="3"/>
  <c r="U40" i="3" s="1"/>
  <c r="T39" i="3"/>
  <c r="U39" i="3" s="1"/>
  <c r="T38" i="3"/>
  <c r="U38" i="3" s="1"/>
  <c r="T34" i="3"/>
  <c r="U34" i="3" s="1"/>
  <c r="T33" i="3"/>
  <c r="U33" i="3" s="1"/>
  <c r="T32" i="3"/>
  <c r="U32" i="3" s="1"/>
  <c r="Z22" i="3" s="1"/>
  <c r="T28" i="3"/>
  <c r="U28" i="3" s="1"/>
  <c r="T27" i="3"/>
  <c r="U27" i="3" s="1"/>
  <c r="T26" i="3"/>
  <c r="U26" i="3" s="1"/>
  <c r="Z18" i="3" s="1"/>
  <c r="T22" i="3"/>
  <c r="U22" i="3" s="1"/>
  <c r="T21" i="3"/>
  <c r="U21" i="3" s="1"/>
  <c r="T20" i="3"/>
  <c r="U20" i="3" s="1"/>
  <c r="T16" i="3"/>
  <c r="U16" i="3" s="1"/>
  <c r="T15" i="3"/>
  <c r="U15" i="3" s="1"/>
  <c r="T14" i="3"/>
  <c r="U14" i="3" s="1"/>
  <c r="T10" i="3"/>
  <c r="U10" i="3" s="1"/>
  <c r="T9" i="3"/>
  <c r="U9" i="3" s="1"/>
  <c r="T8" i="3"/>
  <c r="U8" i="3" s="1"/>
  <c r="Z6" i="3" s="1"/>
  <c r="T127" i="3"/>
  <c r="U127" i="3" s="1"/>
  <c r="T126" i="3"/>
  <c r="U126" i="3" s="1"/>
  <c r="T125" i="3"/>
  <c r="U125" i="3" s="1"/>
  <c r="Z85" i="3" s="1"/>
  <c r="T121" i="3"/>
  <c r="U121" i="3" s="1"/>
  <c r="T120" i="3"/>
  <c r="U120" i="3" s="1"/>
  <c r="T119" i="3"/>
  <c r="U119" i="3" s="1"/>
  <c r="T115" i="3"/>
  <c r="U115" i="3" s="1"/>
  <c r="T114" i="3"/>
  <c r="U114" i="3" s="1"/>
  <c r="T113" i="3"/>
  <c r="U113" i="3" s="1"/>
  <c r="T109" i="3"/>
  <c r="U109" i="3" s="1"/>
  <c r="T108" i="3"/>
  <c r="U108" i="3" s="1"/>
  <c r="T107" i="3"/>
  <c r="U107" i="3" s="1"/>
  <c r="T103" i="3"/>
  <c r="U103" i="3" s="1"/>
  <c r="T102" i="3"/>
  <c r="U102" i="3" s="1"/>
  <c r="T101" i="3"/>
  <c r="U101" i="3" s="1"/>
  <c r="T97" i="3"/>
  <c r="U97" i="3" s="1"/>
  <c r="T96" i="3"/>
  <c r="U96" i="3" s="1"/>
  <c r="T95" i="3"/>
  <c r="U95" i="3" s="1"/>
  <c r="T91" i="3"/>
  <c r="U91" i="3" s="1"/>
  <c r="T90" i="3"/>
  <c r="U90" i="3" s="1"/>
  <c r="T89" i="3"/>
  <c r="U89" i="3" s="1"/>
  <c r="T85" i="3"/>
  <c r="U85" i="3" s="1"/>
  <c r="T84" i="3"/>
  <c r="U84" i="3" s="1"/>
  <c r="T83" i="3"/>
  <c r="U83" i="3" s="1"/>
  <c r="T79" i="3"/>
  <c r="U79" i="3" s="1"/>
  <c r="T78" i="3"/>
  <c r="U78" i="3" s="1"/>
  <c r="T77" i="3"/>
  <c r="U77" i="3" s="1"/>
  <c r="T73" i="3"/>
  <c r="U73" i="3" s="1"/>
  <c r="T72" i="3"/>
  <c r="U72" i="3" s="1"/>
  <c r="T71" i="3"/>
  <c r="U71" i="3" s="1"/>
  <c r="T67" i="3"/>
  <c r="U67" i="3" s="1"/>
  <c r="T66" i="3"/>
  <c r="U66" i="3" s="1"/>
  <c r="T65" i="3"/>
  <c r="U65" i="3" s="1"/>
  <c r="T61" i="3"/>
  <c r="U61" i="3" s="1"/>
  <c r="T60" i="3"/>
  <c r="U60" i="3" s="1"/>
  <c r="T59" i="3"/>
  <c r="U59" i="3" s="1"/>
  <c r="T55" i="3"/>
  <c r="U55" i="3" s="1"/>
  <c r="T54" i="3"/>
  <c r="U54" i="3" s="1"/>
  <c r="T53" i="3"/>
  <c r="U53" i="3" s="1"/>
  <c r="T49" i="3"/>
  <c r="U49" i="3" s="1"/>
  <c r="T48" i="3"/>
  <c r="U48" i="3" s="1"/>
  <c r="T47" i="3"/>
  <c r="U47" i="3" s="1"/>
  <c r="BE44" i="1"/>
  <c r="BE43" i="1"/>
  <c r="BA53" i="1"/>
  <c r="BB53" i="1" s="1"/>
  <c r="BA52" i="1"/>
  <c r="BB52" i="1" s="1"/>
  <c r="BA45" i="1"/>
  <c r="BB45" i="1" s="1"/>
  <c r="BA44" i="1"/>
  <c r="BB44" i="1" s="1"/>
  <c r="BA49" i="1"/>
  <c r="BB49" i="1" s="1"/>
  <c r="BA48" i="1"/>
  <c r="BB48" i="1" s="1"/>
  <c r="AV53" i="1"/>
  <c r="AV52" i="1"/>
  <c r="AV49" i="1"/>
  <c r="AV48" i="1"/>
  <c r="AV45" i="1"/>
  <c r="AV44" i="1"/>
  <c r="AU53" i="1"/>
  <c r="AU49" i="1"/>
  <c r="AU45" i="1"/>
  <c r="AU52" i="1"/>
  <c r="AU48" i="1"/>
  <c r="AU44" i="1"/>
  <c r="AQ44" i="1"/>
  <c r="AP45" i="1"/>
  <c r="AP44" i="1"/>
  <c r="AV15" i="1"/>
  <c r="AV14" i="1"/>
  <c r="BA27" i="1"/>
  <c r="BB27" i="1" s="1"/>
  <c r="BA26" i="1"/>
  <c r="BB26" i="1" s="1"/>
  <c r="BB28" i="1" s="1"/>
  <c r="BA23" i="1"/>
  <c r="BB23" i="1" s="1"/>
  <c r="BA22" i="1"/>
  <c r="BB22" i="1" s="1"/>
  <c r="BA19" i="1"/>
  <c r="BB19" i="1" s="1"/>
  <c r="BA18" i="1"/>
  <c r="BB18" i="1" s="1"/>
  <c r="BA15" i="1"/>
  <c r="BA14" i="1"/>
  <c r="AU27" i="1"/>
  <c r="AU23" i="1"/>
  <c r="AU19" i="1"/>
  <c r="AU15" i="1"/>
  <c r="AU26" i="1"/>
  <c r="AU22" i="1"/>
  <c r="AU18" i="1"/>
  <c r="AU14" i="1"/>
  <c r="AQ54" i="1"/>
  <c r="AP51" i="1"/>
  <c r="AQ51" i="1" s="1"/>
  <c r="AP50" i="1"/>
  <c r="AP47" i="1"/>
  <c r="AQ47" i="1" s="1"/>
  <c r="AP46" i="1"/>
  <c r="AP48" i="1"/>
  <c r="AP49" i="1"/>
  <c r="AP52" i="1"/>
  <c r="AQ52" i="1" s="1"/>
  <c r="AP53" i="1"/>
  <c r="AQ55" i="1"/>
  <c r="AQ53" i="1"/>
  <c r="AQ50" i="1"/>
  <c r="AQ49" i="1"/>
  <c r="AQ48" i="1"/>
  <c r="AQ46" i="1"/>
  <c r="AQ45" i="1"/>
  <c r="AP25" i="1"/>
  <c r="AP24" i="1"/>
  <c r="AP21" i="1"/>
  <c r="AQ21" i="1" s="1"/>
  <c r="AP20" i="1"/>
  <c r="AP17" i="1"/>
  <c r="AQ17" i="1" s="1"/>
  <c r="AP16" i="1"/>
  <c r="AQ16" i="1" s="1"/>
  <c r="AP15" i="1"/>
  <c r="AQ15" i="1" s="1"/>
  <c r="AP18" i="1"/>
  <c r="AQ18" i="1" s="1"/>
  <c r="AP19" i="1"/>
  <c r="AP22" i="1"/>
  <c r="AP23" i="1"/>
  <c r="AQ23" i="1" s="1"/>
  <c r="AP26" i="1"/>
  <c r="AQ26" i="1" s="1"/>
  <c r="AP27" i="1"/>
  <c r="AQ27" i="1" s="1"/>
  <c r="AP14" i="1"/>
  <c r="AQ14" i="1" s="1"/>
  <c r="AQ29" i="1"/>
  <c r="AQ28" i="1"/>
  <c r="AQ25" i="1"/>
  <c r="AQ24" i="1"/>
  <c r="AQ22" i="1"/>
  <c r="AQ20" i="1"/>
  <c r="AQ19" i="1"/>
  <c r="W57" i="1"/>
  <c r="X57" i="1" s="1"/>
  <c r="W56" i="1"/>
  <c r="X56" i="1" s="1"/>
  <c r="W53" i="1"/>
  <c r="X53" i="1" s="1"/>
  <c r="W52" i="1"/>
  <c r="X52" i="1" s="1"/>
  <c r="X54" i="1" s="1"/>
  <c r="W49" i="1"/>
  <c r="X49" i="1" s="1"/>
  <c r="W48" i="1"/>
  <c r="X48" i="1" s="1"/>
  <c r="W45" i="1"/>
  <c r="X45" i="1" s="1"/>
  <c r="W44" i="1"/>
  <c r="X44" i="1" s="1"/>
  <c r="W41" i="1"/>
  <c r="X41" i="1" s="1"/>
  <c r="W40" i="1"/>
  <c r="X40" i="1" s="1"/>
  <c r="W37" i="1"/>
  <c r="X37" i="1" s="1"/>
  <c r="W36" i="1"/>
  <c r="X36" i="1" s="1"/>
  <c r="X38" i="1" s="1"/>
  <c r="W33" i="1"/>
  <c r="X33" i="1" s="1"/>
  <c r="W32" i="1"/>
  <c r="X32" i="1" s="1"/>
  <c r="W29" i="1"/>
  <c r="X29" i="1" s="1"/>
  <c r="W28" i="1"/>
  <c r="X28" i="1" s="1"/>
  <c r="W25" i="1"/>
  <c r="X25" i="1" s="1"/>
  <c r="W24" i="1"/>
  <c r="X24" i="1" s="1"/>
  <c r="Q25" i="1"/>
  <c r="Q29" i="1"/>
  <c r="Q33" i="1"/>
  <c r="Q37" i="1"/>
  <c r="Q41" i="1"/>
  <c r="Q45" i="1"/>
  <c r="Q49" i="1"/>
  <c r="Q53" i="1"/>
  <c r="Q57" i="1"/>
  <c r="Q44" i="1"/>
  <c r="M59" i="1"/>
  <c r="M58" i="1"/>
  <c r="L55" i="1"/>
  <c r="M55" i="1" s="1"/>
  <c r="L54" i="1"/>
  <c r="M54" i="1" s="1"/>
  <c r="R53" i="1" s="1"/>
  <c r="L51" i="1"/>
  <c r="M51" i="1" s="1"/>
  <c r="L50" i="1"/>
  <c r="M50" i="1" s="1"/>
  <c r="L47" i="1"/>
  <c r="M47" i="1" s="1"/>
  <c r="L46" i="1"/>
  <c r="M46" i="1" s="1"/>
  <c r="L43" i="1"/>
  <c r="M43" i="1" s="1"/>
  <c r="L42" i="1"/>
  <c r="M42" i="1" s="1"/>
  <c r="L39" i="1"/>
  <c r="M39" i="1" s="1"/>
  <c r="L38" i="1"/>
  <c r="M38" i="1" s="1"/>
  <c r="R37" i="1" s="1"/>
  <c r="L35" i="1"/>
  <c r="M35" i="1" s="1"/>
  <c r="L34" i="1"/>
  <c r="M34" i="1" s="1"/>
  <c r="L31" i="1"/>
  <c r="M31" i="1" s="1"/>
  <c r="L30" i="1"/>
  <c r="M30" i="1" s="1"/>
  <c r="L26" i="1"/>
  <c r="M26" i="1" s="1"/>
  <c r="L27" i="1"/>
  <c r="M27" i="1" s="1"/>
  <c r="AJ14" i="1"/>
  <c r="AJ13" i="1"/>
  <c r="Q24" i="1"/>
  <c r="Z26" i="3" l="1"/>
  <c r="Z58" i="3"/>
  <c r="AR23" i="3"/>
  <c r="Z30" i="3"/>
  <c r="Z62" i="3"/>
  <c r="Z10" i="3"/>
  <c r="Z42" i="3"/>
  <c r="AA42" i="3" s="1"/>
  <c r="Z74" i="3"/>
  <c r="AF19" i="3"/>
  <c r="AN22" i="3"/>
  <c r="AO22" i="3" s="1"/>
  <c r="AF39" i="3"/>
  <c r="AF55" i="3"/>
  <c r="AF71" i="3"/>
  <c r="AF87" i="3"/>
  <c r="Z34" i="3"/>
  <c r="AA34" i="3" s="1"/>
  <c r="Z66" i="3"/>
  <c r="AA66" i="3" s="1"/>
  <c r="Z14" i="3"/>
  <c r="AA14" i="3" s="1"/>
  <c r="Z46" i="3"/>
  <c r="AA46" i="3" s="1"/>
  <c r="Z78" i="3"/>
  <c r="AA78" i="3" s="1"/>
  <c r="AF27" i="3"/>
  <c r="AF43" i="3"/>
  <c r="AF59" i="3"/>
  <c r="AF75" i="3"/>
  <c r="AF7" i="3"/>
  <c r="AF11" i="3"/>
  <c r="AF31" i="3"/>
  <c r="AF47" i="3"/>
  <c r="AF63" i="3"/>
  <c r="AF79" i="3"/>
  <c r="AF35" i="3"/>
  <c r="AF51" i="3"/>
  <c r="AF67" i="3"/>
  <c r="AF83" i="3"/>
  <c r="AA18" i="3"/>
  <c r="AA50" i="3"/>
  <c r="AA82" i="3"/>
  <c r="AA30" i="3"/>
  <c r="AA22" i="3"/>
  <c r="AA38" i="3"/>
  <c r="AA54" i="3"/>
  <c r="AA70" i="3"/>
  <c r="AA86" i="3"/>
  <c r="AA62" i="3"/>
  <c r="AA10" i="3"/>
  <c r="AA26" i="3"/>
  <c r="AA58" i="3"/>
  <c r="AA74" i="3"/>
  <c r="AA6" i="3"/>
  <c r="BB54" i="1"/>
  <c r="BB50" i="1"/>
  <c r="AW45" i="1"/>
  <c r="AW44" i="1"/>
  <c r="AW46" i="1" s="1"/>
  <c r="AW47" i="1" s="1"/>
  <c r="AW52" i="1"/>
  <c r="AW49" i="1"/>
  <c r="AW48" i="1"/>
  <c r="BB46" i="1"/>
  <c r="AW53" i="1"/>
  <c r="AV18" i="1"/>
  <c r="AW18" i="1" s="1"/>
  <c r="X30" i="1"/>
  <c r="X46" i="1"/>
  <c r="R41" i="1"/>
  <c r="S41" i="1" s="1"/>
  <c r="R57" i="1"/>
  <c r="BB24" i="1"/>
  <c r="R25" i="1"/>
  <c r="S25" i="1" s="1"/>
  <c r="R29" i="1"/>
  <c r="S29" i="1" s="1"/>
  <c r="R45" i="1"/>
  <c r="S45" i="1" s="1"/>
  <c r="AV26" i="1"/>
  <c r="AW26" i="1" s="1"/>
  <c r="R33" i="1"/>
  <c r="R49" i="1"/>
  <c r="X26" i="1"/>
  <c r="X42" i="1"/>
  <c r="X58" i="1"/>
  <c r="AV27" i="1"/>
  <c r="AW27" i="1" s="1"/>
  <c r="AV19" i="1"/>
  <c r="AW19" i="1" s="1"/>
  <c r="AV22" i="1"/>
  <c r="AW22" i="1" s="1"/>
  <c r="AW15" i="1"/>
  <c r="AW14" i="1"/>
  <c r="AV23" i="1"/>
  <c r="AW23" i="1" s="1"/>
  <c r="X34" i="1"/>
  <c r="X50" i="1"/>
  <c r="S53" i="1"/>
  <c r="S37" i="1"/>
  <c r="S49" i="1"/>
  <c r="S33" i="1"/>
  <c r="S57" i="1"/>
  <c r="BB47" i="1" l="1"/>
  <c r="AW16" i="1"/>
  <c r="BB17" i="1" s="1"/>
  <c r="AW50" i="1"/>
  <c r="AW51" i="1" s="1"/>
  <c r="BB51" i="1" s="1"/>
  <c r="AW54" i="1"/>
  <c r="AW55" i="1" s="1"/>
  <c r="BB55" i="1" s="1"/>
  <c r="AW24" i="1"/>
  <c r="AW28" i="1"/>
  <c r="AW20" i="1"/>
  <c r="C4" i="2"/>
  <c r="L24" i="1" l="1"/>
  <c r="M24" i="1" s="1"/>
  <c r="BN58" i="1" l="1"/>
  <c r="BO58" i="1" s="1"/>
  <c r="BN57" i="1"/>
  <c r="BO57" i="1" s="1"/>
  <c r="BN47" i="1"/>
  <c r="BO47" i="1" s="1"/>
  <c r="BN46" i="1"/>
  <c r="BO46" i="1" s="1"/>
  <c r="AZ37" i="1"/>
  <c r="BA37" i="1" s="1"/>
  <c r="AZ36" i="1"/>
  <c r="BA36" i="1" s="1"/>
  <c r="AT37" i="1"/>
  <c r="AT36" i="1"/>
  <c r="AP37" i="1"/>
  <c r="AQ37" i="1" s="1"/>
  <c r="AP38" i="1"/>
  <c r="AQ38" i="1" s="1"/>
  <c r="AP39" i="1"/>
  <c r="AQ39" i="1" s="1"/>
  <c r="AP36" i="1"/>
  <c r="AQ36" i="1" s="1"/>
  <c r="AJ72" i="1"/>
  <c r="AK72" i="1" s="1"/>
  <c r="AK14" i="1"/>
  <c r="AJ42" i="1"/>
  <c r="AK42" i="1" s="1"/>
  <c r="AJ43" i="1"/>
  <c r="AK43" i="1" s="1"/>
  <c r="BN24" i="1"/>
  <c r="BO24" i="1" s="1"/>
  <c r="BN23" i="1"/>
  <c r="BO23" i="1" s="1"/>
  <c r="BN12" i="1"/>
  <c r="BO12" i="1" s="1"/>
  <c r="BN11" i="1"/>
  <c r="BO11" i="1" s="1"/>
  <c r="AJ71" i="1"/>
  <c r="AK71" i="1" s="1"/>
  <c r="AZ7" i="1"/>
  <c r="BA7" i="1" s="1"/>
  <c r="AZ6" i="1"/>
  <c r="BA6" i="1" s="1"/>
  <c r="AK13" i="1"/>
  <c r="AT7" i="1"/>
  <c r="AT6" i="1"/>
  <c r="AP7" i="1"/>
  <c r="AQ7" i="1" s="1"/>
  <c r="AP8" i="1"/>
  <c r="AQ8" i="1" s="1"/>
  <c r="AP9" i="1"/>
  <c r="AQ9" i="1" s="1"/>
  <c r="AP6" i="1"/>
  <c r="AQ6" i="1" s="1"/>
  <c r="L25" i="1"/>
  <c r="L28" i="1"/>
  <c r="L29" i="1"/>
  <c r="L32" i="1"/>
  <c r="L33" i="1"/>
  <c r="L36" i="1"/>
  <c r="L37" i="1"/>
  <c r="L40" i="1"/>
  <c r="L41" i="1"/>
  <c r="L44" i="1"/>
  <c r="L45" i="1"/>
  <c r="L48" i="1"/>
  <c r="L49" i="1"/>
  <c r="L52" i="1"/>
  <c r="L53" i="1"/>
  <c r="L56" i="1"/>
  <c r="L57" i="1"/>
  <c r="Q28" i="1"/>
  <c r="Q32" i="1"/>
  <c r="Q36" i="1"/>
  <c r="Q40" i="1"/>
  <c r="Q48" i="1"/>
  <c r="Q52" i="1"/>
  <c r="Q56" i="1"/>
  <c r="W17" i="1"/>
  <c r="X17" i="1" s="1"/>
  <c r="W16" i="1"/>
  <c r="X16" i="1" s="1"/>
  <c r="BO59" i="1" l="1"/>
  <c r="BO48" i="1"/>
  <c r="AU37" i="1"/>
  <c r="AV37" i="1" s="1"/>
  <c r="AK44" i="1"/>
  <c r="AU36" i="1"/>
  <c r="AV36" i="1" s="1"/>
  <c r="BA38" i="1"/>
  <c r="BO25" i="1"/>
  <c r="BO13" i="1"/>
  <c r="AK73" i="1"/>
  <c r="BA8" i="1"/>
  <c r="AK15" i="1"/>
  <c r="AU6" i="1"/>
  <c r="AV6" i="1" s="1"/>
  <c r="AU7" i="1"/>
  <c r="AV7" i="1" s="1"/>
  <c r="X18" i="1"/>
  <c r="Y9" i="3"/>
  <c r="Y13" i="3"/>
  <c r="Y17" i="3"/>
  <c r="Y21" i="3"/>
  <c r="Y25" i="3"/>
  <c r="Y29" i="3"/>
  <c r="Y33" i="3"/>
  <c r="Y37" i="3"/>
  <c r="Y41" i="3"/>
  <c r="Y45" i="3"/>
  <c r="Y49" i="3"/>
  <c r="Y53" i="3"/>
  <c r="Y57" i="3"/>
  <c r="Y61" i="3"/>
  <c r="Y65" i="3"/>
  <c r="Y69" i="3"/>
  <c r="Y73" i="3"/>
  <c r="Y77" i="3"/>
  <c r="Y81" i="3"/>
  <c r="Y85" i="3"/>
  <c r="AA85" i="3" s="1"/>
  <c r="AA87" i="3" s="1"/>
  <c r="T5" i="3"/>
  <c r="T6" i="3"/>
  <c r="T7" i="3"/>
  <c r="T11" i="3"/>
  <c r="T12" i="3"/>
  <c r="T13" i="3"/>
  <c r="T17" i="3"/>
  <c r="T18" i="3"/>
  <c r="T19" i="3"/>
  <c r="T23" i="3"/>
  <c r="T24" i="3"/>
  <c r="T25" i="3"/>
  <c r="T29" i="3"/>
  <c r="T30" i="3"/>
  <c r="T31" i="3"/>
  <c r="T35" i="3"/>
  <c r="T36" i="3"/>
  <c r="T37" i="3"/>
  <c r="T41" i="3"/>
  <c r="T42" i="3"/>
  <c r="T4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AV38" i="1" l="1"/>
  <c r="AV39" i="1" s="1"/>
  <c r="BA39" i="1" s="1"/>
  <c r="AV8" i="1"/>
  <c r="AV9" i="1" s="1"/>
  <c r="BA9" i="1" s="1"/>
  <c r="AR6" i="3"/>
  <c r="AR5" i="3"/>
  <c r="AN5" i="3"/>
  <c r="AR7" i="3"/>
  <c r="AN23" i="3"/>
  <c r="AN25" i="3"/>
  <c r="AO25" i="3" s="1"/>
  <c r="AN27" i="3"/>
  <c r="AN8" i="3"/>
  <c r="AW22" i="3"/>
  <c r="AX22" i="3" s="1"/>
  <c r="AN26" i="3"/>
  <c r="AW23" i="3"/>
  <c r="AX23" i="3" s="1"/>
  <c r="AN9" i="3"/>
  <c r="AN13" i="3"/>
  <c r="AN24" i="3"/>
  <c r="AN6" i="3"/>
  <c r="AN30" i="3"/>
  <c r="AN29" i="3"/>
  <c r="AW24" i="3"/>
  <c r="AX24" i="3" s="1"/>
  <c r="AN28" i="3"/>
  <c r="AN7" i="3"/>
  <c r="AN12" i="3"/>
  <c r="AN11" i="3"/>
  <c r="AW5" i="3"/>
  <c r="AX5" i="3" s="1"/>
  <c r="AN10" i="3"/>
  <c r="AW7" i="3"/>
  <c r="AX7" i="3" s="1"/>
  <c r="AW6" i="3"/>
  <c r="AX6" i="3" s="1"/>
  <c r="F22" i="1"/>
  <c r="F21" i="1"/>
  <c r="U17" i="3"/>
  <c r="U18" i="3"/>
  <c r="U19" i="3"/>
  <c r="U23" i="3"/>
  <c r="U24" i="3"/>
  <c r="U25" i="3"/>
  <c r="U29" i="3"/>
  <c r="U30" i="3"/>
  <c r="U31" i="3"/>
  <c r="U35" i="3"/>
  <c r="U36" i="3"/>
  <c r="U37" i="3"/>
  <c r="U41" i="3"/>
  <c r="U42" i="3"/>
  <c r="U43" i="3"/>
  <c r="Z61" i="3"/>
  <c r="AA61" i="3" s="1"/>
  <c r="AA63" i="3" s="1"/>
  <c r="U6" i="3"/>
  <c r="U7" i="3"/>
  <c r="U11" i="3"/>
  <c r="U12" i="3"/>
  <c r="U13" i="3"/>
  <c r="U5" i="3"/>
  <c r="N6" i="3"/>
  <c r="O6" i="3" s="1"/>
  <c r="N5" i="3"/>
  <c r="O5" i="3" s="1"/>
  <c r="N4" i="3"/>
  <c r="O4" i="3" s="1"/>
  <c r="Z5" i="3" l="1"/>
  <c r="Z9" i="3"/>
  <c r="AA9" i="3" s="1"/>
  <c r="AA11" i="3" s="1"/>
  <c r="Z65" i="3"/>
  <c r="AA65" i="3" s="1"/>
  <c r="AA67" i="3" s="1"/>
  <c r="Z57" i="3"/>
  <c r="AA57" i="3" s="1"/>
  <c r="AA59" i="3" s="1"/>
  <c r="Z25" i="3"/>
  <c r="AA25" i="3" s="1"/>
  <c r="AA27" i="3" s="1"/>
  <c r="Z45" i="3"/>
  <c r="AA45" i="3" s="1"/>
  <c r="AA47" i="3" s="1"/>
  <c r="Z13" i="3"/>
  <c r="AA13" i="3" s="1"/>
  <c r="AA15" i="3" s="1"/>
  <c r="Z77" i="3"/>
  <c r="AA77" i="3" s="1"/>
  <c r="AA79" i="3" s="1"/>
  <c r="Z33" i="3"/>
  <c r="AA33" i="3" s="1"/>
  <c r="AA35" i="3" s="1"/>
  <c r="Z29" i="3"/>
  <c r="AA29" i="3" s="1"/>
  <c r="AA31" i="3" s="1"/>
  <c r="Z53" i="3"/>
  <c r="AA53" i="3" s="1"/>
  <c r="AA55" i="3" s="1"/>
  <c r="Z21" i="3"/>
  <c r="AA21" i="3" s="1"/>
  <c r="AA23" i="3" s="1"/>
  <c r="AO11" i="3"/>
  <c r="AX25" i="3"/>
  <c r="AA5" i="3"/>
  <c r="AA7" i="3" s="1"/>
  <c r="Z73" i="3"/>
  <c r="AA73" i="3" s="1"/>
  <c r="AA75" i="3" s="1"/>
  <c r="Z41" i="3"/>
  <c r="AA41" i="3" s="1"/>
  <c r="AA43" i="3" s="1"/>
  <c r="AA44" i="3" s="1"/>
  <c r="AF44" i="3" s="1"/>
  <c r="AO12" i="3"/>
  <c r="AO23" i="3"/>
  <c r="AO8" i="3"/>
  <c r="AO7" i="3"/>
  <c r="AO13" i="3"/>
  <c r="AO6" i="3"/>
  <c r="Z81" i="3"/>
  <c r="AA81" i="3" s="1"/>
  <c r="AA83" i="3" s="1"/>
  <c r="AA84" i="3" s="1"/>
  <c r="AF84" i="3" s="1"/>
  <c r="Z49" i="3"/>
  <c r="AA49" i="3" s="1"/>
  <c r="AA51" i="3" s="1"/>
  <c r="AA52" i="3" s="1"/>
  <c r="AF52" i="3" s="1"/>
  <c r="Z17" i="3"/>
  <c r="AA17" i="3" s="1"/>
  <c r="AA19" i="3" s="1"/>
  <c r="AA20" i="3" s="1"/>
  <c r="AF20" i="3" s="1"/>
  <c r="AO9" i="3"/>
  <c r="Z69" i="3"/>
  <c r="AA69" i="3" s="1"/>
  <c r="AA71" i="3" s="1"/>
  <c r="AA72" i="3" s="1"/>
  <c r="AF72" i="3" s="1"/>
  <c r="Z37" i="3"/>
  <c r="AA37" i="3" s="1"/>
  <c r="AA39" i="3" s="1"/>
  <c r="AO5" i="3"/>
  <c r="AO10" i="3"/>
  <c r="AO24" i="3"/>
  <c r="AO27" i="3"/>
  <c r="AO30" i="3"/>
  <c r="AO29" i="3"/>
  <c r="AO28" i="3"/>
  <c r="AO26" i="3"/>
  <c r="AX8" i="3"/>
  <c r="O7" i="3"/>
  <c r="M25" i="1"/>
  <c r="M28" i="1"/>
  <c r="M29" i="1"/>
  <c r="M32" i="1"/>
  <c r="M33" i="1"/>
  <c r="M36" i="1"/>
  <c r="M37" i="1"/>
  <c r="M40" i="1"/>
  <c r="M41" i="1"/>
  <c r="M44" i="1"/>
  <c r="M45" i="1"/>
  <c r="M48" i="1"/>
  <c r="M49" i="1"/>
  <c r="M52" i="1"/>
  <c r="M53" i="1"/>
  <c r="M56" i="1"/>
  <c r="M57" i="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B5" i="2"/>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4" i="2"/>
  <c r="B3" i="2"/>
  <c r="W6" i="1"/>
  <c r="X6" i="1" s="1"/>
  <c r="W7" i="1"/>
  <c r="X7" i="1" s="1"/>
  <c r="W8" i="1"/>
  <c r="X8" i="1" s="1"/>
  <c r="L16" i="1"/>
  <c r="M16" i="1" s="1"/>
  <c r="Q17" i="1"/>
  <c r="Q16" i="1"/>
  <c r="L17" i="1"/>
  <c r="M17" i="1" s="1"/>
  <c r="L18" i="1"/>
  <c r="M18" i="1" s="1"/>
  <c r="L19" i="1"/>
  <c r="M19" i="1" s="1"/>
  <c r="Q6" i="1"/>
  <c r="Q7" i="1"/>
  <c r="Q8" i="1"/>
  <c r="L6" i="1"/>
  <c r="M6" i="1" s="1"/>
  <c r="L7" i="1"/>
  <c r="M7" i="1" s="1"/>
  <c r="L8" i="1"/>
  <c r="M8" i="1" s="1"/>
  <c r="L9" i="1"/>
  <c r="M9" i="1" s="1"/>
  <c r="L10" i="1"/>
  <c r="M10" i="1" s="1"/>
  <c r="L11" i="1"/>
  <c r="M11" i="1" s="1"/>
  <c r="AA76" i="3" l="1"/>
  <c r="AF76" i="3" s="1"/>
  <c r="AA40" i="3"/>
  <c r="AF40" i="3" s="1"/>
  <c r="AS24" i="3"/>
  <c r="AS22" i="3"/>
  <c r="AT22" i="3" s="1"/>
  <c r="AS23" i="3"/>
  <c r="AT23" i="3" s="1"/>
  <c r="AA8" i="3"/>
  <c r="AI7" i="3" s="1"/>
  <c r="AA16" i="3"/>
  <c r="AF16" i="3" s="1"/>
  <c r="AA48" i="3"/>
  <c r="AF48" i="3" s="1"/>
  <c r="AA28" i="3"/>
  <c r="AF28" i="3" s="1"/>
  <c r="AA60" i="3"/>
  <c r="AF60" i="3" s="1"/>
  <c r="AA32" i="3"/>
  <c r="AF32" i="3" s="1"/>
  <c r="AA88" i="3"/>
  <c r="AF88" i="3" s="1"/>
  <c r="AA24" i="3"/>
  <c r="AF24" i="3" s="1"/>
  <c r="AA56" i="3"/>
  <c r="AF56" i="3" s="1"/>
  <c r="AA68" i="3"/>
  <c r="AF68" i="3" s="1"/>
  <c r="AA12" i="3"/>
  <c r="AF12" i="3" s="1"/>
  <c r="AA36" i="3"/>
  <c r="AF36" i="3" s="1"/>
  <c r="AA64" i="3"/>
  <c r="AF64" i="3" s="1"/>
  <c r="AA80" i="3"/>
  <c r="AF80" i="3" s="1"/>
  <c r="R32" i="1"/>
  <c r="S32" i="1" s="1"/>
  <c r="S34" i="1" s="1"/>
  <c r="R28" i="1"/>
  <c r="S28" i="1" s="1"/>
  <c r="S30" i="1" s="1"/>
  <c r="R48" i="1"/>
  <c r="S48" i="1" s="1"/>
  <c r="S50" i="1" s="1"/>
  <c r="R44" i="1"/>
  <c r="S44" i="1" s="1"/>
  <c r="S46" i="1" s="1"/>
  <c r="R36" i="1"/>
  <c r="S36" i="1" s="1"/>
  <c r="S38" i="1" s="1"/>
  <c r="R52" i="1"/>
  <c r="S52" i="1" s="1"/>
  <c r="S54" i="1" s="1"/>
  <c r="R56" i="1"/>
  <c r="S56" i="1" s="1"/>
  <c r="S58" i="1" s="1"/>
  <c r="R40" i="1"/>
  <c r="S40" i="1" s="1"/>
  <c r="S42" i="1" s="1"/>
  <c r="AS6" i="3"/>
  <c r="AT6" i="3" s="1"/>
  <c r="AS7" i="3"/>
  <c r="AT7" i="3" s="1"/>
  <c r="AT24" i="3"/>
  <c r="AS5" i="3"/>
  <c r="AT5" i="3" s="1"/>
  <c r="G22" i="1"/>
  <c r="G21" i="1"/>
  <c r="R24" i="1"/>
  <c r="S24" i="1" s="1"/>
  <c r="S26" i="1" s="1"/>
  <c r="R8" i="1"/>
  <c r="S8" i="1" s="1"/>
  <c r="R16" i="1"/>
  <c r="S16" i="1" s="1"/>
  <c r="X9" i="1"/>
  <c r="R6" i="1"/>
  <c r="S6" i="1" s="1"/>
  <c r="R7" i="1"/>
  <c r="S7" i="1" s="1"/>
  <c r="R17" i="1"/>
  <c r="S17" i="1" s="1"/>
  <c r="AF8" i="3" l="1"/>
  <c r="AI6" i="3" s="1"/>
  <c r="AT8" i="3"/>
  <c r="AT9" i="3" s="1"/>
  <c r="AX9" i="3" s="1"/>
  <c r="F41" i="3" s="1"/>
  <c r="AT25" i="3"/>
  <c r="AT26" i="3" s="1"/>
  <c r="AX26" i="3" s="1"/>
  <c r="F45" i="3" s="1"/>
  <c r="G23" i="1"/>
  <c r="S9" i="1"/>
  <c r="S18" i="1"/>
  <c r="BB25" i="1" l="1"/>
  <c r="BB29" i="1"/>
  <c r="BE7" i="1"/>
  <c r="S43" i="1"/>
  <c r="X43" i="1" s="1"/>
  <c r="S51" i="1"/>
  <c r="X51" i="1" s="1"/>
  <c r="S27" i="1"/>
  <c r="X27" i="1" s="1"/>
  <c r="S47" i="1"/>
  <c r="X47" i="1" s="1"/>
  <c r="S59" i="1"/>
  <c r="X59" i="1" s="1"/>
  <c r="S35" i="1"/>
  <c r="X35" i="1" s="1"/>
  <c r="S31" i="1"/>
  <c r="X31" i="1" s="1"/>
  <c r="S39" i="1"/>
  <c r="X39" i="1" s="1"/>
  <c r="S55" i="1"/>
  <c r="X55" i="1" s="1"/>
  <c r="S10" i="1"/>
  <c r="X10" i="1" s="1"/>
  <c r="AB22" i="1" s="1"/>
  <c r="S19" i="1"/>
  <c r="X19" i="1" s="1"/>
  <c r="AB23" i="1" s="1"/>
</calcChain>
</file>

<file path=xl/sharedStrings.xml><?xml version="1.0" encoding="utf-8"?>
<sst xmlns="http://schemas.openxmlformats.org/spreadsheetml/2006/main" count="1169" uniqueCount="92">
  <si>
    <t>Day</t>
  </si>
  <si>
    <t>Outlook</t>
  </si>
  <si>
    <t>Temp</t>
  </si>
  <si>
    <t>Humidity</t>
  </si>
  <si>
    <t>Windy</t>
  </si>
  <si>
    <t>Decision</t>
  </si>
  <si>
    <t>No</t>
  </si>
  <si>
    <t>Yes</t>
  </si>
  <si>
    <t>Sunny</t>
  </si>
  <si>
    <t>Overcast</t>
  </si>
  <si>
    <t>Rainy</t>
  </si>
  <si>
    <t>Ratio</t>
  </si>
  <si>
    <t>Entropy</t>
  </si>
  <si>
    <t>Total</t>
  </si>
  <si>
    <t>Entropy in D_v</t>
  </si>
  <si>
    <t>Rate</t>
  </si>
  <si>
    <t xml:space="preserve"> Rate</t>
  </si>
  <si>
    <t>D_v Entropy</t>
  </si>
  <si>
    <t>Product</t>
  </si>
  <si>
    <t>Gain (Windy)</t>
  </si>
  <si>
    <t>Count</t>
  </si>
  <si>
    <t>Gain Ratio</t>
  </si>
  <si>
    <t>Total Gain</t>
  </si>
  <si>
    <t>Gain</t>
  </si>
  <si>
    <t>Gain Ratio(Windy)</t>
  </si>
  <si>
    <t>PlayGolf Dataset</t>
  </si>
  <si>
    <t>Sepal.Length</t>
  </si>
  <si>
    <t>Sepal.Width</t>
  </si>
  <si>
    <t>Petal.Length</t>
  </si>
  <si>
    <t>Petal.Width</t>
  </si>
  <si>
    <t>Species</t>
  </si>
  <si>
    <t>setosa</t>
  </si>
  <si>
    <t>versicolor</t>
  </si>
  <si>
    <t>virginica</t>
  </si>
  <si>
    <t>Total Entropy</t>
  </si>
  <si>
    <t>Sepal.Length (Full)</t>
  </si>
  <si>
    <t>A</t>
  </si>
  <si>
    <t>B</t>
  </si>
  <si>
    <t>C</t>
  </si>
  <si>
    <t>Sepal.Length (Arbitrary Clustered)</t>
  </si>
  <si>
    <t>Cluster A</t>
  </si>
  <si>
    <t>Cluster K</t>
  </si>
  <si>
    <t>Sepal.Length (K-means Clustered)</t>
  </si>
  <si>
    <t>Arbitrary Divisions (Orange)</t>
  </si>
  <si>
    <t>K-Means Divisions (Green)</t>
  </si>
  <si>
    <t>Gain (Outlook)</t>
  </si>
  <si>
    <t>Gain Ratio (Outlook)</t>
  </si>
  <si>
    <t>Gain (Humidity)</t>
  </si>
  <si>
    <t>Gain Ratio(Humidity)</t>
  </si>
  <si>
    <t>Gain (Windy | Sunny)</t>
  </si>
  <si>
    <t>Total Entropy | Sunny</t>
  </si>
  <si>
    <t>Gain (Humidity | Sunny)</t>
  </si>
  <si>
    <t>-----&gt; Split on Outlook</t>
  </si>
  <si>
    <t>----&gt; Split on Humidity</t>
  </si>
  <si>
    <t>Sunny, Humidity &lt;= 70</t>
  </si>
  <si>
    <t>Sunny, Humidity &gt; 70</t>
  </si>
  <si>
    <t>Total Entropy | (Sunny, Humidity &lt;= 70)</t>
  </si>
  <si>
    <t>--------&gt; Entropy = 0, node stops</t>
  </si>
  <si>
    <t>Total Entropy | (Sunny, Humidity &gt; 70)</t>
  </si>
  <si>
    <t>Gain (Windy | Rainy)</t>
  </si>
  <si>
    <t>Gain (Humidity | Rainy)</t>
  </si>
  <si>
    <t>----&gt; Split on Windy</t>
  </si>
  <si>
    <t>Rainy, Windy</t>
  </si>
  <si>
    <t>Rainy, Not Windy</t>
  </si>
  <si>
    <t>Total Entropy | (Rainy,Windy)</t>
  </si>
  <si>
    <t>Total Entropy | (Rainy, Not Windy)</t>
  </si>
  <si>
    <t>Final tree is ---------------&gt;</t>
  </si>
  <si>
    <t>Outlook = Sunny</t>
  </si>
  <si>
    <t>Outlook = Overcast</t>
  </si>
  <si>
    <t>Humidity &gt; 70</t>
  </si>
  <si>
    <t>Humidity &lt;= 70</t>
  </si>
  <si>
    <t>Outlook = Rainy</t>
  </si>
  <si>
    <t>Windy = TRUE</t>
  </si>
  <si>
    <t>Windy = FALSE</t>
  </si>
  <si>
    <t>Play Golf?</t>
  </si>
  <si>
    <t>-&gt;Yes</t>
  </si>
  <si>
    <t>-&gt;No</t>
  </si>
  <si>
    <t>Total Entropy | Rainy</t>
  </si>
  <si>
    <t>x</t>
  </si>
  <si>
    <t>f(x)</t>
  </si>
  <si>
    <t>&gt;</t>
  </si>
  <si>
    <t>&lt;=</t>
  </si>
  <si>
    <t>GainRatio</t>
  </si>
  <si>
    <t>In the case of continuous attributes, pick whether to split or not based on Gain Ratio,  but pick which to  split ON based on Gain. In this case they are both at 70</t>
  </si>
  <si>
    <t>L</t>
  </si>
  <si>
    <t>U</t>
  </si>
  <si>
    <t>Split Value</t>
  </si>
  <si>
    <t>L=</t>
  </si>
  <si>
    <t>U=</t>
  </si>
  <si>
    <t>"&lt;="</t>
  </si>
  <si>
    <t>"&gt;"</t>
  </si>
  <si>
    <t>In an example with continuous independent variables, you can see how this computation can get out of hand. One way around this is to cluster the continuous variables as a preprocessing step. To illustrate, you can split the Sepal.Length variable into two clusters to show how arbitrary clusters (A) compare to k-means  generated clusters (K). K-means is less than ideal for this situation given that we already know the training classifications, so an information gain based approach would be better to take advantage of this knowledge. You can read further into this here: http://www.math.unipd.it/~dulli/corso04/disc.pdf
Change the divisons and see how the Gain ratio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</si>
</sst>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0" borderId="0" xfId="0" applyFont="1"/>
    <xf numFmtId="164" fontId="0" fillId="0" borderId="0" xfId="0" applyNumberFormat="1"/>
    <xf numFmtId="0" fontId="1" fillId="0" borderId="1" xfId="0" applyFont="1" applyBorder="1"/>
    <xf numFmtId="0" fontId="0" fillId="0" borderId="2" xfId="0" applyBorder="1"/>
    <xf numFmtId="0" fontId="0" fillId="0" borderId="3" xfId="0" applyBorder="1"/>
    <xf numFmtId="0" fontId="1" fillId="0" borderId="4" xfId="0" applyFont="1" applyBorder="1" applyAlignment="1">
      <alignment horizontal="left" indent="1"/>
    </xf>
    <xf numFmtId="0" fontId="0" fillId="0" borderId="0" xfId="0" applyBorder="1"/>
    <xf numFmtId="0" fontId="1" fillId="0" borderId="0" xfId="0" applyFont="1" applyBorder="1" applyAlignment="1">
      <alignment horizontal="left" indent="1"/>
    </xf>
    <xf numFmtId="0" fontId="0" fillId="0" borderId="5" xfId="0" applyBorder="1"/>
    <xf numFmtId="0" fontId="0" fillId="0" borderId="4" xfId="0" applyBorder="1"/>
    <xf numFmtId="164" fontId="0" fillId="0" borderId="0" xfId="0" applyNumberFormat="1" applyBorder="1"/>
    <xf numFmtId="164" fontId="0" fillId="0" borderId="5" xfId="0" applyNumberFormat="1" applyBorder="1"/>
    <xf numFmtId="0" fontId="1" fillId="0" borderId="0" xfId="0" applyFont="1" applyBorder="1"/>
    <xf numFmtId="0" fontId="0" fillId="0" borderId="6" xfId="0" applyBorder="1"/>
    <xf numFmtId="0" fontId="0" fillId="0" borderId="7" xfId="0" applyBorder="1"/>
    <xf numFmtId="0" fontId="1" fillId="0" borderId="7" xfId="0" applyFont="1" applyBorder="1"/>
    <xf numFmtId="164" fontId="0" fillId="0" borderId="7" xfId="0" applyNumberFormat="1" applyBorder="1"/>
    <xf numFmtId="164" fontId="0" fillId="0" borderId="8" xfId="0" applyNumberFormat="1" applyBorder="1"/>
    <xf numFmtId="0" fontId="1" fillId="0" borderId="1" xfId="0" applyFont="1" applyBorder="1" applyAlignment="1">
      <alignment horizontal="left" indent="1"/>
    </xf>
    <xf numFmtId="0" fontId="1" fillId="0" borderId="2" xfId="0" applyFont="1" applyBorder="1" applyAlignment="1">
      <alignment horizontal="left" indent="1"/>
    </xf>
    <xf numFmtId="0" fontId="0" fillId="0" borderId="8" xfId="0" applyBorder="1"/>
    <xf numFmtId="0" fontId="1" fillId="0" borderId="2" xfId="0" applyFont="1" applyBorder="1"/>
    <xf numFmtId="164" fontId="0" fillId="0" borderId="0" xfId="0" applyNumberFormat="1" applyFont="1" applyBorder="1"/>
    <xf numFmtId="0" fontId="0" fillId="2" borderId="0" xfId="0" applyFill="1"/>
    <xf numFmtId="0" fontId="0" fillId="3" borderId="0" xfId="0" applyFill="1"/>
    <xf numFmtId="0" fontId="0" fillId="0" borderId="1" xfId="0" applyBorder="1"/>
    <xf numFmtId="164" fontId="0" fillId="0" borderId="5" xfId="0" applyNumberFormat="1" applyFont="1" applyBorder="1"/>
    <xf numFmtId="0" fontId="1" fillId="0" borderId="5" xfId="0" applyFont="1" applyBorder="1"/>
    <xf numFmtId="164" fontId="1" fillId="0" borderId="0" xfId="0" applyNumberFormat="1" applyFont="1" applyBorder="1"/>
    <xf numFmtId="0" fontId="0" fillId="0" borderId="0" xfId="0" quotePrefix="1"/>
    <xf numFmtId="0" fontId="0" fillId="0" borderId="0" xfId="0" applyAlignment="1">
      <alignment horizontal="center" vertical="top" wrapText="1"/>
    </xf>
    <xf numFmtId="0" fontId="0" fillId="0" borderId="0" xfId="0" quotePrefix="1" applyFont="1"/>
    <xf numFmtId="0" fontId="0" fillId="0" borderId="0" xfId="0" applyAlignment="1">
      <alignment horizontal="left" indent="1"/>
    </xf>
    <xf numFmtId="0" fontId="0" fillId="0" borderId="0" xfId="0" applyAlignment="1">
      <alignment horizontal="left" indent="4"/>
    </xf>
    <xf numFmtId="0" fontId="0" fillId="0" borderId="0" xfId="0" quotePrefix="1" applyAlignment="1">
      <alignment horizontal="left" indent="4"/>
    </xf>
    <xf numFmtId="0" fontId="0" fillId="0" borderId="0" xfId="0" quotePrefix="1" applyAlignment="1">
      <alignment horizontal="left" indent="6"/>
    </xf>
    <xf numFmtId="0" fontId="0" fillId="0" borderId="0" xfId="0"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right"/>
    </xf>
    <xf numFmtId="164" fontId="1" fillId="0" borderId="1" xfId="0" applyNumberFormat="1" applyFont="1" applyBorder="1"/>
    <xf numFmtId="164" fontId="0" fillId="0" borderId="3" xfId="0" applyNumberFormat="1" applyBorder="1"/>
    <xf numFmtId="164" fontId="1" fillId="0" borderId="4" xfId="0" applyNumberFormat="1" applyFont="1" applyBorder="1"/>
    <xf numFmtId="164" fontId="1" fillId="0" borderId="6" xfId="0" applyNumberFormat="1" applyFont="1" applyBorder="1"/>
    <xf numFmtId="166" fontId="0" fillId="0" borderId="8" xfId="0" quotePrefix="1" applyNumberFormat="1" applyBorder="1"/>
    <xf numFmtId="166" fontId="0" fillId="0" borderId="0" xfId="0" applyNumberFormat="1" applyBorder="1"/>
    <xf numFmtId="166" fontId="0" fillId="0" borderId="2" xfId="0" applyNumberFormat="1" applyBorder="1"/>
    <xf numFmtId="166" fontId="1" fillId="0" borderId="0" xfId="0" applyNumberFormat="1" applyFont="1" applyBorder="1" applyAlignment="1">
      <alignment horizontal="left" indent="1"/>
    </xf>
    <xf numFmtId="166" fontId="0" fillId="0" borderId="7" xfId="0" applyNumberFormat="1" applyBorder="1"/>
    <xf numFmtId="166" fontId="1" fillId="0" borderId="2" xfId="0" applyNumberFormat="1" applyFont="1" applyBorder="1"/>
    <xf numFmtId="166" fontId="0" fillId="0" borderId="0" xfId="0" applyNumberFormat="1"/>
    <xf numFmtId="0" fontId="0" fillId="0" borderId="9" xfId="0" applyBorder="1"/>
    <xf numFmtId="0" fontId="0" fillId="0" borderId="0" xfId="0" applyAlignment="1">
      <alignment horizontal="right"/>
    </xf>
    <xf numFmtId="166" fontId="1" fillId="0" borderId="0" xfId="0" applyNumberFormat="1"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1"/>
          <c:order val="1"/>
          <c:tx>
            <c:v>Abitrary Lower</c:v>
          </c:tx>
          <c:spPr>
            <a:ln w="19050" cap="rnd">
              <a:solidFill>
                <a:schemeClr val="accent2"/>
              </a:solidFill>
              <a:round/>
            </a:ln>
            <a:effectLst/>
          </c:spPr>
          <c:marker>
            <c:symbol val="none"/>
          </c:marker>
          <c:xVal>
            <c:numRef>
              <c:f>'Continuous IV Example'!$I$37:$I$38</c:f>
              <c:numCache>
                <c:formatCode>General</c:formatCode>
                <c:ptCount val="2"/>
                <c:pt idx="0">
                  <c:v>0</c:v>
                </c:pt>
                <c:pt idx="1">
                  <c:v>3.5</c:v>
                </c:pt>
              </c:numCache>
            </c:numRef>
          </c:xVal>
          <c:yVal>
            <c:numRef>
              <c:f>'Continuous IV Example'!$H$37:$H$38</c:f>
              <c:numCache>
                <c:formatCode>General</c:formatCode>
                <c:ptCount val="2"/>
                <c:pt idx="0">
                  <c:v>5.2750000000000004</c:v>
                </c:pt>
                <c:pt idx="1">
                  <c:v>5.2750000000000004</c:v>
                </c:pt>
              </c:numCache>
            </c:numRef>
          </c:yVal>
          <c:smooth val="1"/>
        </c:ser>
        <c:ser>
          <c:idx val="2"/>
          <c:order val="2"/>
          <c:tx>
            <c:v>Arbitrary Upper</c:v>
          </c:tx>
          <c:spPr>
            <a:ln w="19050" cap="rnd">
              <a:solidFill>
                <a:schemeClr val="accent2"/>
              </a:solidFill>
              <a:round/>
            </a:ln>
            <a:effectLst/>
          </c:spPr>
          <c:marker>
            <c:symbol val="none"/>
          </c:marker>
          <c:xVal>
            <c:numRef>
              <c:f>'Continuous IV Example'!$I$39:$I$40</c:f>
              <c:numCache>
                <c:formatCode>General</c:formatCode>
                <c:ptCount val="2"/>
                <c:pt idx="0">
                  <c:v>0</c:v>
                </c:pt>
                <c:pt idx="1">
                  <c:v>3.5</c:v>
                </c:pt>
              </c:numCache>
            </c:numRef>
          </c:xVal>
          <c:yVal>
            <c:numRef>
              <c:f>'Continuous IV Example'!$H$39:$H$40</c:f>
              <c:numCache>
                <c:formatCode>General</c:formatCode>
                <c:ptCount val="2"/>
                <c:pt idx="0">
                  <c:v>6.75</c:v>
                </c:pt>
                <c:pt idx="1">
                  <c:v>6.75</c:v>
                </c:pt>
              </c:numCache>
            </c:numRef>
          </c:yVal>
          <c:smooth val="1"/>
        </c:ser>
        <c:ser>
          <c:idx val="3"/>
          <c:order val="3"/>
          <c:tx>
            <c:v>K-Means Lower</c:v>
          </c:tx>
          <c:spPr>
            <a:ln w="19050" cap="rnd">
              <a:solidFill>
                <a:schemeClr val="accent6"/>
              </a:solidFill>
              <a:round/>
            </a:ln>
            <a:effectLst/>
          </c:spPr>
          <c:marker>
            <c:symbol val="none"/>
          </c:marker>
          <c:xVal>
            <c:numRef>
              <c:f>'Continuous IV Example'!$I$41:$I$42</c:f>
              <c:numCache>
                <c:formatCode>General</c:formatCode>
                <c:ptCount val="2"/>
                <c:pt idx="0">
                  <c:v>0</c:v>
                </c:pt>
                <c:pt idx="1">
                  <c:v>3.5</c:v>
                </c:pt>
              </c:numCache>
            </c:numRef>
          </c:xVal>
          <c:yVal>
            <c:numRef>
              <c:f>'Continuous IV Example'!$H$41:$H$42</c:f>
              <c:numCache>
                <c:formatCode>0.000</c:formatCode>
                <c:ptCount val="2"/>
                <c:pt idx="0">
                  <c:v>5.5330770000000005</c:v>
                </c:pt>
                <c:pt idx="1">
                  <c:v>5.5330770000000005</c:v>
                </c:pt>
              </c:numCache>
            </c:numRef>
          </c:yVal>
          <c:smooth val="1"/>
        </c:ser>
        <c:ser>
          <c:idx val="4"/>
          <c:order val="4"/>
          <c:tx>
            <c:v>K-Means Upper</c:v>
          </c:tx>
          <c:spPr>
            <a:ln w="19050" cap="rnd">
              <a:solidFill>
                <a:schemeClr val="accent6"/>
              </a:solidFill>
              <a:round/>
            </a:ln>
            <a:effectLst/>
          </c:spPr>
          <c:marker>
            <c:symbol val="none"/>
          </c:marker>
          <c:xVal>
            <c:numRef>
              <c:f>'Continuous IV Example'!$I$43:$I$44</c:f>
              <c:numCache>
                <c:formatCode>General</c:formatCode>
                <c:ptCount val="2"/>
                <c:pt idx="0">
                  <c:v>0</c:v>
                </c:pt>
                <c:pt idx="1">
                  <c:v>3.5</c:v>
                </c:pt>
              </c:numCache>
            </c:numRef>
          </c:xVal>
          <c:yVal>
            <c:numRef>
              <c:f>'Continuous IV Example'!$H$43:$H$44</c:f>
              <c:numCache>
                <c:formatCode>0.000</c:formatCode>
                <c:ptCount val="2"/>
                <c:pt idx="0">
                  <c:v>6.5487549999999999</c:v>
                </c:pt>
                <c:pt idx="1">
                  <c:v>6.5487549999999999</c:v>
                </c:pt>
              </c:numCache>
            </c:numRef>
          </c:yVal>
          <c:smooth val="1"/>
        </c:ser>
        <c:dLbls>
          <c:showLegendKey val="0"/>
          <c:showVal val="0"/>
          <c:showCatName val="0"/>
          <c:showSerName val="0"/>
          <c:showPercent val="0"/>
          <c:showBubbleSize val="0"/>
        </c:dLbls>
        <c:axId val="492315192"/>
        <c:axId val="492314016"/>
      </c:scatterChart>
      <c:scatterChart>
        <c:scatterStyle val="lineMarker"/>
        <c:varyColors val="0"/>
        <c:ser>
          <c:idx val="0"/>
          <c:order val="0"/>
          <c:tx>
            <c:v>Sepal.Length</c:v>
          </c:tx>
          <c:spPr>
            <a:ln w="25400" cap="rnd">
              <a:noFill/>
              <a:round/>
            </a:ln>
            <a:effectLst/>
          </c:spPr>
          <c:marker>
            <c:symbol val="circle"/>
            <c:size val="5"/>
            <c:spPr>
              <a:solidFill>
                <a:schemeClr val="accent1"/>
              </a:solidFill>
              <a:ln w="9525">
                <a:solidFill>
                  <a:schemeClr val="accent1"/>
                </a:solidFill>
              </a:ln>
              <a:effectLst/>
            </c:spPr>
          </c:marker>
          <c:xVal>
            <c:numRef>
              <c:f>'Continuous IV Example'!$J$3:$J$32</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2</c:v>
                </c:pt>
                <c:pt idx="12">
                  <c:v>2</c:v>
                </c:pt>
                <c:pt idx="13">
                  <c:v>2</c:v>
                </c:pt>
                <c:pt idx="14">
                  <c:v>2</c:v>
                </c:pt>
                <c:pt idx="15">
                  <c:v>2</c:v>
                </c:pt>
                <c:pt idx="16">
                  <c:v>2</c:v>
                </c:pt>
                <c:pt idx="17">
                  <c:v>2</c:v>
                </c:pt>
                <c:pt idx="18">
                  <c:v>2</c:v>
                </c:pt>
                <c:pt idx="19">
                  <c:v>2</c:v>
                </c:pt>
                <c:pt idx="20">
                  <c:v>3</c:v>
                </c:pt>
                <c:pt idx="21">
                  <c:v>3</c:v>
                </c:pt>
                <c:pt idx="22">
                  <c:v>3</c:v>
                </c:pt>
                <c:pt idx="23">
                  <c:v>3</c:v>
                </c:pt>
                <c:pt idx="24">
                  <c:v>3</c:v>
                </c:pt>
                <c:pt idx="25">
                  <c:v>3</c:v>
                </c:pt>
                <c:pt idx="26">
                  <c:v>3</c:v>
                </c:pt>
                <c:pt idx="27">
                  <c:v>3</c:v>
                </c:pt>
                <c:pt idx="28">
                  <c:v>3</c:v>
                </c:pt>
                <c:pt idx="29">
                  <c:v>3</c:v>
                </c:pt>
              </c:numCache>
            </c:numRef>
          </c:xVal>
          <c:yVal>
            <c:numRef>
              <c:f>'Continuous IV Example'!$E$3:$E$32</c:f>
              <c:numCache>
                <c:formatCode>0.0</c:formatCode>
                <c:ptCount val="3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7</c:v>
                </c:pt>
                <c:pt idx="11">
                  <c:v>6.4</c:v>
                </c:pt>
                <c:pt idx="12">
                  <c:v>6.9</c:v>
                </c:pt>
                <c:pt idx="13">
                  <c:v>5.5</c:v>
                </c:pt>
                <c:pt idx="14">
                  <c:v>6.5</c:v>
                </c:pt>
                <c:pt idx="15">
                  <c:v>5.7</c:v>
                </c:pt>
                <c:pt idx="16">
                  <c:v>6.3</c:v>
                </c:pt>
                <c:pt idx="17">
                  <c:v>4.9000000000000004</c:v>
                </c:pt>
                <c:pt idx="18">
                  <c:v>6.6</c:v>
                </c:pt>
                <c:pt idx="19">
                  <c:v>5.2</c:v>
                </c:pt>
                <c:pt idx="20">
                  <c:v>6.5</c:v>
                </c:pt>
                <c:pt idx="21">
                  <c:v>7.6</c:v>
                </c:pt>
                <c:pt idx="22">
                  <c:v>4.9000000000000004</c:v>
                </c:pt>
                <c:pt idx="23">
                  <c:v>7.3</c:v>
                </c:pt>
                <c:pt idx="24">
                  <c:v>6.7</c:v>
                </c:pt>
                <c:pt idx="25">
                  <c:v>7.2</c:v>
                </c:pt>
                <c:pt idx="26">
                  <c:v>6.5</c:v>
                </c:pt>
                <c:pt idx="27">
                  <c:v>6.4</c:v>
                </c:pt>
                <c:pt idx="28">
                  <c:v>6.8</c:v>
                </c:pt>
                <c:pt idx="29">
                  <c:v>5.7</c:v>
                </c:pt>
              </c:numCache>
            </c:numRef>
          </c:yVal>
          <c:smooth val="0"/>
        </c:ser>
        <c:dLbls>
          <c:showLegendKey val="0"/>
          <c:showVal val="0"/>
          <c:showCatName val="0"/>
          <c:showSerName val="0"/>
          <c:showPercent val="0"/>
          <c:showBubbleSize val="0"/>
        </c:dLbls>
        <c:axId val="492315192"/>
        <c:axId val="492314016"/>
      </c:scatterChart>
      <c:valAx>
        <c:axId val="492315192"/>
        <c:scaling>
          <c:orientation val="minMax"/>
          <c:max val="3.5"/>
          <c:min val="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4016"/>
        <c:crosses val="autoZero"/>
        <c:crossBetween val="midCat"/>
      </c:valAx>
      <c:valAx>
        <c:axId val="492314016"/>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5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Entropy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'Entropy Function'!$B$3:$B$103</c:f>
              <c:numCache>
                <c:formatCode>General</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'Entropy Function'!$C$3:$C$103</c:f>
              <c:numCache>
                <c:formatCode>General</c:formatCode>
                <c:ptCount val="101"/>
                <c:pt idx="0">
                  <c:v>0</c:v>
                </c:pt>
                <c:pt idx="1">
                  <c:v>6.6438561897747245E-2</c:v>
                </c:pt>
                <c:pt idx="2">
                  <c:v>0.11287712379549449</c:v>
                </c:pt>
                <c:pt idx="3">
                  <c:v>0.15176681067160708</c:v>
                </c:pt>
                <c:pt idx="4">
                  <c:v>0.18575424759098899</c:v>
                </c:pt>
                <c:pt idx="5">
                  <c:v>0.21609640474436814</c:v>
                </c:pt>
                <c:pt idx="6">
                  <c:v>0.24353362134321413</c:v>
                </c:pt>
                <c:pt idx="7">
                  <c:v>0.26855508874019846</c:v>
                </c:pt>
                <c:pt idx="8">
                  <c:v>0.29150849518197802</c:v>
                </c:pt>
                <c:pt idx="9">
                  <c:v>0.31265380694991712</c:v>
                </c:pt>
                <c:pt idx="10">
                  <c:v>0.33219280948873625</c:v>
                </c:pt>
                <c:pt idx="11">
                  <c:v>0.35028670282511704</c:v>
                </c:pt>
                <c:pt idx="12">
                  <c:v>0.36706724268642821</c:v>
                </c:pt>
                <c:pt idx="13">
                  <c:v>0.38264414131237218</c:v>
                </c:pt>
                <c:pt idx="14">
                  <c:v>0.3971101774803969</c:v>
                </c:pt>
                <c:pt idx="15">
                  <c:v>0.41054483912493089</c:v>
                </c:pt>
                <c:pt idx="16">
                  <c:v>0.42301699036395596</c:v>
                </c:pt>
                <c:pt idx="17">
                  <c:v>0.43458686924914552</c:v>
                </c:pt>
                <c:pt idx="18">
                  <c:v>0.44530761389983425</c:v>
                </c:pt>
                <c:pt idx="19">
                  <c:v>0.45522644850291644</c:v>
                </c:pt>
                <c:pt idx="20">
                  <c:v>0.46438561897747255</c:v>
                </c:pt>
                <c:pt idx="21">
                  <c:v>0.47282314106915257</c:v>
                </c:pt>
                <c:pt idx="22">
                  <c:v>0.4805734056502341</c:v>
                </c:pt>
                <c:pt idx="23">
                  <c:v>0.48766767375507386</c:v>
                </c:pt>
                <c:pt idx="24">
                  <c:v>0.49413448537285642</c:v>
                </c:pt>
                <c:pt idx="25">
                  <c:v>0.5</c:v>
                </c:pt>
                <c:pt idx="26">
                  <c:v>0.50528828262474446</c:v>
                </c:pt>
                <c:pt idx="27">
                  <c:v>0.51002154565503921</c:v>
                </c:pt>
                <c:pt idx="28">
                  <c:v>0.51422035496079377</c:v>
                </c:pt>
                <c:pt idx="29">
                  <c:v>0.51790380644767431</c:v>
                </c:pt>
                <c:pt idx="30">
                  <c:v>0.52108967824986185</c:v>
                </c:pt>
                <c:pt idx="31">
                  <c:v>0.52379456261023349</c:v>
                </c:pt>
                <c:pt idx="32">
                  <c:v>0.52603398072791197</c:v>
                </c:pt>
                <c:pt idx="33">
                  <c:v>0.52782248323736958</c:v>
                </c:pt>
                <c:pt idx="34">
                  <c:v>0.52917373849829108</c:v>
                </c:pt>
                <c:pt idx="35">
                  <c:v>0.53010061049041535</c:v>
                </c:pt>
                <c:pt idx="36">
                  <c:v>0.53061522779966841</c:v>
                </c:pt>
                <c:pt idx="37">
                  <c:v>0.53072904493393669</c:v>
                </c:pt>
                <c:pt idx="38">
                  <c:v>0.53045289700583287</c:v>
                </c:pt>
                <c:pt idx="39">
                  <c:v>0.52979704865586574</c:v>
                </c:pt>
                <c:pt idx="40">
                  <c:v>0.52877123795494496</c:v>
                </c:pt>
                <c:pt idx="41">
                  <c:v>0.52738471591422276</c:v>
                </c:pt>
                <c:pt idx="42">
                  <c:v>0.52564628213830511</c:v>
                </c:pt>
                <c:pt idx="43">
                  <c:v>0.52356431708122941</c:v>
                </c:pt>
                <c:pt idx="44">
                  <c:v>0.52114681130046803</c:v>
                </c:pt>
                <c:pt idx="45">
                  <c:v>0.51840139205027236</c:v>
                </c:pt>
                <c:pt idx="46">
                  <c:v>0.51533534751014742</c:v>
                </c:pt>
                <c:pt idx="47">
                  <c:v>0.51195564890563094</c:v>
                </c:pt>
                <c:pt idx="48">
                  <c:v>0.50826897074571287</c:v>
                </c:pt>
                <c:pt idx="49">
                  <c:v>0.50428170937316297</c:v>
                </c:pt>
                <c:pt idx="50">
                  <c:v>0.49999999999999989</c:v>
                </c:pt>
                <c:pt idx="51">
                  <c:v>0.49542973237964677</c:v>
                </c:pt>
                <c:pt idx="52">
                  <c:v>0.49057656524948884</c:v>
                </c:pt>
                <c:pt idx="53">
                  <c:v>0.48544593966210836</c:v>
                </c:pt>
                <c:pt idx="54">
                  <c:v>0.48004309131007816</c:v>
                </c:pt>
                <c:pt idx="55">
                  <c:v>0.47437306193753564</c:v>
                </c:pt>
                <c:pt idx="56">
                  <c:v>0.46844070992158737</c:v>
                </c:pt>
                <c:pt idx="57">
                  <c:v>0.46225072009769019</c:v>
                </c:pt>
                <c:pt idx="58">
                  <c:v>0.45580761289534827</c:v>
                </c:pt>
                <c:pt idx="59">
                  <c:v>0.44911575284360106</c:v>
                </c:pt>
                <c:pt idx="60">
                  <c:v>0.44217935649972351</c:v>
                </c:pt>
                <c:pt idx="61">
                  <c:v>0.43500249984922124</c:v>
                </c:pt>
                <c:pt idx="62">
                  <c:v>0.42758912522046649</c:v>
                </c:pt>
                <c:pt idx="63">
                  <c:v>0.41994304775312896</c:v>
                </c:pt>
                <c:pt idx="64">
                  <c:v>0.41206796145582353</c:v>
                </c:pt>
                <c:pt idx="65">
                  <c:v>0.40396744488507536</c:v>
                </c:pt>
                <c:pt idx="66">
                  <c:v>0.39564496647473879</c:v>
                </c:pt>
                <c:pt idx="67">
                  <c:v>0.38710388954235775</c:v>
                </c:pt>
                <c:pt idx="68">
                  <c:v>0.37834747699658167</c:v>
                </c:pt>
                <c:pt idx="69">
                  <c:v>0.36937889576762301</c:v>
                </c:pt>
                <c:pt idx="70">
                  <c:v>0.36020122098083035</c:v>
                </c:pt>
                <c:pt idx="71">
                  <c:v>0.35081743989172987</c:v>
                </c:pt>
                <c:pt idx="72">
                  <c:v>0.34123045559933651</c:v>
                </c:pt>
                <c:pt idx="73">
                  <c:v>0.33144309055313603</c:v>
                </c:pt>
                <c:pt idx="74">
                  <c:v>0.32145808986787294</c:v>
                </c:pt>
                <c:pt idx="75">
                  <c:v>0.31127812445913244</c:v>
                </c:pt>
                <c:pt idx="76">
                  <c:v>0.30090579401166534</c:v>
                </c:pt>
                <c:pt idx="77">
                  <c:v>0.29034362979146344</c:v>
                </c:pt>
                <c:pt idx="78">
                  <c:v>0.27959409731173107</c:v>
                </c:pt>
                <c:pt idx="79">
                  <c:v>0.26865959886212071</c:v>
                </c:pt>
                <c:pt idx="80">
                  <c:v>0.25754247590988938</c:v>
                </c:pt>
                <c:pt idx="81">
                  <c:v>0.2462450113809804</c:v>
                </c:pt>
                <c:pt idx="82">
                  <c:v>0.23476943182844506</c:v>
                </c:pt>
                <c:pt idx="83">
                  <c:v>0.22311790949507337</c:v>
                </c:pt>
                <c:pt idx="84">
                  <c:v>0.21129256427660947</c:v>
                </c:pt>
                <c:pt idx="85">
                  <c:v>0.19929546559146885</c:v>
                </c:pt>
                <c:pt idx="86">
                  <c:v>0.18712863416245834</c:v>
                </c:pt>
                <c:pt idx="87">
                  <c:v>0.17479404371561619</c:v>
                </c:pt>
                <c:pt idx="88">
                  <c:v>0.16229362260093541</c:v>
                </c:pt>
                <c:pt idx="89">
                  <c:v>0.14962925533941027</c:v>
                </c:pt>
                <c:pt idx="90">
                  <c:v>0.13680278410054425</c:v>
                </c:pt>
                <c:pt idx="91">
                  <c:v>0.12381601011418511</c:v>
                </c:pt>
                <c:pt idx="92">
                  <c:v>0.1106706950202941</c:v>
                </c:pt>
                <c:pt idx="93">
                  <c:v>9.7368562160023958E-2</c:v>
                </c:pt>
                <c:pt idx="94">
                  <c:v>8.3911297811261248E-2</c:v>
                </c:pt>
                <c:pt idx="95">
                  <c:v>7.0300552371587166E-2</c:v>
                </c:pt>
                <c:pt idx="96">
                  <c:v>5.6537941491424902E-2</c:v>
                </c:pt>
                <c:pt idx="97">
                  <c:v>4.2625047159968218E-2</c:v>
                </c:pt>
                <c:pt idx="98">
                  <c:v>2.8563418746325234E-2</c:v>
                </c:pt>
                <c:pt idx="99">
                  <c:v>1.4354573998162987E-2</c:v>
                </c:pt>
                <c:pt idx="100">
                  <c:v>0</c:v>
                </c:pt>
              </c:numCache>
            </c:numRef>
          </c:yVal>
          <c:smooth val="1"/>
        </c:ser>
        <c:dLbls>
          <c:showLegendKey val="0"/>
          <c:showVal val="0"/>
          <c:showCatName val="0"/>
          <c:showSerName val="0"/>
          <c:showPercent val="0"/>
          <c:showBubbleSize val="0"/>
        </c:dLbls>
        <c:axId val="492314408"/>
        <c:axId val="492854080"/>
      </c:scatterChart>
      <c:valAx>
        <c:axId val="492314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54080"/>
        <c:crosses val="autoZero"/>
        <c:crossBetween val="midCat"/>
      </c:valAx>
      <c:valAx>
        <c:axId val="49285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Entropy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4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757237</xdr:colOff>
      <xdr:row>32</xdr:row>
      <xdr:rowOff>152401</xdr:rowOff>
    </xdr:from>
    <xdr:to>
      <xdr:col>15</xdr:col>
      <xdr:colOff>61912</xdr:colOff>
      <xdr:row>47</xdr:row>
      <xdr:rowOff>38101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3</xdr:row>
      <xdr:rowOff>85724</xdr:rowOff>
    </xdr:from>
    <xdr:to>
      <xdr:col>20</xdr:col>
      <xdr:colOff>166688</xdr:colOff>
      <xdr:row>41</xdr:row>
      <xdr:rowOff>23811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Z116"/>
  <sheetViews>
    <sheetView tabSelected="1" zoomScale="70" zoomScaleNormal="70" workbookViewId="0">
      <selection activeCell="AC15" sqref="AC15"/>
    </sheetView>
  </sheetViews>
  <sheetFormatPr defaultRowHeight="15" x14ac:dyDescent="0.25"/>
  <cols>
    <col min="1" max="1" width="2.5703125" customWidth="1"/>
    <col min="2" max="2" width="9.140625" customWidth="1"/>
    <col min="5" max="5" width="10.42578125" customWidth="1"/>
    <col min="9" max="9" width="3" bestFit="1" customWidth="1"/>
    <col min="14" max="14" width="4" customWidth="1"/>
    <col min="15" max="15" width="3" bestFit="1" customWidth="1"/>
    <col min="16" max="16" width="9.140625" customWidth="1"/>
    <col min="18" max="18" width="11.7109375" customWidth="1"/>
    <col min="21" max="21" width="3" customWidth="1"/>
    <col min="23" max="23" width="10.42578125" customWidth="1"/>
    <col min="25" max="25" width="10" customWidth="1"/>
    <col min="26" max="26" width="5.28515625" customWidth="1"/>
    <col min="30" max="30" width="11.28515625" customWidth="1"/>
    <col min="38" max="38" width="6.7109375" customWidth="1"/>
    <col min="39" max="39" width="4.140625" customWidth="1"/>
    <col min="45" max="45" width="7.85546875" customWidth="1"/>
    <col min="46" max="46" width="7.42578125" customWidth="1"/>
    <col min="49" max="49" width="10.28515625" customWidth="1"/>
    <col min="50" max="50" width="3.5703125" customWidth="1"/>
    <col min="52" max="52" width="10.28515625" customWidth="1"/>
    <col min="61" max="61" width="5.28515625" customWidth="1"/>
  </cols>
  <sheetData>
    <row r="1" spans="2:78" ht="8.25" customHeight="1" x14ac:dyDescent="0.25"/>
    <row r="2" spans="2:78" x14ac:dyDescent="0.25">
      <c r="B2" s="1" t="s">
        <v>25</v>
      </c>
    </row>
    <row r="3" spans="2:78" x14ac:dyDescent="0.25">
      <c r="B3" t="s">
        <v>0</v>
      </c>
      <c r="C3" t="s">
        <v>1</v>
      </c>
      <c r="D3" t="s">
        <v>2</v>
      </c>
      <c r="E3" t="s">
        <v>3</v>
      </c>
      <c r="F3" t="s">
        <v>4</v>
      </c>
      <c r="G3" t="s">
        <v>5</v>
      </c>
      <c r="H3" t="s">
        <v>20</v>
      </c>
      <c r="J3" s="3" t="s">
        <v>45</v>
      </c>
      <c r="K3" s="4"/>
      <c r="L3" s="4"/>
      <c r="M3" s="4"/>
      <c r="N3" s="4"/>
      <c r="O3" s="4"/>
      <c r="P3" s="4"/>
      <c r="Q3" s="4"/>
      <c r="R3" s="4"/>
      <c r="S3" s="4"/>
      <c r="T3" s="4"/>
      <c r="U3" s="4"/>
      <c r="V3" s="22" t="s">
        <v>46</v>
      </c>
      <c r="W3" s="4"/>
      <c r="X3" s="5"/>
      <c r="AE3" s="1" t="s">
        <v>8</v>
      </c>
      <c r="AN3" s="3" t="s">
        <v>49</v>
      </c>
      <c r="AO3" s="4"/>
      <c r="AP3" s="4"/>
      <c r="AQ3" s="4"/>
      <c r="AR3" s="4"/>
      <c r="AS3" s="4"/>
      <c r="AT3" s="4"/>
      <c r="AU3" s="4"/>
      <c r="AV3" s="4"/>
      <c r="AW3" s="4"/>
      <c r="AX3" s="4"/>
      <c r="AY3" s="22" t="s">
        <v>24</v>
      </c>
      <c r="AZ3" s="4"/>
      <c r="BA3" s="5"/>
    </row>
    <row r="4" spans="2:78" x14ac:dyDescent="0.25">
      <c r="B4">
        <v>1</v>
      </c>
      <c r="C4" t="s">
        <v>8</v>
      </c>
      <c r="D4">
        <v>85</v>
      </c>
      <c r="E4">
        <v>85</v>
      </c>
      <c r="F4" t="b">
        <v>0</v>
      </c>
      <c r="G4" t="s">
        <v>6</v>
      </c>
      <c r="H4">
        <v>1</v>
      </c>
      <c r="J4" s="6" t="s">
        <v>14</v>
      </c>
      <c r="K4" s="7"/>
      <c r="L4" s="7"/>
      <c r="M4" s="7"/>
      <c r="N4" s="7"/>
      <c r="O4" s="7"/>
      <c r="P4" s="8" t="s">
        <v>22</v>
      </c>
      <c r="Q4" s="7"/>
      <c r="R4" s="7"/>
      <c r="S4" s="7"/>
      <c r="T4" s="7"/>
      <c r="U4" s="7"/>
      <c r="V4" s="8" t="s">
        <v>21</v>
      </c>
      <c r="W4" s="7"/>
      <c r="X4" s="9"/>
      <c r="AE4" t="s">
        <v>0</v>
      </c>
      <c r="AF4" t="s">
        <v>1</v>
      </c>
      <c r="AG4" t="s">
        <v>2</v>
      </c>
      <c r="AH4" t="s">
        <v>3</v>
      </c>
      <c r="AI4" t="s">
        <v>4</v>
      </c>
      <c r="AJ4" t="s">
        <v>5</v>
      </c>
      <c r="AK4" t="s">
        <v>20</v>
      </c>
      <c r="AN4" s="6" t="s">
        <v>14</v>
      </c>
      <c r="AO4" s="7"/>
      <c r="AP4" s="7"/>
      <c r="AQ4" s="7"/>
      <c r="AR4" s="7"/>
      <c r="AS4" s="8" t="s">
        <v>22</v>
      </c>
      <c r="AT4" s="7"/>
      <c r="AU4" s="7"/>
      <c r="AV4" s="7"/>
      <c r="AW4" s="7"/>
      <c r="AX4" s="7"/>
      <c r="AY4" s="8" t="s">
        <v>21</v>
      </c>
      <c r="AZ4" s="7"/>
      <c r="BA4" s="9"/>
      <c r="BJ4" s="1" t="s">
        <v>54</v>
      </c>
      <c r="BZ4" s="1" t="s">
        <v>74</v>
      </c>
    </row>
    <row r="5" spans="2:78" x14ac:dyDescent="0.25">
      <c r="B5">
        <v>2</v>
      </c>
      <c r="C5" t="s">
        <v>8</v>
      </c>
      <c r="D5">
        <v>80</v>
      </c>
      <c r="E5">
        <v>90</v>
      </c>
      <c r="F5" t="b">
        <v>1</v>
      </c>
      <c r="G5" t="s">
        <v>6</v>
      </c>
      <c r="H5">
        <v>1</v>
      </c>
      <c r="J5" s="10"/>
      <c r="K5" s="7"/>
      <c r="L5" s="7" t="s">
        <v>11</v>
      </c>
      <c r="M5" s="7" t="s">
        <v>17</v>
      </c>
      <c r="N5" s="7"/>
      <c r="O5" s="7"/>
      <c r="P5" s="7"/>
      <c r="Q5" s="7" t="s">
        <v>15</v>
      </c>
      <c r="R5" s="7" t="s">
        <v>17</v>
      </c>
      <c r="S5" s="7" t="s">
        <v>18</v>
      </c>
      <c r="T5" s="7"/>
      <c r="U5" s="7"/>
      <c r="V5" s="7"/>
      <c r="W5" s="7" t="s">
        <v>15</v>
      </c>
      <c r="X5" s="9" t="s">
        <v>12</v>
      </c>
      <c r="AE5">
        <v>1</v>
      </c>
      <c r="AF5" t="s">
        <v>8</v>
      </c>
      <c r="AG5">
        <v>85</v>
      </c>
      <c r="AH5">
        <v>85</v>
      </c>
      <c r="AI5" t="b">
        <v>0</v>
      </c>
      <c r="AJ5" t="s">
        <v>6</v>
      </c>
      <c r="AK5">
        <v>1</v>
      </c>
      <c r="AN5" s="10"/>
      <c r="AO5" s="7"/>
      <c r="AP5" s="7" t="s">
        <v>11</v>
      </c>
      <c r="AQ5" s="7" t="s">
        <v>17</v>
      </c>
      <c r="AR5" s="7"/>
      <c r="AS5" s="7"/>
      <c r="AT5" s="7" t="s">
        <v>16</v>
      </c>
      <c r="AU5" s="7" t="s">
        <v>17</v>
      </c>
      <c r="AV5" s="7" t="s">
        <v>18</v>
      </c>
      <c r="AW5" s="7"/>
      <c r="AX5" s="7"/>
      <c r="AY5" s="7"/>
      <c r="AZ5" s="7" t="s">
        <v>15</v>
      </c>
      <c r="BA5" s="9" t="s">
        <v>12</v>
      </c>
      <c r="BE5" s="1" t="s">
        <v>21</v>
      </c>
      <c r="BJ5" t="s">
        <v>0</v>
      </c>
      <c r="BK5" t="s">
        <v>1</v>
      </c>
      <c r="BL5" t="s">
        <v>2</v>
      </c>
      <c r="BM5" t="s">
        <v>3</v>
      </c>
      <c r="BN5" t="s">
        <v>4</v>
      </c>
      <c r="BO5" t="s">
        <v>5</v>
      </c>
      <c r="BP5" t="s">
        <v>20</v>
      </c>
      <c r="BZ5" s="33" t="s">
        <v>67</v>
      </c>
    </row>
    <row r="6" spans="2:78" x14ac:dyDescent="0.25">
      <c r="B6">
        <v>3</v>
      </c>
      <c r="C6" t="s">
        <v>9</v>
      </c>
      <c r="D6">
        <v>83</v>
      </c>
      <c r="E6">
        <v>78</v>
      </c>
      <c r="F6" t="b">
        <v>0</v>
      </c>
      <c r="G6" t="s">
        <v>7</v>
      </c>
      <c r="H6">
        <v>1</v>
      </c>
      <c r="J6" s="10" t="s">
        <v>8</v>
      </c>
      <c r="K6" s="7" t="s">
        <v>7</v>
      </c>
      <c r="L6" s="11">
        <f t="shared" ref="L6:L11" si="0">SUMIFS($H$4:$H$17,$G$4:$G$17,"="&amp;$K6,$C$4:$C$17,"="&amp;$J6)/SUMIF($C$4:$C$17,"="&amp;$J6,$H$4:$H$17)</f>
        <v>0.4</v>
      </c>
      <c r="M6" s="11">
        <f>IFERROR(-1*L6*LOG(L6,2),0)</f>
        <v>0.52877123795494485</v>
      </c>
      <c r="N6" s="11"/>
      <c r="O6" s="7"/>
      <c r="P6" s="7" t="s">
        <v>8</v>
      </c>
      <c r="Q6" s="11">
        <f>SUMIF($C$4:$C$17,"="&amp;J6,$H$4:$H$17)/SUM($H$4:$H$17)</f>
        <v>0.35714285714285715</v>
      </c>
      <c r="R6" s="11">
        <f>SUM(M6:M7)</f>
        <v>0.97095059445466858</v>
      </c>
      <c r="S6" s="11">
        <f>Q6*R6</f>
        <v>0.34676806944809591</v>
      </c>
      <c r="T6" s="11"/>
      <c r="U6" s="7"/>
      <c r="V6" s="7" t="s">
        <v>8</v>
      </c>
      <c r="W6" s="11">
        <f>SUMIF($C$4:$C$17,"="&amp;V6,$H$4:$H$17)/SUM($H$4:$H$17)</f>
        <v>0.35714285714285715</v>
      </c>
      <c r="X6" s="12">
        <f>-1*W6*LOG(W6,2)</f>
        <v>0.53050958113222912</v>
      </c>
      <c r="AE6">
        <v>2</v>
      </c>
      <c r="AF6" t="s">
        <v>8</v>
      </c>
      <c r="AG6">
        <v>80</v>
      </c>
      <c r="AH6">
        <v>90</v>
      </c>
      <c r="AI6" t="b">
        <v>1</v>
      </c>
      <c r="AJ6" t="s">
        <v>6</v>
      </c>
      <c r="AK6">
        <v>1</v>
      </c>
      <c r="AN6" s="10" t="b">
        <v>1</v>
      </c>
      <c r="AO6" s="7" t="s">
        <v>7</v>
      </c>
      <c r="AP6" s="11">
        <f>SUMIFS($AK$5:$AK$9,$AJ$5:$AJ$9,"="&amp;$AO6,$AI$5:$AI$9,"="&amp;$AN6)/SUMIF($AI$5:$AI$9,"="&amp;$AN6,$AK$5:$AK$9)</f>
        <v>0.5</v>
      </c>
      <c r="AQ6" s="11">
        <f>IFERROR(-1*AP6*LOG(AP6,2),0)</f>
        <v>0.5</v>
      </c>
      <c r="AR6" s="7"/>
      <c r="AS6" s="7" t="b">
        <v>1</v>
      </c>
      <c r="AT6" s="11">
        <f>SUMIF($AI$5:$AI$9,"="&amp;AS6,$AK$5:$AK$9)/SUM($AK$5:$AK$9)</f>
        <v>0.4</v>
      </c>
      <c r="AU6" s="11">
        <f>SUM(AQ6:AQ7)</f>
        <v>1</v>
      </c>
      <c r="AV6" s="11">
        <f>AT6*AU6</f>
        <v>0.4</v>
      </c>
      <c r="AW6" s="11"/>
      <c r="AX6" s="7"/>
      <c r="AY6" s="7" t="b">
        <v>1</v>
      </c>
      <c r="AZ6" s="11">
        <f>SUMIF($AI$5:$AI$9,"="&amp;AY6,$AK$5:$AK$9)/SUM($AK$5:$AK$9)</f>
        <v>0.4</v>
      </c>
      <c r="BA6" s="12">
        <f>-1*AZ6*LOG(AZ6,2)</f>
        <v>0.52877123795494485</v>
      </c>
      <c r="BD6" t="s">
        <v>4</v>
      </c>
      <c r="BE6">
        <v>2.1000000000000001E-2</v>
      </c>
      <c r="BJ6">
        <v>9</v>
      </c>
      <c r="BK6" t="s">
        <v>8</v>
      </c>
      <c r="BL6">
        <v>69</v>
      </c>
      <c r="BM6">
        <v>70</v>
      </c>
      <c r="BN6" t="b">
        <v>0</v>
      </c>
      <c r="BO6" t="s">
        <v>7</v>
      </c>
      <c r="BP6">
        <v>1</v>
      </c>
      <c r="BW6" t="s">
        <v>66</v>
      </c>
      <c r="BZ6" s="34" t="s">
        <v>70</v>
      </c>
    </row>
    <row r="7" spans="2:78" x14ac:dyDescent="0.25">
      <c r="B7">
        <v>4</v>
      </c>
      <c r="C7" t="s">
        <v>10</v>
      </c>
      <c r="D7">
        <v>70</v>
      </c>
      <c r="E7">
        <v>96</v>
      </c>
      <c r="F7" t="b">
        <v>0</v>
      </c>
      <c r="G7" t="s">
        <v>7</v>
      </c>
      <c r="H7">
        <v>1</v>
      </c>
      <c r="J7" s="10" t="s">
        <v>8</v>
      </c>
      <c r="K7" s="7" t="s">
        <v>6</v>
      </c>
      <c r="L7" s="11">
        <f t="shared" si="0"/>
        <v>0.6</v>
      </c>
      <c r="M7" s="11">
        <f t="shared" ref="M7:M11" si="1">IFERROR(-1*L7*LOG(L7,2),0)</f>
        <v>0.44217935649972373</v>
      </c>
      <c r="N7" s="11"/>
      <c r="O7" s="7"/>
      <c r="P7" s="7" t="s">
        <v>9</v>
      </c>
      <c r="Q7" s="11">
        <f>SUMIF($C$4:$C$17,"="&amp;J8,$H$4:$H$17)/SUM($H$4:$H$17)</f>
        <v>0.2857142857142857</v>
      </c>
      <c r="R7" s="11">
        <f>SUM(M8:M9)</f>
        <v>0</v>
      </c>
      <c r="S7" s="11">
        <f t="shared" ref="S7:S8" si="2">Q7*R7</f>
        <v>0</v>
      </c>
      <c r="T7" s="11"/>
      <c r="U7" s="7"/>
      <c r="V7" s="7" t="s">
        <v>9</v>
      </c>
      <c r="W7" s="11">
        <f>SUMIF($C$4:$C$17,"="&amp;V7,$H$4:$H$17)/SUM($H$4:$H$17)</f>
        <v>0.2857142857142857</v>
      </c>
      <c r="X7" s="12">
        <f>-1*W7*LOG(W7,2)</f>
        <v>0.51638712058788683</v>
      </c>
      <c r="AE7">
        <v>8</v>
      </c>
      <c r="AF7" t="s">
        <v>8</v>
      </c>
      <c r="AG7">
        <v>72</v>
      </c>
      <c r="AH7">
        <v>95</v>
      </c>
      <c r="AI7" t="b">
        <v>0</v>
      </c>
      <c r="AJ7" t="s">
        <v>6</v>
      </c>
      <c r="AK7">
        <v>1</v>
      </c>
      <c r="AN7" s="10" t="b">
        <v>1</v>
      </c>
      <c r="AO7" s="7" t="s">
        <v>6</v>
      </c>
      <c r="AP7" s="11">
        <f>SUMIFS($AK$5:$AK$9,$AJ$5:$AJ$9,"="&amp;$AO7,$AI$5:$AI$9,"="&amp;$AN7)/SUMIF($AI$5:$AI$9,"="&amp;$AN7,$AK$5:$AK$9)</f>
        <v>0.5</v>
      </c>
      <c r="AQ7" s="11">
        <f t="shared" ref="AQ7:AQ9" si="3">IFERROR(-1*AP7*LOG(AP7,2),0)</f>
        <v>0.5</v>
      </c>
      <c r="AR7" s="7"/>
      <c r="AS7" s="7" t="b">
        <v>0</v>
      </c>
      <c r="AT7" s="11">
        <f>SUMIF($AI$5:$AI$9,"="&amp;AS7,$AK$5:$AK$9)/SUM($AK$5:$AK$9)</f>
        <v>0.6</v>
      </c>
      <c r="AU7" s="11">
        <f>SUM(AQ8:AQ9)</f>
        <v>0.91829583405448956</v>
      </c>
      <c r="AV7" s="11">
        <f t="shared" ref="AV7" si="4">AT7*AU7</f>
        <v>0.55097750043269367</v>
      </c>
      <c r="AW7" s="11"/>
      <c r="AX7" s="7"/>
      <c r="AY7" s="7" t="b">
        <v>0</v>
      </c>
      <c r="AZ7" s="11">
        <f>SUMIF($AI$5:$AI$9,"="&amp;AY7,$AK$5:$AK$9)/SUM($AK$5:$AK$9)</f>
        <v>0.6</v>
      </c>
      <c r="BA7" s="12">
        <f>-1*AZ7*LOG(AZ7,2)</f>
        <v>0.44217935649972373</v>
      </c>
      <c r="BD7" t="s">
        <v>3</v>
      </c>
      <c r="BE7" s="2">
        <f>MAX(BB17,BB21,BB25,BB29)</f>
        <v>1</v>
      </c>
      <c r="BF7" s="32" t="s">
        <v>53</v>
      </c>
      <c r="BJ7">
        <v>11</v>
      </c>
      <c r="BK7" t="s">
        <v>8</v>
      </c>
      <c r="BL7">
        <v>75</v>
      </c>
      <c r="BM7">
        <v>70</v>
      </c>
      <c r="BN7" t="b">
        <v>1</v>
      </c>
      <c r="BO7" t="s">
        <v>7</v>
      </c>
      <c r="BP7">
        <v>1</v>
      </c>
      <c r="BZ7" s="36" t="s">
        <v>75</v>
      </c>
    </row>
    <row r="8" spans="2:78" ht="18" customHeight="1" x14ac:dyDescent="0.25">
      <c r="B8">
        <v>5</v>
      </c>
      <c r="C8" t="s">
        <v>10</v>
      </c>
      <c r="D8">
        <v>68</v>
      </c>
      <c r="E8">
        <v>80</v>
      </c>
      <c r="F8" t="b">
        <v>0</v>
      </c>
      <c r="G8" t="s">
        <v>7</v>
      </c>
      <c r="H8">
        <v>1</v>
      </c>
      <c r="J8" s="10" t="s">
        <v>9</v>
      </c>
      <c r="K8" s="7" t="s">
        <v>7</v>
      </c>
      <c r="L8" s="11">
        <f t="shared" si="0"/>
        <v>1</v>
      </c>
      <c r="M8" s="11">
        <f t="shared" si="1"/>
        <v>0</v>
      </c>
      <c r="N8" s="11"/>
      <c r="O8" s="7"/>
      <c r="P8" s="7" t="s">
        <v>10</v>
      </c>
      <c r="Q8" s="11">
        <f>SUMIF($C$4:$C$17,"="&amp;P8,$H$4:$H$17)/SUM($H$4:$H$17)</f>
        <v>0.35714285714285715</v>
      </c>
      <c r="R8" s="11">
        <f>SUM(M10:M11)</f>
        <v>0.97095059445466858</v>
      </c>
      <c r="S8" s="11">
        <f t="shared" si="2"/>
        <v>0.34676806944809591</v>
      </c>
      <c r="T8" s="11"/>
      <c r="U8" s="7"/>
      <c r="V8" s="7" t="s">
        <v>10</v>
      </c>
      <c r="W8" s="11">
        <f>SUMIF($C$4:$C$17,"="&amp;V8,$H$4:$H$17)/SUM($H$4:$H$17)</f>
        <v>0.35714285714285715</v>
      </c>
      <c r="X8" s="12">
        <f>-1*W8*LOG(W8,2)</f>
        <v>0.53050958113222912</v>
      </c>
      <c r="AE8">
        <v>9</v>
      </c>
      <c r="AF8" t="s">
        <v>8</v>
      </c>
      <c r="AG8">
        <v>69</v>
      </c>
      <c r="AH8">
        <v>70</v>
      </c>
      <c r="AI8" t="b">
        <v>0</v>
      </c>
      <c r="AJ8" t="s">
        <v>7</v>
      </c>
      <c r="AK8">
        <v>1</v>
      </c>
      <c r="AN8" s="10" t="b">
        <v>0</v>
      </c>
      <c r="AO8" s="7" t="s">
        <v>7</v>
      </c>
      <c r="AP8" s="11">
        <f>SUMIFS($AK$5:$AK$9,$AJ$5:$AJ$9,"="&amp;$AO8,$AI$5:$AI$9,"="&amp;$AN8)/SUMIF($AI$5:$AI$9,"="&amp;$AN8,$AK$5:$AK$9)</f>
        <v>0.33333333333333331</v>
      </c>
      <c r="AQ8" s="11">
        <f t="shared" si="3"/>
        <v>0.52832083357371873</v>
      </c>
      <c r="AR8" s="7"/>
      <c r="AS8" s="7"/>
      <c r="AT8" s="11"/>
      <c r="AU8" s="13" t="s">
        <v>13</v>
      </c>
      <c r="AV8" s="11">
        <f>SUM(AV6:AV7)</f>
        <v>0.95097750043269369</v>
      </c>
      <c r="AW8" s="11"/>
      <c r="AX8" s="7"/>
      <c r="AY8" s="7"/>
      <c r="AZ8" s="13" t="s">
        <v>13</v>
      </c>
      <c r="BA8" s="12">
        <f>SUM(BA6:BA7)</f>
        <v>0.97095059445466858</v>
      </c>
      <c r="BE8" s="38" t="s">
        <v>83</v>
      </c>
      <c r="BF8" s="38"/>
      <c r="BG8" s="38"/>
      <c r="BH8" s="38"/>
      <c r="BI8" s="37"/>
      <c r="BZ8" s="34" t="s">
        <v>69</v>
      </c>
    </row>
    <row r="9" spans="2:78" x14ac:dyDescent="0.25">
      <c r="B9">
        <v>6</v>
      </c>
      <c r="C9" t="s">
        <v>10</v>
      </c>
      <c r="D9">
        <v>65</v>
      </c>
      <c r="E9">
        <v>70</v>
      </c>
      <c r="F9" t="b">
        <v>1</v>
      </c>
      <c r="G9" t="s">
        <v>6</v>
      </c>
      <c r="H9">
        <v>1</v>
      </c>
      <c r="J9" s="10" t="s">
        <v>9</v>
      </c>
      <c r="K9" s="7" t="s">
        <v>6</v>
      </c>
      <c r="L9" s="11">
        <f t="shared" si="0"/>
        <v>0</v>
      </c>
      <c r="M9" s="11">
        <f t="shared" si="1"/>
        <v>0</v>
      </c>
      <c r="N9" s="11"/>
      <c r="O9" s="7"/>
      <c r="P9" s="7"/>
      <c r="Q9" s="7"/>
      <c r="R9" s="13" t="s">
        <v>13</v>
      </c>
      <c r="S9" s="11">
        <f>SUM(S6:S8)</f>
        <v>0.69353613889619181</v>
      </c>
      <c r="T9" s="11"/>
      <c r="U9" s="7"/>
      <c r="V9" s="7"/>
      <c r="W9" s="13" t="s">
        <v>13</v>
      </c>
      <c r="X9" s="12">
        <f>SUM(X6:X8)</f>
        <v>1.5774062828523452</v>
      </c>
      <c r="AE9">
        <v>11</v>
      </c>
      <c r="AF9" t="s">
        <v>8</v>
      </c>
      <c r="AG9">
        <v>75</v>
      </c>
      <c r="AH9">
        <v>70</v>
      </c>
      <c r="AI9" t="b">
        <v>1</v>
      </c>
      <c r="AJ9" t="s">
        <v>7</v>
      </c>
      <c r="AK9">
        <v>1</v>
      </c>
      <c r="AN9" s="14" t="b">
        <v>0</v>
      </c>
      <c r="AO9" s="15" t="s">
        <v>6</v>
      </c>
      <c r="AP9" s="17">
        <f>SUMIFS($AK$5:$AK$9,$AJ$5:$AJ$9,"="&amp;$AO9,$AI$5:$AI$9,"="&amp;$AN9)/SUMIF($AI$5:$AI$9,"="&amp;$AN9,$AK$5:$AK$9)</f>
        <v>0.66666666666666663</v>
      </c>
      <c r="AQ9" s="17">
        <f t="shared" si="3"/>
        <v>0.38997500048077083</v>
      </c>
      <c r="AR9" s="15"/>
      <c r="AS9" s="15"/>
      <c r="AT9" s="16"/>
      <c r="AU9" s="16" t="s">
        <v>23</v>
      </c>
      <c r="AV9" s="17">
        <f>$AK$15-$AV8</f>
        <v>1.9973094021974891E-2</v>
      </c>
      <c r="AW9" s="17"/>
      <c r="AX9" s="15"/>
      <c r="AY9" s="15"/>
      <c r="AZ9" s="16" t="s">
        <v>21</v>
      </c>
      <c r="BA9" s="18">
        <f>AV9/BA8</f>
        <v>2.0570659450692974E-2</v>
      </c>
      <c r="BE9" s="38"/>
      <c r="BF9" s="38"/>
      <c r="BG9" s="38"/>
      <c r="BH9" s="38"/>
      <c r="BI9" s="37"/>
      <c r="BM9" s="3" t="s">
        <v>56</v>
      </c>
      <c r="BN9" s="4"/>
      <c r="BO9" s="5"/>
      <c r="BZ9" s="36" t="s">
        <v>76</v>
      </c>
    </row>
    <row r="10" spans="2:78" x14ac:dyDescent="0.25">
      <c r="B10">
        <v>7</v>
      </c>
      <c r="C10" t="s">
        <v>9</v>
      </c>
      <c r="D10">
        <v>64</v>
      </c>
      <c r="E10">
        <v>65</v>
      </c>
      <c r="F10" t="b">
        <v>1</v>
      </c>
      <c r="G10" t="s">
        <v>7</v>
      </c>
      <c r="H10">
        <v>1</v>
      </c>
      <c r="J10" s="10" t="s">
        <v>10</v>
      </c>
      <c r="K10" s="7" t="s">
        <v>7</v>
      </c>
      <c r="L10" s="11">
        <f t="shared" si="0"/>
        <v>0.6</v>
      </c>
      <c r="M10" s="11">
        <f t="shared" si="1"/>
        <v>0.44217935649972373</v>
      </c>
      <c r="N10" s="11"/>
      <c r="O10" s="7"/>
      <c r="P10" s="7"/>
      <c r="Q10" s="13"/>
      <c r="R10" s="13" t="s">
        <v>23</v>
      </c>
      <c r="S10" s="11">
        <f>$G$23-$S9</f>
        <v>0.24674981977443911</v>
      </c>
      <c r="T10" s="11"/>
      <c r="U10" s="7"/>
      <c r="V10" s="7"/>
      <c r="W10" s="13" t="s">
        <v>21</v>
      </c>
      <c r="X10" s="12">
        <f>S10/X9</f>
        <v>0.15642756242117517</v>
      </c>
      <c r="AL10" s="7"/>
      <c r="BE10" s="38"/>
      <c r="BF10" s="38"/>
      <c r="BG10" s="38"/>
      <c r="BH10" s="38"/>
      <c r="BI10" s="37"/>
      <c r="BM10" s="10"/>
      <c r="BN10" s="7" t="s">
        <v>15</v>
      </c>
      <c r="BO10" s="9" t="s">
        <v>12</v>
      </c>
      <c r="BZ10" s="33" t="s">
        <v>71</v>
      </c>
    </row>
    <row r="11" spans="2:78" x14ac:dyDescent="0.25">
      <c r="B11">
        <v>8</v>
      </c>
      <c r="C11" t="s">
        <v>8</v>
      </c>
      <c r="D11">
        <v>72</v>
      </c>
      <c r="E11">
        <v>95</v>
      </c>
      <c r="F11" t="b">
        <v>0</v>
      </c>
      <c r="G11" t="s">
        <v>6</v>
      </c>
      <c r="H11">
        <v>1</v>
      </c>
      <c r="J11" s="14" t="s">
        <v>10</v>
      </c>
      <c r="K11" s="15" t="s">
        <v>6</v>
      </c>
      <c r="L11" s="17">
        <f t="shared" si="0"/>
        <v>0.4</v>
      </c>
      <c r="M11" s="17">
        <f t="shared" si="1"/>
        <v>0.52877123795494485</v>
      </c>
      <c r="N11" s="17"/>
      <c r="O11" s="15"/>
      <c r="P11" s="15"/>
      <c r="Q11" s="15"/>
      <c r="R11" s="16"/>
      <c r="S11" s="15"/>
      <c r="T11" s="15"/>
      <c r="U11" s="15"/>
      <c r="V11" s="15"/>
      <c r="W11" s="15"/>
      <c r="X11" s="21"/>
      <c r="AI11" s="3" t="s">
        <v>50</v>
      </c>
      <c r="AJ11" s="4"/>
      <c r="AK11" s="5"/>
      <c r="AL11" s="7"/>
      <c r="AM11" s="26"/>
      <c r="AN11" s="22" t="s">
        <v>51</v>
      </c>
      <c r="AO11" s="4"/>
      <c r="AP11" s="4"/>
      <c r="AQ11" s="4"/>
      <c r="AR11" s="4"/>
      <c r="AS11" s="4"/>
      <c r="AT11" s="4"/>
      <c r="AU11" s="4"/>
      <c r="AV11" s="4"/>
      <c r="AW11" s="4"/>
      <c r="AX11" s="4"/>
      <c r="AY11" s="4"/>
      <c r="AZ11" s="22" t="s">
        <v>48</v>
      </c>
      <c r="BA11" s="4"/>
      <c r="BB11" s="5"/>
      <c r="BC11" s="7"/>
      <c r="BE11" s="38"/>
      <c r="BF11" s="38"/>
      <c r="BG11" s="38"/>
      <c r="BH11" s="38"/>
      <c r="BI11" s="37"/>
      <c r="BM11" s="10" t="s">
        <v>7</v>
      </c>
      <c r="BN11" s="11">
        <f>SUMIF(BO6:BO7,"=Yes",$BP$6:$BP$7)/SUM($BP$6:$BP$7)</f>
        <v>1</v>
      </c>
      <c r="BO11" s="12">
        <f>-IFERROR(1*BN11*LOG(BN11,2),0)</f>
        <v>0</v>
      </c>
      <c r="BZ11" s="34" t="s">
        <v>72</v>
      </c>
    </row>
    <row r="12" spans="2:78" x14ac:dyDescent="0.25">
      <c r="B12">
        <v>9</v>
      </c>
      <c r="C12" t="s">
        <v>8</v>
      </c>
      <c r="D12">
        <v>69</v>
      </c>
      <c r="E12">
        <v>70</v>
      </c>
      <c r="F12" t="b">
        <v>0</v>
      </c>
      <c r="G12" t="s">
        <v>7</v>
      </c>
      <c r="H12">
        <v>1</v>
      </c>
      <c r="AI12" s="10"/>
      <c r="AJ12" s="7" t="s">
        <v>15</v>
      </c>
      <c r="AK12" s="9" t="s">
        <v>12</v>
      </c>
      <c r="AL12" s="7"/>
      <c r="AM12" s="10"/>
      <c r="AN12" s="8" t="s">
        <v>14</v>
      </c>
      <c r="AO12" s="7"/>
      <c r="AP12" s="7"/>
      <c r="AQ12" s="7"/>
      <c r="AR12" s="7"/>
      <c r="AS12" s="7"/>
      <c r="AT12" s="8" t="s">
        <v>22</v>
      </c>
      <c r="AU12" s="7"/>
      <c r="AV12" s="7"/>
      <c r="AW12" s="7"/>
      <c r="AX12" s="7"/>
      <c r="AY12" s="7"/>
      <c r="AZ12" s="8" t="s">
        <v>21</v>
      </c>
      <c r="BA12" s="7"/>
      <c r="BB12" s="9"/>
      <c r="BC12" s="7"/>
      <c r="BE12" s="38"/>
      <c r="BF12" s="38"/>
      <c r="BG12" s="38"/>
      <c r="BH12" s="38"/>
      <c r="BI12" s="37"/>
      <c r="BM12" s="10" t="s">
        <v>6</v>
      </c>
      <c r="BN12" s="11">
        <f>SUMIF(BO6:BO7,"=No",$BP$6:$BP$7)/SUM($BP$6:$BP$7)</f>
        <v>0</v>
      </c>
      <c r="BO12" s="12">
        <f>-IFERROR(1*BN12*LOG(BN12,2),0)</f>
        <v>0</v>
      </c>
      <c r="BQ12" s="30" t="s">
        <v>57</v>
      </c>
      <c r="BZ12" s="36" t="s">
        <v>76</v>
      </c>
    </row>
    <row r="13" spans="2:78" ht="18" customHeight="1" x14ac:dyDescent="0.25">
      <c r="B13">
        <v>10</v>
      </c>
      <c r="C13" t="s">
        <v>10</v>
      </c>
      <c r="D13">
        <v>75</v>
      </c>
      <c r="E13">
        <v>80</v>
      </c>
      <c r="F13" t="b">
        <v>0</v>
      </c>
      <c r="G13" t="s">
        <v>7</v>
      </c>
      <c r="H13">
        <v>1</v>
      </c>
      <c r="J13" s="3" t="s">
        <v>19</v>
      </c>
      <c r="K13" s="4"/>
      <c r="L13" s="4"/>
      <c r="M13" s="4"/>
      <c r="N13" s="4"/>
      <c r="O13" s="4"/>
      <c r="P13" s="4"/>
      <c r="Q13" s="4"/>
      <c r="R13" s="4"/>
      <c r="S13" s="4"/>
      <c r="T13" s="4"/>
      <c r="U13" s="4"/>
      <c r="V13" s="22" t="s">
        <v>24</v>
      </c>
      <c r="W13" s="4"/>
      <c r="X13" s="5"/>
      <c r="AI13" s="10" t="s">
        <v>7</v>
      </c>
      <c r="AJ13" s="11">
        <f>SUMIF(AJ5:AJ9,"=Yes",$AK$5:$AK$9)/SUM($AK$5:$AK$9)</f>
        <v>0.4</v>
      </c>
      <c r="AK13" s="12">
        <f>-1*AJ13*LOG(AJ13,2)</f>
        <v>0.52877123795494485</v>
      </c>
      <c r="AL13" s="11"/>
      <c r="AM13" s="10"/>
      <c r="AN13" s="7"/>
      <c r="AO13" s="7"/>
      <c r="AP13" s="7" t="s">
        <v>11</v>
      </c>
      <c r="AQ13" s="7" t="s">
        <v>17</v>
      </c>
      <c r="AR13" s="7"/>
      <c r="AS13" s="7"/>
      <c r="AT13" s="7"/>
      <c r="AU13" s="7" t="s">
        <v>16</v>
      </c>
      <c r="AV13" s="7" t="s">
        <v>17</v>
      </c>
      <c r="AW13" s="7" t="s">
        <v>18</v>
      </c>
      <c r="AX13" s="13"/>
      <c r="AY13" s="7"/>
      <c r="AZ13" s="7"/>
      <c r="BA13" s="7" t="s">
        <v>16</v>
      </c>
      <c r="BB13" s="9" t="s">
        <v>12</v>
      </c>
      <c r="BC13" s="13"/>
      <c r="BE13" s="31"/>
      <c r="BF13" s="31"/>
      <c r="BG13" s="31"/>
      <c r="BM13" s="14"/>
      <c r="BN13" s="16" t="s">
        <v>13</v>
      </c>
      <c r="BO13" s="18">
        <f>SUM(BO11:BO12)</f>
        <v>0</v>
      </c>
      <c r="BR13" t="s">
        <v>7</v>
      </c>
      <c r="BZ13" s="34" t="s">
        <v>73</v>
      </c>
    </row>
    <row r="14" spans="2:78" x14ac:dyDescent="0.25">
      <c r="B14">
        <v>11</v>
      </c>
      <c r="C14" t="s">
        <v>8</v>
      </c>
      <c r="D14">
        <v>75</v>
      </c>
      <c r="E14">
        <v>70</v>
      </c>
      <c r="F14" t="b">
        <v>1</v>
      </c>
      <c r="G14" t="s">
        <v>7</v>
      </c>
      <c r="H14">
        <v>1</v>
      </c>
      <c r="J14" s="6" t="s">
        <v>14</v>
      </c>
      <c r="K14" s="7"/>
      <c r="L14" s="7"/>
      <c r="M14" s="7"/>
      <c r="N14" s="7"/>
      <c r="O14" s="7"/>
      <c r="P14" s="8" t="s">
        <v>22</v>
      </c>
      <c r="Q14" s="7"/>
      <c r="R14" s="7"/>
      <c r="S14" s="7"/>
      <c r="T14" s="7"/>
      <c r="U14" s="7"/>
      <c r="V14" s="8" t="s">
        <v>21</v>
      </c>
      <c r="W14" s="7"/>
      <c r="X14" s="9"/>
      <c r="AI14" s="10" t="s">
        <v>6</v>
      </c>
      <c r="AJ14" s="11">
        <f>SUMIF(AJ5:AJ9,"=No",$AK$5:$AK$9)/SUM($AK$5:$AK$9)</f>
        <v>0.6</v>
      </c>
      <c r="AK14" s="12">
        <f>-1*AJ14*LOG(AJ14,2)</f>
        <v>0.44217935649972373</v>
      </c>
      <c r="AL14" s="11"/>
      <c r="AM14" s="10" t="s">
        <v>81</v>
      </c>
      <c r="AN14" s="7">
        <v>70</v>
      </c>
      <c r="AO14" s="7" t="s">
        <v>7</v>
      </c>
      <c r="AP14" s="11">
        <f>SUMIFS($AK$5:$AK$9,$AJ$5:$AJ$9,"="&amp;$AO14,$AH$5:$AH$9,"&lt;="&amp;$AN14)/SUMIF($AH$5:$AH$9,"&lt;="&amp;$AN14,$AK$5:$AK$9)</f>
        <v>1</v>
      </c>
      <c r="AQ14" s="11">
        <f>IFERROR(-1*AP14*LOG(AP14,2),0)</f>
        <v>0</v>
      </c>
      <c r="AR14" s="11"/>
      <c r="AS14" s="41" t="s">
        <v>81</v>
      </c>
      <c r="AT14" s="7">
        <v>70</v>
      </c>
      <c r="AU14" s="11">
        <f>SUMIF($AH$5:$AH$9,"&lt;="&amp;AT14,$AK$5:$AK$9)/SUM($AK$5:$AK$9)</f>
        <v>0.4</v>
      </c>
      <c r="AV14" s="11">
        <f>SUM(AQ14:AQ15)</f>
        <v>0</v>
      </c>
      <c r="AW14" s="11">
        <f>AU14*AV14</f>
        <v>0</v>
      </c>
      <c r="AX14" s="11"/>
      <c r="AY14" s="41" t="s">
        <v>81</v>
      </c>
      <c r="AZ14" s="7">
        <v>70</v>
      </c>
      <c r="BA14" s="11">
        <f>SUMIF($AH$5:$AH$9,"&lt;="&amp;AZ14,$AK$5:$AK$9)/SUM($AK$5:$AK$9)</f>
        <v>0.4</v>
      </c>
      <c r="BB14" s="12">
        <f>IFERROR(-1*BA14*LOG(BA14,2),0)</f>
        <v>0.52877123795494485</v>
      </c>
      <c r="BC14" s="11"/>
      <c r="BE14" s="31"/>
      <c r="BF14" s="31"/>
      <c r="BG14" s="31"/>
      <c r="BZ14" s="36" t="s">
        <v>75</v>
      </c>
    </row>
    <row r="15" spans="2:78" x14ac:dyDescent="0.25">
      <c r="B15">
        <v>12</v>
      </c>
      <c r="C15" t="s">
        <v>9</v>
      </c>
      <c r="D15">
        <v>72</v>
      </c>
      <c r="E15">
        <v>90</v>
      </c>
      <c r="F15" t="b">
        <v>1</v>
      </c>
      <c r="G15" t="s">
        <v>7</v>
      </c>
      <c r="H15">
        <v>1</v>
      </c>
      <c r="J15" s="10"/>
      <c r="K15" s="7"/>
      <c r="L15" s="7" t="s">
        <v>11</v>
      </c>
      <c r="M15" s="7" t="s">
        <v>17</v>
      </c>
      <c r="N15" s="7"/>
      <c r="O15" s="7"/>
      <c r="P15" s="7"/>
      <c r="Q15" s="7" t="s">
        <v>16</v>
      </c>
      <c r="R15" s="7" t="s">
        <v>17</v>
      </c>
      <c r="S15" s="7" t="s">
        <v>18</v>
      </c>
      <c r="T15" s="7"/>
      <c r="U15" s="7"/>
      <c r="V15" s="7"/>
      <c r="W15" s="7" t="s">
        <v>15</v>
      </c>
      <c r="X15" s="9" t="s">
        <v>12</v>
      </c>
      <c r="AI15" s="14"/>
      <c r="AJ15" s="16" t="s">
        <v>13</v>
      </c>
      <c r="AK15" s="18">
        <f>SUM(AK13:AK14)</f>
        <v>0.97095059445466858</v>
      </c>
      <c r="AL15" s="11"/>
      <c r="AM15" s="10" t="s">
        <v>81</v>
      </c>
      <c r="AN15" s="7">
        <v>70</v>
      </c>
      <c r="AO15" s="7" t="s">
        <v>6</v>
      </c>
      <c r="AP15" s="11">
        <f>SUMIFS($AK$5:$AK$9,$AJ$5:$AJ$9,"="&amp;$AO15,$AH$5:$AH$9,"&lt;="&amp;$AN15)/SUMIF($AH$5:$AH$9,"&lt;="&amp;$AN15,$AK$5:$AK$9)</f>
        <v>0</v>
      </c>
      <c r="AQ15" s="11">
        <f>IFERROR(-1*AP15*LOG(AP15,2),0)</f>
        <v>0</v>
      </c>
      <c r="AR15" s="11"/>
      <c r="AS15" s="41" t="s">
        <v>80</v>
      </c>
      <c r="AT15" s="7">
        <v>70</v>
      </c>
      <c r="AU15" s="11">
        <f>SUMIF($AH$5:$AH$9,"&gt;"&amp;AT15,$AK$5:$AK$9)/SUM($AK$5:$AK$9)</f>
        <v>0.6</v>
      </c>
      <c r="AV15" s="11">
        <f>SUM(AQ16:AQ17)</f>
        <v>0</v>
      </c>
      <c r="AW15" s="11">
        <f>AU15*AV15</f>
        <v>0</v>
      </c>
      <c r="AX15" s="7"/>
      <c r="AY15" s="41" t="s">
        <v>80</v>
      </c>
      <c r="AZ15" s="7">
        <v>70</v>
      </c>
      <c r="BA15" s="11">
        <f>SUMIF($AH$5:$AH$9,"&gt;"&amp;AZ15,$AK$5:$AK$9)/SUM($AK$5:$AK$9)</f>
        <v>0.6</v>
      </c>
      <c r="BB15" s="12">
        <f>IFERROR(-1*BA15*LOG(BA15,2),0)</f>
        <v>0.44217935649972373</v>
      </c>
      <c r="BC15" s="11"/>
      <c r="BJ15" s="1" t="s">
        <v>55</v>
      </c>
      <c r="BZ15" s="33" t="s">
        <v>68</v>
      </c>
    </row>
    <row r="16" spans="2:78" x14ac:dyDescent="0.25">
      <c r="B16">
        <v>13</v>
      </c>
      <c r="C16" t="s">
        <v>9</v>
      </c>
      <c r="D16">
        <v>81</v>
      </c>
      <c r="E16">
        <v>75</v>
      </c>
      <c r="F16" t="b">
        <v>0</v>
      </c>
      <c r="G16" t="s">
        <v>7</v>
      </c>
      <c r="H16">
        <v>1</v>
      </c>
      <c r="J16" s="10" t="b">
        <v>1</v>
      </c>
      <c r="K16" s="7" t="s">
        <v>7</v>
      </c>
      <c r="L16" s="11">
        <f>SUMIFS($H$4:$H$17,$G$4:$G$17,"="&amp;$K16,$F$4:$F$17,"="&amp;$J16)/SUMIF($F$4:$F$17,"="&amp;$J16,$H$4:$H$17)</f>
        <v>0.5</v>
      </c>
      <c r="M16" s="11">
        <f>IFERROR(-1*L16*LOG(L16,2),0)</f>
        <v>0.5</v>
      </c>
      <c r="N16" s="11"/>
      <c r="O16" s="7"/>
      <c r="P16" s="7" t="b">
        <v>1</v>
      </c>
      <c r="Q16" s="11">
        <f>SUMIF($F$4:$F$17,"="&amp;J16,$H$4:$H$17)/SUM($H$4:$H$17)</f>
        <v>0.42857142857142855</v>
      </c>
      <c r="R16" s="11">
        <f>SUM(M16:M17)</f>
        <v>1</v>
      </c>
      <c r="S16" s="11">
        <f>Q16*R16</f>
        <v>0.42857142857142855</v>
      </c>
      <c r="T16" s="11"/>
      <c r="U16" s="7"/>
      <c r="V16" s="7" t="b">
        <v>1</v>
      </c>
      <c r="W16" s="11">
        <f>SUMIF($F$4:$F$17,"="&amp;V16,$H$4:$H$17)/SUM($H$4:$H$17)</f>
        <v>0.42857142857142855</v>
      </c>
      <c r="X16" s="12">
        <f>-1*W16*LOG(W16,2)</f>
        <v>0.52388246628704915</v>
      </c>
      <c r="AM16" s="10" t="s">
        <v>80</v>
      </c>
      <c r="AN16" s="7">
        <v>70</v>
      </c>
      <c r="AO16" s="7" t="s">
        <v>7</v>
      </c>
      <c r="AP16" s="11">
        <f>SUMIFS($AK$5:$AK$9,$AJ$5:$AJ$9,"="&amp;$AO16,$AH$5:$AH$9,"&gt;"&amp;$AN16)/SUMIF($AH$5:$AH$9,"&gt;"&amp;$AN16,$AK$5:$AK$9)</f>
        <v>0</v>
      </c>
      <c r="AQ16" s="11">
        <f>IFERROR(-1*AP16*LOG(AP16,2),0)</f>
        <v>0</v>
      </c>
      <c r="AR16" s="11"/>
      <c r="AS16" s="7"/>
      <c r="AT16" s="7"/>
      <c r="AU16" s="7"/>
      <c r="AV16" s="13" t="s">
        <v>13</v>
      </c>
      <c r="AW16" s="11">
        <f>SUM(AW14:AW15)</f>
        <v>0</v>
      </c>
      <c r="AX16" s="7"/>
      <c r="AY16" s="7"/>
      <c r="AZ16" s="7"/>
      <c r="BA16" s="13" t="s">
        <v>13</v>
      </c>
      <c r="BB16" s="12">
        <f>SUM(BB14:BB15)</f>
        <v>0.97095059445466858</v>
      </c>
      <c r="BC16" s="11"/>
      <c r="BJ16" t="s">
        <v>0</v>
      </c>
      <c r="BK16" t="s">
        <v>1</v>
      </c>
      <c r="BL16" t="s">
        <v>2</v>
      </c>
      <c r="BM16" t="s">
        <v>3</v>
      </c>
      <c r="BN16" t="s">
        <v>4</v>
      </c>
      <c r="BO16" t="s">
        <v>5</v>
      </c>
      <c r="BP16" t="s">
        <v>20</v>
      </c>
      <c r="BZ16" s="35" t="s">
        <v>75</v>
      </c>
    </row>
    <row r="17" spans="2:70" x14ac:dyDescent="0.25">
      <c r="B17">
        <v>14</v>
      </c>
      <c r="C17" t="s">
        <v>10</v>
      </c>
      <c r="D17">
        <v>71</v>
      </c>
      <c r="E17">
        <v>80</v>
      </c>
      <c r="F17" t="b">
        <v>1</v>
      </c>
      <c r="G17" t="s">
        <v>6</v>
      </c>
      <c r="H17">
        <v>1</v>
      </c>
      <c r="J17" s="10" t="b">
        <v>1</v>
      </c>
      <c r="K17" s="7" t="s">
        <v>6</v>
      </c>
      <c r="L17" s="11">
        <f>SUMIFS($H$4:$H$17,$G$4:$G$17,"="&amp;$K17,$F$4:$F$17,"="&amp;$J17)/SUMIF($F$4:$F$17,"="&amp;$J17,$H$4:$H$17)</f>
        <v>0.5</v>
      </c>
      <c r="M17" s="11">
        <f t="shared" ref="M17:M19" si="5">IFERROR(-1*L17*LOG(L17,2),0)</f>
        <v>0.5</v>
      </c>
      <c r="N17" s="11"/>
      <c r="O17" s="7"/>
      <c r="P17" s="7" t="b">
        <v>0</v>
      </c>
      <c r="Q17" s="11">
        <f>SUMIF($F$4:$F$17,"="&amp;J18,$H$4:$H$17)/SUM($H$4:$H$17)</f>
        <v>0.5714285714285714</v>
      </c>
      <c r="R17" s="11">
        <f>SUM(M18:M19)</f>
        <v>0.81127812445913283</v>
      </c>
      <c r="S17" s="11">
        <f t="shared" ref="S17" si="6">Q17*R17</f>
        <v>0.46358749969093305</v>
      </c>
      <c r="T17" s="11"/>
      <c r="U17" s="7"/>
      <c r="V17" s="7" t="b">
        <v>0</v>
      </c>
      <c r="W17" s="11">
        <f>SUMIF($F$4:$F$17,"="&amp;V17,$H$4:$H$17)/SUM($H$4:$H$17)</f>
        <v>0.5714285714285714</v>
      </c>
      <c r="X17" s="12">
        <f>-1*W17*LOG(W17,2)</f>
        <v>0.46134566974720242</v>
      </c>
      <c r="AM17" s="10" t="s">
        <v>80</v>
      </c>
      <c r="AN17" s="7">
        <v>70</v>
      </c>
      <c r="AO17" s="7" t="s">
        <v>6</v>
      </c>
      <c r="AP17" s="11">
        <f>SUMIFS($AK$5:$AK$9,$AJ$5:$AJ$9,"="&amp;$AO17,$AH$5:$AH$9,"&gt;"&amp;$AN17)/SUMIF($AH$5:$AH$9,"&gt;"&amp;$AN17,$AK$5:$AK$9)</f>
        <v>1</v>
      </c>
      <c r="AQ17" s="11">
        <f>IFERROR(-1*AP17*LOG(AP17,2),0)</f>
        <v>0</v>
      </c>
      <c r="AR17" s="11"/>
      <c r="AS17" s="7"/>
      <c r="AT17" s="7"/>
      <c r="AU17" s="7"/>
      <c r="AV17" s="13" t="s">
        <v>23</v>
      </c>
      <c r="AW17" s="11">
        <f>$AK$15-AW16</f>
        <v>0.97095059445466858</v>
      </c>
      <c r="AX17" s="7"/>
      <c r="AY17" s="7"/>
      <c r="AZ17" s="7"/>
      <c r="BA17" s="13" t="s">
        <v>82</v>
      </c>
      <c r="BB17" s="12">
        <f>IFERROR(AW17/BB16,0)</f>
        <v>1</v>
      </c>
      <c r="BC17" s="11"/>
      <c r="BJ17">
        <v>1</v>
      </c>
      <c r="BK17" t="s">
        <v>8</v>
      </c>
      <c r="BL17">
        <v>85</v>
      </c>
      <c r="BM17">
        <v>85</v>
      </c>
      <c r="BN17" t="b">
        <v>0</v>
      </c>
      <c r="BO17" t="s">
        <v>6</v>
      </c>
      <c r="BP17">
        <v>1</v>
      </c>
    </row>
    <row r="18" spans="2:70" x14ac:dyDescent="0.25">
      <c r="J18" s="10" t="b">
        <v>0</v>
      </c>
      <c r="K18" s="7" t="s">
        <v>7</v>
      </c>
      <c r="L18" s="11">
        <f>SUMIFS($H$4:$H$17,$G$4:$G$17,"="&amp;$K18,$F$4:$F$17,"="&amp;$J18)/SUMIF($F$4:$F$17,"="&amp;$J18,$H$4:$H$17)</f>
        <v>0.75</v>
      </c>
      <c r="M18" s="11">
        <f t="shared" si="5"/>
        <v>0.31127812445913283</v>
      </c>
      <c r="N18" s="11"/>
      <c r="O18" s="7"/>
      <c r="P18" s="7"/>
      <c r="Q18" s="11"/>
      <c r="R18" s="13" t="s">
        <v>13</v>
      </c>
      <c r="S18" s="11">
        <f>SUM(S16:S17)</f>
        <v>0.89215892826236165</v>
      </c>
      <c r="T18" s="11"/>
      <c r="U18" s="7"/>
      <c r="V18" s="7"/>
      <c r="W18" s="13" t="s">
        <v>13</v>
      </c>
      <c r="X18" s="12">
        <f>SUM(X16:X17)</f>
        <v>0.98522813603425163</v>
      </c>
      <c r="AM18" s="10" t="s">
        <v>81</v>
      </c>
      <c r="AN18" s="7">
        <v>85</v>
      </c>
      <c r="AO18" s="7" t="s">
        <v>7</v>
      </c>
      <c r="AP18" s="11">
        <f>SUMIFS($AK$5:$AK$9,$AJ$5:$AJ$9,"="&amp;$AO18,$AH$5:$AH$9,"&lt;="&amp;$AN18)/SUMIF($AH$5:$AH$9,"&lt;="&amp;$AN18,$AK$5:$AK$9)</f>
        <v>0.66666666666666663</v>
      </c>
      <c r="AQ18" s="11">
        <f>IFERROR(-1*AP18*LOG(AP18,2),0)</f>
        <v>0.38997500048077083</v>
      </c>
      <c r="AR18" s="11"/>
      <c r="AS18" s="41" t="s">
        <v>81</v>
      </c>
      <c r="AT18" s="7">
        <v>85</v>
      </c>
      <c r="AU18" s="11">
        <f>SUMIF($AH$5:$AH$9,"&lt;="&amp;AT18,$AK$5:$AK$9)/SUM($AK$5:$AK$9)</f>
        <v>0.6</v>
      </c>
      <c r="AV18" s="23">
        <f>SUM(AQ18:AQ19)</f>
        <v>0.91829583405448956</v>
      </c>
      <c r="AW18" s="11">
        <f>AU18*AV18</f>
        <v>0.55097750043269367</v>
      </c>
      <c r="AX18" s="11"/>
      <c r="AY18" s="41" t="s">
        <v>81</v>
      </c>
      <c r="AZ18" s="7">
        <v>85</v>
      </c>
      <c r="BA18" s="11">
        <f>SUMIF($AH$5:$AH$9,"&lt;="&amp;AZ18,$AK$5:$AK$9)/SUM($AK$5:$AK$9)</f>
        <v>0.6</v>
      </c>
      <c r="BB18" s="12">
        <f>IFERROR(-1*BA18*LOG(BA18,2),0)</f>
        <v>0.44217935649972373</v>
      </c>
      <c r="BC18" s="7"/>
      <c r="BJ18">
        <v>2</v>
      </c>
      <c r="BK18" t="s">
        <v>8</v>
      </c>
      <c r="BL18">
        <v>80</v>
      </c>
      <c r="BM18">
        <v>90</v>
      </c>
      <c r="BN18" t="b">
        <v>1</v>
      </c>
      <c r="BO18" t="s">
        <v>6</v>
      </c>
      <c r="BP18">
        <v>1</v>
      </c>
    </row>
    <row r="19" spans="2:70" x14ac:dyDescent="0.25">
      <c r="E19" s="3" t="s">
        <v>34</v>
      </c>
      <c r="F19" s="4"/>
      <c r="G19" s="5"/>
      <c r="J19" s="14" t="b">
        <v>0</v>
      </c>
      <c r="K19" s="15" t="s">
        <v>6</v>
      </c>
      <c r="L19" s="17">
        <f>SUMIFS($H$4:$H$17,$G$4:$G$17,"="&amp;$K19,$F$4:$F$17,"="&amp;$J19)/SUMIF($F$4:$F$17,"="&amp;$J19,$H$4:$H$17)</f>
        <v>0.25</v>
      </c>
      <c r="M19" s="17">
        <f t="shared" si="5"/>
        <v>0.5</v>
      </c>
      <c r="N19" s="17"/>
      <c r="O19" s="15"/>
      <c r="P19" s="15"/>
      <c r="Q19" s="16"/>
      <c r="R19" s="16" t="s">
        <v>23</v>
      </c>
      <c r="S19" s="17">
        <f>$G$23-$S18</f>
        <v>4.8127030408269267E-2</v>
      </c>
      <c r="T19" s="17"/>
      <c r="U19" s="15"/>
      <c r="V19" s="15"/>
      <c r="W19" s="16" t="s">
        <v>21</v>
      </c>
      <c r="X19" s="18">
        <f>S19/X18</f>
        <v>4.8848615511520595E-2</v>
      </c>
      <c r="AM19" s="10" t="s">
        <v>81</v>
      </c>
      <c r="AN19" s="7">
        <v>85</v>
      </c>
      <c r="AO19" s="7" t="s">
        <v>6</v>
      </c>
      <c r="AP19" s="11">
        <f>SUMIFS($AK$5:$AK$9,$AJ$5:$AJ$9,"="&amp;$AO19,$AH$5:$AH$9,"&lt;="&amp;$AN19)/SUMIF($AH$5:$AH$9,"&lt;="&amp;$AN19,$AK$5:$AK$9)</f>
        <v>0.33333333333333331</v>
      </c>
      <c r="AQ19" s="11">
        <f>IFERROR(-1*AP19*LOG(AP19,2),0)</f>
        <v>0.52832083357371873</v>
      </c>
      <c r="AR19" s="11"/>
      <c r="AS19" s="41" t="s">
        <v>80</v>
      </c>
      <c r="AT19" s="7">
        <v>85</v>
      </c>
      <c r="AU19" s="11">
        <f>SUMIF($AH$5:$AH$9,"&gt;"&amp;AT19,$AK$5:$AK$9)/SUM($AK$5:$AK$9)</f>
        <v>0.4</v>
      </c>
      <c r="AV19" s="23">
        <f>SUM(AQ20:AQ21)</f>
        <v>0</v>
      </c>
      <c r="AW19" s="11">
        <f>AU19*AV19</f>
        <v>0</v>
      </c>
      <c r="AX19" s="7"/>
      <c r="AY19" s="41" t="s">
        <v>80</v>
      </c>
      <c r="AZ19" s="7">
        <v>85</v>
      </c>
      <c r="BA19" s="11">
        <f>SUMIF($AH$5:$AH$9,"&gt;"&amp;AZ19,$AK$5:$AK$9)/SUM($AK$5:$AK$9)</f>
        <v>0.4</v>
      </c>
      <c r="BB19" s="12">
        <f t="shared" ref="BB19" si="7">IFERROR(-1*BA19*LOG(BA19,2),0)</f>
        <v>0.52877123795494485</v>
      </c>
      <c r="BC19" s="7"/>
      <c r="BJ19">
        <v>8</v>
      </c>
      <c r="BK19" t="s">
        <v>8</v>
      </c>
      <c r="BL19">
        <v>72</v>
      </c>
      <c r="BM19">
        <v>95</v>
      </c>
      <c r="BN19" t="b">
        <v>0</v>
      </c>
      <c r="BO19" t="s">
        <v>6</v>
      </c>
      <c r="BP19">
        <v>1</v>
      </c>
    </row>
    <row r="20" spans="2:70" x14ac:dyDescent="0.25">
      <c r="E20" s="10"/>
      <c r="F20" s="7" t="s">
        <v>15</v>
      </c>
      <c r="G20" s="9" t="s">
        <v>12</v>
      </c>
      <c r="M20" s="2"/>
      <c r="N20" s="2"/>
      <c r="AM20" s="10" t="s">
        <v>80</v>
      </c>
      <c r="AN20" s="7">
        <v>85</v>
      </c>
      <c r="AO20" s="7" t="s">
        <v>7</v>
      </c>
      <c r="AP20" s="11">
        <f>SUMIFS($AK$5:$AK$9,$AJ$5:$AJ$9,"="&amp;$AO20,$AH$5:$AH$9,"&gt;"&amp;$AN20)/SUMIF($AH$5:$AH$9,"&gt;"&amp;$AN20,$AK$5:$AK$9)</f>
        <v>0</v>
      </c>
      <c r="AQ20" s="11">
        <f>IFERROR(-1*AP20*LOG(AP20,2),0)</f>
        <v>0</v>
      </c>
      <c r="AR20" s="11"/>
      <c r="AS20" s="7"/>
      <c r="AT20" s="7"/>
      <c r="AU20" s="7"/>
      <c r="AV20" s="13" t="s">
        <v>13</v>
      </c>
      <c r="AW20" s="11">
        <f>SUM(AW18:AW19)</f>
        <v>0.55097750043269367</v>
      </c>
      <c r="AX20" s="7"/>
      <c r="AY20" s="7"/>
      <c r="AZ20" s="7"/>
      <c r="BA20" s="13" t="s">
        <v>13</v>
      </c>
      <c r="BB20" s="12">
        <f>SUM(BB18:BB19)</f>
        <v>0.97095059445466858</v>
      </c>
      <c r="BC20" s="7"/>
    </row>
    <row r="21" spans="2:70" x14ac:dyDescent="0.25">
      <c r="E21" s="10" t="s">
        <v>7</v>
      </c>
      <c r="F21" s="11">
        <f>SUMIF(G4:G17,"=Yes",$H$4:$H$17)/SUM($H$4:$H$17)</f>
        <v>0.6428571428571429</v>
      </c>
      <c r="G21" s="12">
        <f>-1*F21*LOG(F21,2)</f>
        <v>0.40977637753840185</v>
      </c>
      <c r="I21" s="26"/>
      <c r="J21" s="22" t="s">
        <v>47</v>
      </c>
      <c r="K21" s="4"/>
      <c r="L21" s="4"/>
      <c r="M21" s="4"/>
      <c r="N21" s="4"/>
      <c r="O21" s="4"/>
      <c r="P21" s="4"/>
      <c r="Q21" s="4"/>
      <c r="R21" s="4"/>
      <c r="S21" s="4"/>
      <c r="T21" s="4"/>
      <c r="U21" s="4"/>
      <c r="V21" s="22" t="s">
        <v>48</v>
      </c>
      <c r="W21" s="4"/>
      <c r="X21" s="4"/>
      <c r="Y21" s="5"/>
      <c r="Z21" s="7"/>
      <c r="AA21" s="1"/>
      <c r="AB21" s="1" t="s">
        <v>21</v>
      </c>
      <c r="AM21" s="10" t="s">
        <v>80</v>
      </c>
      <c r="AN21" s="7">
        <v>85</v>
      </c>
      <c r="AO21" s="7" t="s">
        <v>6</v>
      </c>
      <c r="AP21" s="11">
        <f>SUMIFS($AK$5:$AK$9,$AJ$5:$AJ$9,"="&amp;$AO21,$AH$5:$AH$9,"&gt;"&amp;$AN21)/SUMIF($AH$5:$AH$9,"&gt;"&amp;$AN21,$AK$5:$AK$9)</f>
        <v>1</v>
      </c>
      <c r="AQ21" s="11">
        <f>IFERROR(-1*AP21*LOG(AP21,2),0)</f>
        <v>0</v>
      </c>
      <c r="AR21" s="11"/>
      <c r="AS21" s="7"/>
      <c r="AT21" s="7"/>
      <c r="AU21" s="7"/>
      <c r="AV21" s="13" t="s">
        <v>23</v>
      </c>
      <c r="AW21" s="11">
        <f>$AK$15-AW20</f>
        <v>0.41997309402197491</v>
      </c>
      <c r="AX21" s="7"/>
      <c r="AY21" s="7"/>
      <c r="AZ21" s="7"/>
      <c r="BA21" s="13" t="s">
        <v>82</v>
      </c>
      <c r="BB21" s="12">
        <f>IFERROR(AW21/BB20,0)</f>
        <v>0.4325380677663126</v>
      </c>
      <c r="BC21" s="7"/>
      <c r="BM21" s="3" t="s">
        <v>58</v>
      </c>
      <c r="BN21" s="4"/>
      <c r="BO21" s="5"/>
    </row>
    <row r="22" spans="2:70" x14ac:dyDescent="0.25">
      <c r="E22" s="10" t="s">
        <v>6</v>
      </c>
      <c r="F22" s="11">
        <f>SUMIF(G4:G17,"=No",$H$4:$H$17)/SUM($H$4:$H$17)</f>
        <v>0.35714285714285715</v>
      </c>
      <c r="G22" s="12">
        <f>-1*F22*LOG(F22,2)</f>
        <v>0.53050958113222912</v>
      </c>
      <c r="I22" s="10"/>
      <c r="J22" s="8" t="s">
        <v>14</v>
      </c>
      <c r="K22" s="7"/>
      <c r="L22" s="7"/>
      <c r="M22" s="7"/>
      <c r="N22" s="7"/>
      <c r="O22" s="7"/>
      <c r="P22" s="8" t="s">
        <v>22</v>
      </c>
      <c r="Q22" s="7"/>
      <c r="R22" s="7"/>
      <c r="S22" s="7"/>
      <c r="T22" s="7"/>
      <c r="U22" s="7"/>
      <c r="V22" s="8" t="s">
        <v>21</v>
      </c>
      <c r="W22" s="7"/>
      <c r="X22" s="7"/>
      <c r="Y22" s="9"/>
      <c r="Z22" s="7"/>
      <c r="AA22" t="s">
        <v>1</v>
      </c>
      <c r="AB22" s="2">
        <f>X10</f>
        <v>0.15642756242117517</v>
      </c>
      <c r="AC22" s="30" t="s">
        <v>52</v>
      </c>
      <c r="AM22" s="10" t="s">
        <v>81</v>
      </c>
      <c r="AN22" s="7">
        <v>90</v>
      </c>
      <c r="AO22" s="7" t="s">
        <v>7</v>
      </c>
      <c r="AP22" s="11">
        <f>SUMIFS($AK$5:$AK$9,$AJ$5:$AJ$9,"="&amp;$AO22,$AH$5:$AH$9,"&lt;="&amp;$AN22)/SUMIF($AH$5:$AH$9,"&lt;="&amp;$AN22,$AK$5:$AK$9)</f>
        <v>0.5</v>
      </c>
      <c r="AQ22" s="11">
        <f>IFERROR(-1*AP22*LOG(AP22,2),0)</f>
        <v>0.5</v>
      </c>
      <c r="AR22" s="11"/>
      <c r="AS22" s="41" t="s">
        <v>81</v>
      </c>
      <c r="AT22" s="7">
        <v>90</v>
      </c>
      <c r="AU22" s="11">
        <f>SUMIF($AH$5:$AH$9,"&lt;="&amp;AT22,$AK$5:$AK$9)/SUM($AK$5:$AK$9)</f>
        <v>0.8</v>
      </c>
      <c r="AV22" s="23">
        <f>SUM(AQ22:AQ23)</f>
        <v>1</v>
      </c>
      <c r="AW22" s="11">
        <f>AU22*AV22</f>
        <v>0.8</v>
      </c>
      <c r="AX22" s="11"/>
      <c r="AY22" s="41" t="s">
        <v>81</v>
      </c>
      <c r="AZ22" s="7">
        <v>90</v>
      </c>
      <c r="BA22" s="11">
        <f>SUMIF($AH$5:$AH$9,"&lt;="&amp;AZ22,$AK$5:$AK$9)/SUM($AK$5:$AK$9)</f>
        <v>0.8</v>
      </c>
      <c r="BB22" s="12">
        <f>IFERROR(-1*BA22*LOG(BA22,2),0)</f>
        <v>0.25754247590988982</v>
      </c>
      <c r="BC22" s="7"/>
      <c r="BM22" s="10"/>
      <c r="BN22" s="7" t="s">
        <v>15</v>
      </c>
      <c r="BO22" s="9" t="s">
        <v>12</v>
      </c>
    </row>
    <row r="23" spans="2:70" x14ac:dyDescent="0.25">
      <c r="E23" s="14"/>
      <c r="F23" s="16" t="s">
        <v>13</v>
      </c>
      <c r="G23" s="18">
        <f>SUM(G21:G22)</f>
        <v>0.94028595867063092</v>
      </c>
      <c r="I23" s="10"/>
      <c r="J23" s="7"/>
      <c r="K23" s="7"/>
      <c r="L23" s="7" t="s">
        <v>11</v>
      </c>
      <c r="M23" s="7" t="s">
        <v>17</v>
      </c>
      <c r="N23" s="7"/>
      <c r="O23" s="7"/>
      <c r="P23" s="7"/>
      <c r="Q23" s="7" t="s">
        <v>16</v>
      </c>
      <c r="R23" s="7" t="s">
        <v>17</v>
      </c>
      <c r="S23" s="7" t="s">
        <v>18</v>
      </c>
      <c r="T23" s="13"/>
      <c r="U23" s="7"/>
      <c r="V23" s="7"/>
      <c r="W23" s="7" t="s">
        <v>16</v>
      </c>
      <c r="X23" s="7" t="s">
        <v>12</v>
      </c>
      <c r="Y23" s="28"/>
      <c r="Z23" s="13"/>
      <c r="AA23" t="s">
        <v>4</v>
      </c>
      <c r="AB23" s="2">
        <f>X19</f>
        <v>4.8848615511520595E-2</v>
      </c>
      <c r="AM23" s="10" t="s">
        <v>81</v>
      </c>
      <c r="AN23" s="7">
        <v>90</v>
      </c>
      <c r="AO23" s="7" t="s">
        <v>6</v>
      </c>
      <c r="AP23" s="11">
        <f>SUMIFS($AK$5:$AK$9,$AJ$5:$AJ$9,"="&amp;$AO23,$AH$5:$AH$9,"&lt;="&amp;$AN23)/SUMIF($AH$5:$AH$9,"&lt;="&amp;$AN23,$AK$5:$AK$9)</f>
        <v>0.5</v>
      </c>
      <c r="AQ23" s="11">
        <f>IFERROR(-1*AP23*LOG(AP23,2),0)</f>
        <v>0.5</v>
      </c>
      <c r="AR23" s="11"/>
      <c r="AS23" s="41" t="s">
        <v>80</v>
      </c>
      <c r="AT23" s="7">
        <v>90</v>
      </c>
      <c r="AU23" s="11">
        <f>SUMIF($AH$5:$AH$9,"&gt;"&amp;AT23,$AK$5:$AK$9)/SUM($AK$5:$AK$9)</f>
        <v>0.2</v>
      </c>
      <c r="AV23" s="23">
        <f>SUM(AQ24:AQ25)</f>
        <v>0</v>
      </c>
      <c r="AW23" s="11">
        <f>AU23*AV23</f>
        <v>0</v>
      </c>
      <c r="AX23" s="7"/>
      <c r="AY23" s="41" t="s">
        <v>80</v>
      </c>
      <c r="AZ23" s="7">
        <v>90</v>
      </c>
      <c r="BA23" s="11">
        <f>SUMIF($AH$5:$AH$9,"&gt;"&amp;AZ23,$AK$5:$AK$9)/SUM($AK$5:$AK$9)</f>
        <v>0.2</v>
      </c>
      <c r="BB23" s="12">
        <f t="shared" ref="BB23" si="8">IFERROR(-1*BA23*LOG(BA23,2),0)</f>
        <v>0.46438561897747244</v>
      </c>
      <c r="BC23" s="7"/>
      <c r="BM23" s="10" t="s">
        <v>7</v>
      </c>
      <c r="BN23" s="11">
        <f>SUMIF(BO17:BO19,"=Yes",$BP$17:$BP$19)/SUM($BP$17:$BP$19)</f>
        <v>0</v>
      </c>
      <c r="BO23" s="12">
        <f>-IFERROR(1*BN23*LOG(BN23,2),0)</f>
        <v>0</v>
      </c>
    </row>
    <row r="24" spans="2:70" x14ac:dyDescent="0.25">
      <c r="I24" s="10" t="s">
        <v>81</v>
      </c>
      <c r="J24" s="7">
        <v>65</v>
      </c>
      <c r="K24" s="7" t="s">
        <v>7</v>
      </c>
      <c r="L24" s="11">
        <f>SUMIFS($H$4:$H$17,$G$4:$G$17,"="&amp;$K24,$E$4:$E$17,"&lt;="&amp;$J24)/SUMIF($E$4:$E$17,"&lt;="&amp;$J24,$H$4:$H$17)</f>
        <v>1</v>
      </c>
      <c r="M24" s="11">
        <f>IFERROR(-1*L24*LOG(L24,2),0)</f>
        <v>0</v>
      </c>
      <c r="N24" s="11"/>
      <c r="O24" s="41" t="s">
        <v>81</v>
      </c>
      <c r="P24" s="7">
        <v>65</v>
      </c>
      <c r="Q24" s="11">
        <f>SUMIF($E$4:$E$17,"&lt;="&amp;P24,$H$4:$H$17)/SUM($H$4:$H$17)</f>
        <v>7.1428571428571425E-2</v>
      </c>
      <c r="R24" s="11">
        <f>SUM(M24:M25)</f>
        <v>0</v>
      </c>
      <c r="S24" s="11">
        <f>Q24*R24</f>
        <v>0</v>
      </c>
      <c r="T24" s="11"/>
      <c r="U24" s="41" t="s">
        <v>81</v>
      </c>
      <c r="V24" s="7">
        <v>65</v>
      </c>
      <c r="W24" s="11">
        <f>SUMIF($E$4:$E$17,"&lt;="&amp;V24,$H$4:$H$17)/SUM($H$4:$H$17)</f>
        <v>7.1428571428571425E-2</v>
      </c>
      <c r="X24" s="11">
        <f>IFERROR(-1*W24*LOG(W24,2),0)</f>
        <v>0.27195392300411458</v>
      </c>
      <c r="Y24" s="12"/>
      <c r="Z24" s="11"/>
      <c r="AA24" t="s">
        <v>3</v>
      </c>
      <c r="AB24" s="2">
        <f>MAX(X27,X31,X35,X39,X43,X47,X51,X55,X59)</f>
        <v>0.1285155090335475</v>
      </c>
      <c r="AM24" s="10" t="s">
        <v>80</v>
      </c>
      <c r="AN24" s="7">
        <v>90</v>
      </c>
      <c r="AO24" s="7" t="s">
        <v>7</v>
      </c>
      <c r="AP24" s="11">
        <f>SUMIFS($AK$5:$AK$9,$AJ$5:$AJ$9,"="&amp;$AO24,$AH$5:$AH$9,"&gt;"&amp;$AN24)/SUMIF($AH$5:$AH$9,"&gt;"&amp;$AN24,$AK$5:$AK$9)</f>
        <v>0</v>
      </c>
      <c r="AQ24" s="11">
        <f>IFERROR(-1*AP24*LOG(AP24,2),0)</f>
        <v>0</v>
      </c>
      <c r="AR24" s="11"/>
      <c r="AS24" s="7"/>
      <c r="AT24" s="7"/>
      <c r="AU24" s="7"/>
      <c r="AV24" s="13" t="s">
        <v>13</v>
      </c>
      <c r="AW24" s="11">
        <f>SUM(AW22:AW23)</f>
        <v>0.8</v>
      </c>
      <c r="AX24" s="7"/>
      <c r="AY24" s="7"/>
      <c r="AZ24" s="7"/>
      <c r="BA24" s="13" t="s">
        <v>13</v>
      </c>
      <c r="BB24" s="12">
        <f>SUM(BB22:BB23)</f>
        <v>0.72192809488736231</v>
      </c>
      <c r="BC24" s="7"/>
      <c r="BM24" s="10" t="s">
        <v>6</v>
      </c>
      <c r="BN24" s="11">
        <f>SUMIF(BO17:BO19,"=No",$BP$17:$BP$19)/SUM($BP$17:$BP$19)</f>
        <v>1</v>
      </c>
      <c r="BO24" s="12">
        <f>-IFERROR(1*BN24*LOG(BN24,2),0)</f>
        <v>0</v>
      </c>
      <c r="BQ24" s="30" t="s">
        <v>57</v>
      </c>
    </row>
    <row r="25" spans="2:70" x14ac:dyDescent="0.25">
      <c r="I25" s="10" t="s">
        <v>81</v>
      </c>
      <c r="J25" s="7">
        <v>65</v>
      </c>
      <c r="K25" s="7" t="s">
        <v>6</v>
      </c>
      <c r="L25" s="11">
        <f t="shared" ref="L25" si="9">SUMIFS($H$4:$H$17,$G$4:$G$17,"="&amp;$K25,$E$4:$E$17,"&lt;="&amp;$J25)/SUMIF($E$4:$E$17,"&lt;="&amp;$J25,$H$4:$H$17)</f>
        <v>0</v>
      </c>
      <c r="M25" s="11">
        <f t="shared" ref="M25" si="10">IFERROR(-1*L25*LOG(L25,2),0)</f>
        <v>0</v>
      </c>
      <c r="N25" s="11"/>
      <c r="O25" s="41" t="s">
        <v>80</v>
      </c>
      <c r="P25" s="7">
        <v>65</v>
      </c>
      <c r="Q25" s="11">
        <f>SUMIF($E$4:$E$17,"&gt;"&amp;P25,$H$4:$H$17)/SUM($H$4:$H$17)</f>
        <v>0.9285714285714286</v>
      </c>
      <c r="R25" s="11">
        <f>SUM(M26:M27)</f>
        <v>0.96123660472287598</v>
      </c>
      <c r="S25" s="11">
        <f t="shared" ref="S25:S41" si="11">Q25*R25</f>
        <v>0.89257684724267061</v>
      </c>
      <c r="T25" s="7"/>
      <c r="U25" s="41" t="s">
        <v>80</v>
      </c>
      <c r="V25" s="7">
        <v>65</v>
      </c>
      <c r="W25" s="11">
        <f>SUMIF($E$4:$E$17,"&gt;"&amp;V25,$H$4:$H$17)/SUM($H$4:$H$17)</f>
        <v>0.9285714285714286</v>
      </c>
      <c r="X25" s="11">
        <f>IFERROR(-1*W25*LOG(W25,2),0)</f>
        <v>9.9278403636761062E-2</v>
      </c>
      <c r="Y25" s="12"/>
      <c r="Z25" s="11"/>
      <c r="AM25" s="10" t="s">
        <v>80</v>
      </c>
      <c r="AN25" s="7">
        <v>90</v>
      </c>
      <c r="AO25" s="7" t="s">
        <v>6</v>
      </c>
      <c r="AP25" s="11">
        <f>SUMIFS($AK$5:$AK$9,$AJ$5:$AJ$9,"="&amp;$AO25,$AH$5:$AH$9,"&gt;"&amp;$AN25)/SUMIF($AH$5:$AH$9,"&gt;"&amp;$AN25,$AK$5:$AK$9)</f>
        <v>1</v>
      </c>
      <c r="AQ25" s="11">
        <f>IFERROR(-1*AP25*LOG(AP25,2),0)</f>
        <v>0</v>
      </c>
      <c r="AR25" s="11"/>
      <c r="AS25" s="7"/>
      <c r="AT25" s="7"/>
      <c r="AU25" s="7"/>
      <c r="AV25" s="13" t="s">
        <v>23</v>
      </c>
      <c r="AW25" s="11">
        <f>$AK$15-AW24</f>
        <v>0.17095059445466854</v>
      </c>
      <c r="AX25" s="7"/>
      <c r="AY25" s="7"/>
      <c r="AZ25" s="7"/>
      <c r="BA25" s="13" t="s">
        <v>82</v>
      </c>
      <c r="BB25" s="12">
        <f>IFERROR(AW25/BB24,0)</f>
        <v>0.23679725954056524</v>
      </c>
      <c r="BC25" s="7"/>
      <c r="BM25" s="14"/>
      <c r="BN25" s="16" t="s">
        <v>13</v>
      </c>
      <c r="BO25" s="18">
        <f>SUM(BO23:BO24)</f>
        <v>0</v>
      </c>
      <c r="BR25" t="s">
        <v>6</v>
      </c>
    </row>
    <row r="26" spans="2:70" x14ac:dyDescent="0.25">
      <c r="I26" s="10" t="s">
        <v>80</v>
      </c>
      <c r="J26" s="7">
        <v>65</v>
      </c>
      <c r="K26" s="7" t="s">
        <v>7</v>
      </c>
      <c r="L26" s="11">
        <f>SUMIFS($H$4:$H$17,$G$4:$G$17,"="&amp;$K26,$E$4:$E$17,"&gt;"&amp;$J26)/SUMIF($E$4:$E$17,"&gt;"&amp;$J26,$H$4:$H$17)</f>
        <v>0.61538461538461542</v>
      </c>
      <c r="M26" s="11">
        <f>IFERROR(-1*L26*LOG(L26,2),0)</f>
        <v>0.43103982654836442</v>
      </c>
      <c r="N26" s="11"/>
      <c r="O26" s="7"/>
      <c r="P26" s="7"/>
      <c r="Q26" s="7"/>
      <c r="R26" s="13" t="s">
        <v>13</v>
      </c>
      <c r="S26" s="11">
        <f>SUM(S24:S25)</f>
        <v>0.89257684724267061</v>
      </c>
      <c r="T26" s="7"/>
      <c r="U26" s="7"/>
      <c r="V26" s="7"/>
      <c r="W26" s="13" t="s">
        <v>13</v>
      </c>
      <c r="X26" s="11">
        <f>SUM(X24:X25)</f>
        <v>0.37123232664087563</v>
      </c>
      <c r="Y26" s="12"/>
      <c r="Z26" s="11"/>
      <c r="AM26" s="10" t="s">
        <v>81</v>
      </c>
      <c r="AN26" s="7">
        <v>95</v>
      </c>
      <c r="AO26" s="7" t="s">
        <v>7</v>
      </c>
      <c r="AP26" s="11">
        <f>SUMIFS($AK$5:$AK$9,$AJ$5:$AJ$9,"="&amp;$AO26,$AH$5:$AH$9,"&lt;="&amp;$AN26)/SUMIF($AH$5:$AH$9,"&lt;="&amp;$AN26,$AK$5:$AK$9)</f>
        <v>0.4</v>
      </c>
      <c r="AQ26" s="11">
        <f>IFERROR(-1*AP26*LOG(AP26,2),0)</f>
        <v>0.52877123795494485</v>
      </c>
      <c r="AR26" s="11"/>
      <c r="AS26" s="41" t="s">
        <v>81</v>
      </c>
      <c r="AT26" s="7">
        <v>95</v>
      </c>
      <c r="AU26" s="11">
        <f>SUMIF($AH$5:$AH$9,"&lt;="&amp;AT26,$AK$5:$AK$9)/SUM($AK$5:$AK$9)</f>
        <v>1</v>
      </c>
      <c r="AV26" s="23">
        <f>SUM(AQ26:AQ27)</f>
        <v>0.97095059445466858</v>
      </c>
      <c r="AW26" s="11">
        <f>AU26*AV26</f>
        <v>0.97095059445466858</v>
      </c>
      <c r="AX26" s="11"/>
      <c r="AY26" s="41" t="s">
        <v>81</v>
      </c>
      <c r="AZ26" s="7">
        <v>95</v>
      </c>
      <c r="BA26" s="11">
        <f>SUMIF($AH$5:$AH$9,"&lt;="&amp;AZ26,$AK$5:$AK$9)/SUM($AK$5:$AK$9)</f>
        <v>1</v>
      </c>
      <c r="BB26" s="12">
        <f>IFERROR(-1*BA26*LOG(BA26,2),0)</f>
        <v>0</v>
      </c>
      <c r="BC26" s="7"/>
    </row>
    <row r="27" spans="2:70" ht="15" customHeight="1" x14ac:dyDescent="0.25">
      <c r="I27" s="10" t="s">
        <v>80</v>
      </c>
      <c r="J27" s="7">
        <v>65</v>
      </c>
      <c r="K27" s="7" t="s">
        <v>6</v>
      </c>
      <c r="L27" s="11">
        <f>SUMIFS($H$4:$H$17,$G$4:$G$17,"="&amp;$K27,$E$4:$E$17,"&gt;"&amp;$J27)/SUMIF($E$4:$E$17,"&gt;"&amp;$J27,$H$4:$H$17)</f>
        <v>0.38461538461538464</v>
      </c>
      <c r="M27" s="11">
        <f t="shared" ref="M27" si="12">IFERROR(-1*L27*LOG(L27,2),0)</f>
        <v>0.5301967781745115</v>
      </c>
      <c r="N27" s="11"/>
      <c r="O27" s="7"/>
      <c r="P27" s="7"/>
      <c r="Q27" s="7"/>
      <c r="R27" s="13" t="s">
        <v>23</v>
      </c>
      <c r="S27" s="11">
        <f>$G$23-S26</f>
        <v>4.7709111427960305E-2</v>
      </c>
      <c r="T27" s="7"/>
      <c r="U27" s="7"/>
      <c r="V27" s="7"/>
      <c r="W27" s="13" t="s">
        <v>82</v>
      </c>
      <c r="X27" s="11">
        <f>IFERROR(S27/X26,0)</f>
        <v>0.1285155090335475</v>
      </c>
      <c r="Y27" s="12"/>
      <c r="Z27" s="11"/>
      <c r="AM27" s="10" t="s">
        <v>81</v>
      </c>
      <c r="AN27" s="7">
        <v>95</v>
      </c>
      <c r="AO27" s="7" t="s">
        <v>6</v>
      </c>
      <c r="AP27" s="11">
        <f>SUMIFS($AK$5:$AK$9,$AJ$5:$AJ$9,"="&amp;$AO27,$AH$5:$AH$9,"&lt;="&amp;$AN27)/SUMIF($AH$5:$AH$9,"&lt;="&amp;$AN27,$AK$5:$AK$9)</f>
        <v>0.6</v>
      </c>
      <c r="AQ27" s="11">
        <f>IFERROR(-1*AP27*LOG(AP27,2),0)</f>
        <v>0.44217935649972373</v>
      </c>
      <c r="AR27" s="11"/>
      <c r="AS27" s="41" t="s">
        <v>80</v>
      </c>
      <c r="AT27" s="7">
        <v>95</v>
      </c>
      <c r="AU27" s="11">
        <f>SUMIF($AH$5:$AH$9,"&gt;"&amp;AT27,$AK$5:$AK$9)/SUM($AK$5:$AK$9)</f>
        <v>0</v>
      </c>
      <c r="AV27" s="23">
        <f>SUM(AQ28:AQ29)</f>
        <v>0</v>
      </c>
      <c r="AW27" s="11">
        <f>AU27*AV27</f>
        <v>0</v>
      </c>
      <c r="AX27" s="7"/>
      <c r="AY27" s="41" t="s">
        <v>80</v>
      </c>
      <c r="AZ27" s="7">
        <v>95</v>
      </c>
      <c r="BA27" s="11">
        <f>SUMIF($AH$5:$AH$9,"&gt;"&amp;AZ27,$AK$5:$AK$9)/SUM($AK$5:$AK$9)</f>
        <v>0</v>
      </c>
      <c r="BB27" s="12">
        <f t="shared" ref="BB27" si="13">IFERROR(-1*BA27*LOG(BA27,2),0)</f>
        <v>0</v>
      </c>
      <c r="BC27" s="7"/>
    </row>
    <row r="28" spans="2:70" x14ac:dyDescent="0.25">
      <c r="I28" s="10" t="s">
        <v>81</v>
      </c>
      <c r="J28" s="7">
        <v>70</v>
      </c>
      <c r="K28" s="7" t="s">
        <v>7</v>
      </c>
      <c r="L28" s="11">
        <f>SUMIFS($H$4:$H$17,$G$4:$G$17,"="&amp;$K28,$E$4:$E$17,"&lt;="&amp;$J28)/SUMIF($E$4:$E$17,"&lt;="&amp;$J28,$H$4:$H$17)</f>
        <v>0.75</v>
      </c>
      <c r="M28" s="11">
        <f>IFERROR(-1*L28*LOG(L28,2),0)</f>
        <v>0.31127812445913283</v>
      </c>
      <c r="N28" s="11"/>
      <c r="O28" s="41" t="s">
        <v>81</v>
      </c>
      <c r="P28" s="7">
        <v>70</v>
      </c>
      <c r="Q28" s="11">
        <f t="shared" ref="Q28" si="14">SUMIF($E$4:$E$17,"&lt;="&amp;P28,$H$4:$H$17)/SUM($H$4:$H$17)</f>
        <v>0.2857142857142857</v>
      </c>
      <c r="R28" s="11">
        <f>SUM(M28:M29)</f>
        <v>0.81127812445913283</v>
      </c>
      <c r="S28" s="11">
        <f>Q28*R28</f>
        <v>0.23179374984546652</v>
      </c>
      <c r="T28" s="11"/>
      <c r="U28" s="41" t="s">
        <v>81</v>
      </c>
      <c r="V28" s="7">
        <v>70</v>
      </c>
      <c r="W28" s="11">
        <f t="shared" ref="W28" si="15">SUMIF($E$4:$E$17,"&lt;="&amp;V28,$H$4:$H$17)/SUM($H$4:$H$17)</f>
        <v>0.2857142857142857</v>
      </c>
      <c r="X28" s="11">
        <f>IFERROR(-1*W28*LOG(W28,2),0)</f>
        <v>0.51638712058788683</v>
      </c>
      <c r="Y28" s="12"/>
      <c r="Z28" s="11"/>
      <c r="AM28" s="10" t="s">
        <v>80</v>
      </c>
      <c r="AN28" s="7">
        <v>95</v>
      </c>
      <c r="AO28" s="7" t="s">
        <v>7</v>
      </c>
      <c r="AP28" s="11">
        <v>0</v>
      </c>
      <c r="AQ28" s="11">
        <f>IFERROR(-1*AP28*LOG(AP28,2),0)</f>
        <v>0</v>
      </c>
      <c r="AR28" s="11"/>
      <c r="AS28" s="7"/>
      <c r="AT28" s="7"/>
      <c r="AU28" s="7"/>
      <c r="AV28" s="13" t="s">
        <v>13</v>
      </c>
      <c r="AW28" s="11">
        <f>SUM(AW26:AW27)</f>
        <v>0.97095059445466858</v>
      </c>
      <c r="AX28" s="7"/>
      <c r="AY28" s="7"/>
      <c r="AZ28" s="7"/>
      <c r="BA28" s="13" t="s">
        <v>13</v>
      </c>
      <c r="BB28" s="12">
        <f>SUM(BB26:BB27)</f>
        <v>0</v>
      </c>
      <c r="BC28" s="7"/>
    </row>
    <row r="29" spans="2:70" x14ac:dyDescent="0.25">
      <c r="I29" s="10" t="s">
        <v>81</v>
      </c>
      <c r="J29" s="7">
        <v>70</v>
      </c>
      <c r="K29" s="7" t="s">
        <v>6</v>
      </c>
      <c r="L29" s="11">
        <f>SUMIFS($H$4:$H$17,$G$4:$G$17,"="&amp;$K29,$E$4:$E$17,"&lt;="&amp;$J29)/SUMIF($E$4:$E$17,"&lt;="&amp;$J29,$H$4:$H$17)</f>
        <v>0.25</v>
      </c>
      <c r="M29" s="11">
        <f>IFERROR(-1*L29*LOG(L29,2),0)</f>
        <v>0.5</v>
      </c>
      <c r="N29" s="11"/>
      <c r="O29" s="41" t="s">
        <v>80</v>
      </c>
      <c r="P29" s="7">
        <v>70</v>
      </c>
      <c r="Q29" s="11">
        <f>SUMIF($E$4:$E$17,"&gt;"&amp;P29,$H$4:$H$17)/SUM($H$4:$H$17)</f>
        <v>0.7142857142857143</v>
      </c>
      <c r="R29" s="11">
        <f>SUM(M30:M31)</f>
        <v>0.97095059445466858</v>
      </c>
      <c r="S29" s="11">
        <f>Q29*R29</f>
        <v>0.69353613889619181</v>
      </c>
      <c r="T29" s="7"/>
      <c r="U29" s="41" t="s">
        <v>80</v>
      </c>
      <c r="V29" s="7">
        <v>70</v>
      </c>
      <c r="W29" s="11">
        <f>SUMIF($E$4:$E$17,"&gt;"&amp;V29,$H$4:$H$17)/SUM($H$4:$H$17)</f>
        <v>0.7142857142857143</v>
      </c>
      <c r="X29" s="11">
        <f t="shared" ref="X29" si="16">IFERROR(-1*W29*LOG(W29,2),0)</f>
        <v>0.34673344797874411</v>
      </c>
      <c r="Y29" s="12"/>
      <c r="Z29" s="11"/>
      <c r="AM29" s="14" t="s">
        <v>80</v>
      </c>
      <c r="AN29" s="15">
        <v>95</v>
      </c>
      <c r="AO29" s="15" t="s">
        <v>6</v>
      </c>
      <c r="AP29" s="17">
        <v>0</v>
      </c>
      <c r="AQ29" s="17">
        <f>IFERROR(-1*AP29*LOG(AP29,2),0)</f>
        <v>0</v>
      </c>
      <c r="AR29" s="17"/>
      <c r="AS29" s="15"/>
      <c r="AT29" s="15"/>
      <c r="AU29" s="15"/>
      <c r="AV29" s="16" t="s">
        <v>23</v>
      </c>
      <c r="AW29" s="17">
        <f>$AK$15-AW28</f>
        <v>0</v>
      </c>
      <c r="AX29" s="15"/>
      <c r="AY29" s="15"/>
      <c r="AZ29" s="15"/>
      <c r="BA29" s="16" t="s">
        <v>82</v>
      </c>
      <c r="BB29" s="18">
        <f>IFERROR(AW29/BB28,0)</f>
        <v>0</v>
      </c>
      <c r="BC29" s="7"/>
    </row>
    <row r="30" spans="2:70" x14ac:dyDescent="0.25">
      <c r="I30" s="10" t="s">
        <v>80</v>
      </c>
      <c r="J30" s="7">
        <v>70</v>
      </c>
      <c r="K30" s="7" t="s">
        <v>7</v>
      </c>
      <c r="L30" s="11">
        <f>SUMIFS($H$4:$H$17,$G$4:$G$17,"="&amp;$K30,$E$4:$E$17,"&gt;"&amp;$J30)/SUMIF($E$4:$E$17,"&gt;"&amp;$J30,$H$4:$H$17)</f>
        <v>0.6</v>
      </c>
      <c r="M30" s="11">
        <f>IFERROR(-1*L30*LOG(L30,2),0)</f>
        <v>0.44217935649972373</v>
      </c>
      <c r="N30" s="11"/>
      <c r="O30" s="7"/>
      <c r="P30" s="7"/>
      <c r="Q30" s="7"/>
      <c r="R30" s="13" t="s">
        <v>13</v>
      </c>
      <c r="S30" s="11">
        <f>SUM(S28:S29)</f>
        <v>0.92532988874165834</v>
      </c>
      <c r="T30" s="7"/>
      <c r="U30" s="7"/>
      <c r="V30" s="7"/>
      <c r="W30" s="13" t="s">
        <v>13</v>
      </c>
      <c r="X30" s="11">
        <f>SUM(X28:X29)</f>
        <v>0.863120568566631</v>
      </c>
      <c r="Y30" s="12"/>
      <c r="Z30" s="11"/>
    </row>
    <row r="31" spans="2:70" x14ac:dyDescent="0.25">
      <c r="I31" s="10" t="s">
        <v>80</v>
      </c>
      <c r="J31" s="7">
        <v>70</v>
      </c>
      <c r="K31" s="7" t="s">
        <v>6</v>
      </c>
      <c r="L31" s="11">
        <f>SUMIFS($H$4:$H$17,$G$4:$G$17,"="&amp;$K31,$E$4:$E$17,"&gt;"&amp;$J31)/SUMIF($E$4:$E$17,"&gt;"&amp;$J31,$H$4:$H$17)</f>
        <v>0.4</v>
      </c>
      <c r="M31" s="11">
        <f>IFERROR(-1*L31*LOG(L31,2),0)</f>
        <v>0.52877123795494485</v>
      </c>
      <c r="N31" s="11"/>
      <c r="O31" s="7"/>
      <c r="P31" s="7"/>
      <c r="Q31" s="7"/>
      <c r="R31" s="13" t="s">
        <v>23</v>
      </c>
      <c r="S31" s="11">
        <f>$G$23-S30</f>
        <v>1.4956069928972582E-2</v>
      </c>
      <c r="T31" s="7"/>
      <c r="U31" s="7"/>
      <c r="V31" s="7"/>
      <c r="W31" s="13" t="s">
        <v>82</v>
      </c>
      <c r="X31" s="11">
        <f>IFERROR(S31/X30,0)</f>
        <v>1.7327903509251161E-2</v>
      </c>
      <c r="Y31" s="12"/>
      <c r="Z31" s="11"/>
    </row>
    <row r="32" spans="2:70" x14ac:dyDescent="0.25">
      <c r="I32" s="10" t="s">
        <v>81</v>
      </c>
      <c r="J32" s="7">
        <v>75</v>
      </c>
      <c r="K32" s="7" t="s">
        <v>7</v>
      </c>
      <c r="L32" s="11">
        <f>SUMIFS($H$4:$H$17,$G$4:$G$17,"="&amp;$K32,$E$4:$E$17,"&lt;="&amp;$J32)/SUMIF($E$4:$E$17,"&lt;="&amp;$J32,$H$4:$H$17)</f>
        <v>0.8</v>
      </c>
      <c r="M32" s="11">
        <f>IFERROR(-1*L32*LOG(L32,2),0)</f>
        <v>0.25754247590988982</v>
      </c>
      <c r="N32" s="11"/>
      <c r="O32" s="41" t="s">
        <v>81</v>
      </c>
      <c r="P32" s="7">
        <v>75</v>
      </c>
      <c r="Q32" s="11">
        <f>SUMIF($E$4:$E$17,"&lt;="&amp;P32,$H$4:$H$17)/SUM($H$4:$H$17)</f>
        <v>0.35714285714285715</v>
      </c>
      <c r="R32" s="11">
        <f>SUM(M32:M33)</f>
        <v>0.72192809488736231</v>
      </c>
      <c r="S32" s="11">
        <f>Q32*R32</f>
        <v>0.25783146245977229</v>
      </c>
      <c r="T32" s="11"/>
      <c r="U32" s="41" t="s">
        <v>81</v>
      </c>
      <c r="V32" s="7">
        <v>75</v>
      </c>
      <c r="W32" s="11">
        <f>SUMIF($E$4:$E$17,"&lt;="&amp;V32,$H$4:$H$17)/SUM($H$4:$H$17)</f>
        <v>0.35714285714285715</v>
      </c>
      <c r="X32" s="11">
        <f>IFERROR(-1*W32*LOG(W32,2),0)</f>
        <v>0.53050958113222912</v>
      </c>
      <c r="Y32" s="12"/>
      <c r="Z32" s="11"/>
      <c r="AE32" s="1" t="s">
        <v>10</v>
      </c>
    </row>
    <row r="33" spans="9:70" x14ac:dyDescent="0.25">
      <c r="I33" s="10" t="s">
        <v>81</v>
      </c>
      <c r="J33" s="7">
        <v>75</v>
      </c>
      <c r="K33" s="7" t="s">
        <v>6</v>
      </c>
      <c r="L33" s="11">
        <f>SUMIFS($H$4:$H$17,$G$4:$G$17,"="&amp;$K33,$E$4:$E$17,"&lt;="&amp;$J33)/SUMIF($E$4:$E$17,"&lt;="&amp;$J33,$H$4:$H$17)</f>
        <v>0.2</v>
      </c>
      <c r="M33" s="11">
        <f>IFERROR(-1*L33*LOG(L33,2),0)</f>
        <v>0.46438561897747244</v>
      </c>
      <c r="N33" s="11"/>
      <c r="O33" s="41" t="s">
        <v>80</v>
      </c>
      <c r="P33" s="7">
        <v>75</v>
      </c>
      <c r="Q33" s="11">
        <f>SUMIF($E$4:$E$17,"&gt;"&amp;P33,$H$4:$H$17)/SUM($H$4:$H$17)</f>
        <v>0.6428571428571429</v>
      </c>
      <c r="R33" s="11">
        <f>SUM(M34:M35)</f>
        <v>0.99107605983822222</v>
      </c>
      <c r="S33" s="11">
        <f>Q33*R33</f>
        <v>0.63712032418171438</v>
      </c>
      <c r="T33" s="7"/>
      <c r="U33" s="41" t="s">
        <v>80</v>
      </c>
      <c r="V33" s="7">
        <v>75</v>
      </c>
      <c r="W33" s="11">
        <f>SUMIF($E$4:$E$17,"&gt;"&amp;V33,$H$4:$H$17)/SUM($H$4:$H$17)</f>
        <v>0.6428571428571429</v>
      </c>
      <c r="X33" s="11">
        <f t="shared" ref="X33" si="17">IFERROR(-1*W33*LOG(W33,2),0)</f>
        <v>0.40977637753840185</v>
      </c>
      <c r="Y33" s="12"/>
      <c r="Z33" s="11"/>
      <c r="AE33" t="s">
        <v>0</v>
      </c>
      <c r="AF33" t="s">
        <v>1</v>
      </c>
      <c r="AG33" t="s">
        <v>2</v>
      </c>
      <c r="AH33" t="s">
        <v>3</v>
      </c>
      <c r="AI33" t="s">
        <v>4</v>
      </c>
      <c r="AJ33" t="s">
        <v>5</v>
      </c>
      <c r="AK33" t="s">
        <v>20</v>
      </c>
      <c r="AN33" s="3" t="s">
        <v>59</v>
      </c>
      <c r="AO33" s="4"/>
      <c r="AP33" s="4"/>
      <c r="AQ33" s="4"/>
      <c r="AR33" s="4"/>
      <c r="AS33" s="4"/>
      <c r="AT33" s="4"/>
      <c r="AU33" s="4"/>
      <c r="AV33" s="4"/>
      <c r="AW33" s="4"/>
      <c r="AX33" s="4"/>
      <c r="AY33" s="22" t="s">
        <v>24</v>
      </c>
      <c r="AZ33" s="4"/>
      <c r="BA33" s="5"/>
    </row>
    <row r="34" spans="9:70" x14ac:dyDescent="0.25">
      <c r="I34" s="10" t="s">
        <v>80</v>
      </c>
      <c r="J34" s="7">
        <v>75</v>
      </c>
      <c r="K34" s="7" t="s">
        <v>7</v>
      </c>
      <c r="L34" s="11">
        <f>SUMIFS($H$4:$H$17,$G$4:$G$17,"="&amp;$K34,$E$4:$E$17,"&gt;"&amp;$J34)/SUMIF($E$4:$E$17,"&gt;"&amp;$J34,$H$4:$H$17)</f>
        <v>0.55555555555555558</v>
      </c>
      <c r="M34" s="11">
        <f>IFERROR(-1*L34*LOG(L34,2),0)</f>
        <v>0.4711093925305278</v>
      </c>
      <c r="N34" s="11"/>
      <c r="O34" s="7"/>
      <c r="P34" s="7"/>
      <c r="Q34" s="7"/>
      <c r="R34" s="13" t="s">
        <v>13</v>
      </c>
      <c r="S34" s="11">
        <f>SUM(S32:S33)</f>
        <v>0.89495178664148667</v>
      </c>
      <c r="T34" s="7"/>
      <c r="U34" s="7"/>
      <c r="V34" s="7"/>
      <c r="W34" s="13" t="s">
        <v>13</v>
      </c>
      <c r="X34" s="11">
        <f>SUM(X32:X33)</f>
        <v>0.94028595867063092</v>
      </c>
      <c r="Y34" s="12"/>
      <c r="Z34" s="11"/>
      <c r="AE34">
        <v>4</v>
      </c>
      <c r="AF34" t="s">
        <v>10</v>
      </c>
      <c r="AG34">
        <v>70</v>
      </c>
      <c r="AH34">
        <v>96</v>
      </c>
      <c r="AI34" t="b">
        <v>0</v>
      </c>
      <c r="AJ34" t="s">
        <v>7</v>
      </c>
      <c r="AK34">
        <v>1</v>
      </c>
      <c r="AN34" s="6" t="s">
        <v>14</v>
      </c>
      <c r="AO34" s="7"/>
      <c r="AP34" s="7"/>
      <c r="AQ34" s="7"/>
      <c r="AR34" s="7"/>
      <c r="AS34" s="8" t="s">
        <v>22</v>
      </c>
      <c r="AT34" s="7"/>
      <c r="AU34" s="7"/>
      <c r="AV34" s="7"/>
      <c r="AW34" s="7"/>
      <c r="AX34" s="7"/>
      <c r="AY34" s="8" t="s">
        <v>21</v>
      </c>
      <c r="AZ34" s="7"/>
      <c r="BA34" s="9"/>
    </row>
    <row r="35" spans="9:70" x14ac:dyDescent="0.25">
      <c r="I35" s="10" t="s">
        <v>80</v>
      </c>
      <c r="J35" s="7">
        <v>75</v>
      </c>
      <c r="K35" s="7" t="s">
        <v>6</v>
      </c>
      <c r="L35" s="11">
        <f>SUMIFS($H$4:$H$17,$G$4:$G$17,"="&amp;$K35,$E$4:$E$17,"&gt;"&amp;$J35)/SUMIF($E$4:$E$17,"&gt;"&amp;$J35,$H$4:$H$17)</f>
        <v>0.44444444444444442</v>
      </c>
      <c r="M35" s="11">
        <f>IFERROR(-1*L35*LOG(L35,2),0)</f>
        <v>0.51996666730769436</v>
      </c>
      <c r="N35" s="11"/>
      <c r="O35" s="7"/>
      <c r="P35" s="7"/>
      <c r="Q35" s="7"/>
      <c r="R35" s="13" t="s">
        <v>23</v>
      </c>
      <c r="S35" s="11">
        <f>$G$23-S34</f>
        <v>4.5334172029144248E-2</v>
      </c>
      <c r="T35" s="7"/>
      <c r="U35" s="7"/>
      <c r="V35" s="7"/>
      <c r="W35" s="13" t="s">
        <v>82</v>
      </c>
      <c r="X35" s="11">
        <f>IFERROR(S35/X34,0)</f>
        <v>4.8213175588878679E-2</v>
      </c>
      <c r="Y35" s="12"/>
      <c r="Z35" s="11"/>
      <c r="AE35">
        <v>5</v>
      </c>
      <c r="AF35" t="s">
        <v>10</v>
      </c>
      <c r="AG35">
        <v>68</v>
      </c>
      <c r="AH35">
        <v>80</v>
      </c>
      <c r="AI35" t="b">
        <v>0</v>
      </c>
      <c r="AJ35" t="s">
        <v>7</v>
      </c>
      <c r="AK35">
        <v>1</v>
      </c>
      <c r="AN35" s="10"/>
      <c r="AO35" s="7"/>
      <c r="AP35" s="7" t="s">
        <v>11</v>
      </c>
      <c r="AQ35" s="7" t="s">
        <v>17</v>
      </c>
      <c r="AR35" s="7"/>
      <c r="AS35" s="7"/>
      <c r="AT35" s="7" t="s">
        <v>16</v>
      </c>
      <c r="AU35" s="7" t="s">
        <v>17</v>
      </c>
      <c r="AV35" s="7" t="s">
        <v>18</v>
      </c>
      <c r="AW35" s="7"/>
      <c r="AX35" s="7"/>
      <c r="AY35" s="7"/>
      <c r="AZ35" s="7" t="s">
        <v>15</v>
      </c>
      <c r="BA35" s="9" t="s">
        <v>12</v>
      </c>
    </row>
    <row r="36" spans="9:70" x14ac:dyDescent="0.25">
      <c r="I36" s="10" t="s">
        <v>81</v>
      </c>
      <c r="J36" s="7">
        <v>78</v>
      </c>
      <c r="K36" s="7" t="s">
        <v>7</v>
      </c>
      <c r="L36" s="11">
        <f>SUMIFS($H$4:$H$17,$G$4:$G$17,"="&amp;$K36,$E$4:$E$17,"&lt;="&amp;$J36)/SUMIF($E$4:$E$17,"&lt;="&amp;$J36,$H$4:$H$17)</f>
        <v>0.83333333333333337</v>
      </c>
      <c r="M36" s="11">
        <f>IFERROR(-1*L36*LOG(L36,2),0)</f>
        <v>0.21919533819482817</v>
      </c>
      <c r="N36" s="11"/>
      <c r="O36" s="41" t="s">
        <v>81</v>
      </c>
      <c r="P36" s="7">
        <v>78</v>
      </c>
      <c r="Q36" s="11">
        <f>SUMIF($E$4:$E$17,"&lt;="&amp;P36,$H$4:$H$17)/SUM($H$4:$H$17)</f>
        <v>0.42857142857142855</v>
      </c>
      <c r="R36" s="11">
        <f>SUM(M36:M37)</f>
        <v>0.65002242164835411</v>
      </c>
      <c r="S36" s="11">
        <f>Q36*R36</f>
        <v>0.27858103784929461</v>
      </c>
      <c r="T36" s="11"/>
      <c r="U36" s="41" t="s">
        <v>81</v>
      </c>
      <c r="V36" s="7">
        <v>78</v>
      </c>
      <c r="W36" s="11">
        <f>SUMIF($E$4:$E$17,"&lt;="&amp;V36,$H$4:$H$17)/SUM($H$4:$H$17)</f>
        <v>0.42857142857142855</v>
      </c>
      <c r="X36" s="11">
        <f>IFERROR(-1*W36*LOG(W36,2),0)</f>
        <v>0.52388246628704915</v>
      </c>
      <c r="Y36" s="9"/>
      <c r="Z36" s="7"/>
      <c r="AE36">
        <v>6</v>
      </c>
      <c r="AF36" t="s">
        <v>10</v>
      </c>
      <c r="AG36">
        <v>65</v>
      </c>
      <c r="AH36">
        <v>70</v>
      </c>
      <c r="AI36" t="b">
        <v>1</v>
      </c>
      <c r="AJ36" t="s">
        <v>6</v>
      </c>
      <c r="AK36">
        <v>1</v>
      </c>
      <c r="AN36" s="10" t="b">
        <v>1</v>
      </c>
      <c r="AO36" s="7" t="s">
        <v>7</v>
      </c>
      <c r="AP36" s="11">
        <f>SUMIFS($AK$34:$AK$38,$AJ$34:$AJ$38,"="&amp;$AO36,$AI$34:$AI$38,"="&amp;$AN36)/SUMIF($AI$34:$AI$38,"="&amp;$AN36,$AK$34:$AK$38)</f>
        <v>0</v>
      </c>
      <c r="AQ36" s="11">
        <f>IFERROR(-1*AP36*LOG(AP36,2),0)</f>
        <v>0</v>
      </c>
      <c r="AR36" s="7"/>
      <c r="AS36" s="7" t="b">
        <v>1</v>
      </c>
      <c r="AT36" s="11">
        <f>SUMIF($AI$34:$AI$38,"="&amp;AS36,$AK$34:$AK$38)/SUM($AK$34:$AK$38)</f>
        <v>0.4</v>
      </c>
      <c r="AU36" s="11">
        <f>SUM(AQ36:AQ37)</f>
        <v>0</v>
      </c>
      <c r="AV36" s="11">
        <f>AT36*AU36</f>
        <v>0</v>
      </c>
      <c r="AW36" s="11"/>
      <c r="AX36" s="7"/>
      <c r="AY36" s="7" t="b">
        <v>1</v>
      </c>
      <c r="AZ36" s="11">
        <f>SUMIF($AI$34:$AI$38,"="&amp;AY36,$AK$34:$AK$38)/SUM($AK$34:$AK$38)</f>
        <v>0.4</v>
      </c>
      <c r="BA36" s="12">
        <f>-1*AZ36*LOG(AZ36,2)</f>
        <v>0.52877123795494485</v>
      </c>
    </row>
    <row r="37" spans="9:70" x14ac:dyDescent="0.25">
      <c r="I37" s="10" t="s">
        <v>81</v>
      </c>
      <c r="J37" s="7">
        <v>78</v>
      </c>
      <c r="K37" s="7" t="s">
        <v>6</v>
      </c>
      <c r="L37" s="11">
        <f>SUMIFS($H$4:$H$17,$G$4:$G$17,"="&amp;$K37,$E$4:$E$17,"&lt;="&amp;$J37)/SUMIF($E$4:$E$17,"&lt;="&amp;$J37,$H$4:$H$17)</f>
        <v>0.16666666666666666</v>
      </c>
      <c r="M37" s="11">
        <f>IFERROR(-1*L37*LOG(L37,2),0)</f>
        <v>0.43082708345352599</v>
      </c>
      <c r="N37" s="11"/>
      <c r="O37" s="41" t="s">
        <v>80</v>
      </c>
      <c r="P37" s="7">
        <v>78</v>
      </c>
      <c r="Q37" s="11">
        <f>SUMIF($E$4:$E$17,"&gt;"&amp;P37,$H$4:$H$17)/SUM($H$4:$H$17)</f>
        <v>0.5714285714285714</v>
      </c>
      <c r="R37" s="11">
        <f>SUM(M38:M39)</f>
        <v>1</v>
      </c>
      <c r="S37" s="11">
        <f>Q37*R37</f>
        <v>0.5714285714285714</v>
      </c>
      <c r="T37" s="7"/>
      <c r="U37" s="41" t="s">
        <v>80</v>
      </c>
      <c r="V37" s="7">
        <v>78</v>
      </c>
      <c r="W37" s="11">
        <f>SUMIF($E$4:$E$17,"&gt;"&amp;V37,$H$4:$H$17)/SUM($H$4:$H$17)</f>
        <v>0.5714285714285714</v>
      </c>
      <c r="X37" s="11">
        <f t="shared" ref="X37" si="18">IFERROR(-1*W37*LOG(W37,2),0)</f>
        <v>0.46134566974720242</v>
      </c>
      <c r="Y37" s="9"/>
      <c r="Z37" s="7"/>
      <c r="AE37">
        <v>10</v>
      </c>
      <c r="AF37" t="s">
        <v>10</v>
      </c>
      <c r="AG37">
        <v>75</v>
      </c>
      <c r="AH37">
        <v>80</v>
      </c>
      <c r="AI37" t="b">
        <v>0</v>
      </c>
      <c r="AJ37" t="s">
        <v>7</v>
      </c>
      <c r="AK37">
        <v>1</v>
      </c>
      <c r="AN37" s="10" t="b">
        <v>1</v>
      </c>
      <c r="AO37" s="7" t="s">
        <v>6</v>
      </c>
      <c r="AP37" s="11">
        <f>SUMIFS($AK$34:$AK$38,$AJ$34:$AJ$38,"="&amp;$AO37,$AI$34:$AI$38,"="&amp;$AN37)/SUMIF($AI$34:$AI$38,"="&amp;$AN37,$AK$34:$AK$38)</f>
        <v>1</v>
      </c>
      <c r="AQ37" s="11">
        <f t="shared" ref="AQ37:AQ39" si="19">IFERROR(-1*AP37*LOG(AP37,2),0)</f>
        <v>0</v>
      </c>
      <c r="AR37" s="7"/>
      <c r="AS37" s="7" t="b">
        <v>0</v>
      </c>
      <c r="AT37" s="11">
        <f>SUMIF($AI$34:$AI$38,"="&amp;AS37,$AK$34:$AK$38)/SUM($AK$34:$AK$38)</f>
        <v>0.6</v>
      </c>
      <c r="AU37" s="11">
        <f>SUM(AQ38:AQ39)</f>
        <v>0</v>
      </c>
      <c r="AV37" s="11">
        <f t="shared" ref="AV37" si="20">AT37*AU37</f>
        <v>0</v>
      </c>
      <c r="AW37" s="11"/>
      <c r="AX37" s="7"/>
      <c r="AY37" s="7" t="b">
        <v>0</v>
      </c>
      <c r="AZ37" s="11">
        <f>SUMIF($AI$34:$AI$38,"="&amp;AY37,$AK$34:$AK$38)/SUM($AK$34:$AK$38)</f>
        <v>0.6</v>
      </c>
      <c r="BA37" s="12">
        <f>-1*AZ37*LOG(AZ37,2)</f>
        <v>0.44217935649972373</v>
      </c>
    </row>
    <row r="38" spans="9:70" x14ac:dyDescent="0.25">
      <c r="I38" s="10" t="s">
        <v>80</v>
      </c>
      <c r="J38" s="7">
        <v>78</v>
      </c>
      <c r="K38" s="7" t="s">
        <v>7</v>
      </c>
      <c r="L38" s="11">
        <f>SUMIFS($H$4:$H$17,$G$4:$G$17,"="&amp;$K38,$E$4:$E$17,"&gt;"&amp;$J38)/SUMIF($E$4:$E$17,"&gt;"&amp;$J38,$H$4:$H$17)</f>
        <v>0.5</v>
      </c>
      <c r="M38" s="11">
        <f>IFERROR(-1*L38*LOG(L38,2),0)</f>
        <v>0.5</v>
      </c>
      <c r="N38" s="11"/>
      <c r="O38" s="7"/>
      <c r="P38" s="7"/>
      <c r="Q38" s="7"/>
      <c r="R38" s="13" t="s">
        <v>13</v>
      </c>
      <c r="S38" s="11">
        <f>SUM(S36:S37)</f>
        <v>0.85000960927786595</v>
      </c>
      <c r="T38" s="7"/>
      <c r="U38" s="7"/>
      <c r="V38" s="7"/>
      <c r="W38" s="13" t="s">
        <v>13</v>
      </c>
      <c r="X38" s="11">
        <f>SUM(X36:X37)</f>
        <v>0.98522813603425163</v>
      </c>
      <c r="Y38" s="9"/>
      <c r="Z38" s="7"/>
      <c r="AE38">
        <v>14</v>
      </c>
      <c r="AF38" t="s">
        <v>10</v>
      </c>
      <c r="AG38">
        <v>71</v>
      </c>
      <c r="AH38">
        <v>80</v>
      </c>
      <c r="AI38" t="b">
        <v>1</v>
      </c>
      <c r="AJ38" t="s">
        <v>6</v>
      </c>
      <c r="AK38">
        <v>1</v>
      </c>
      <c r="AN38" s="10" t="b">
        <v>0</v>
      </c>
      <c r="AO38" s="7" t="s">
        <v>7</v>
      </c>
      <c r="AP38" s="11">
        <f>SUMIFS($AK$34:$AK$38,$AJ$34:$AJ$38,"="&amp;$AO38,$AI$34:$AI$38,"="&amp;$AN38)/SUMIF($AI$34:$AI$38,"="&amp;$AN38,$AK$34:$AK$38)</f>
        <v>1</v>
      </c>
      <c r="AQ38" s="11">
        <f t="shared" si="19"/>
        <v>0</v>
      </c>
      <c r="AR38" s="7"/>
      <c r="AS38" s="7"/>
      <c r="AT38" s="11"/>
      <c r="AU38" s="13" t="s">
        <v>13</v>
      </c>
      <c r="AV38" s="11">
        <f>SUM(AV36:AV37)</f>
        <v>0</v>
      </c>
      <c r="AW38" s="11"/>
      <c r="AX38" s="7"/>
      <c r="AY38" s="7"/>
      <c r="AZ38" s="13" t="s">
        <v>13</v>
      </c>
      <c r="BA38" s="12">
        <f>SUM(BA36:BA37)</f>
        <v>0.97095059445466858</v>
      </c>
    </row>
    <row r="39" spans="9:70" x14ac:dyDescent="0.25">
      <c r="I39" s="10" t="s">
        <v>80</v>
      </c>
      <c r="J39" s="7">
        <v>78</v>
      </c>
      <c r="K39" s="7" t="s">
        <v>6</v>
      </c>
      <c r="L39" s="11">
        <f>SUMIFS($H$4:$H$17,$G$4:$G$17,"="&amp;$K39,$E$4:$E$17,"&gt;"&amp;$J39)/SUMIF($E$4:$E$17,"&gt;"&amp;$J39,$H$4:$H$17)</f>
        <v>0.5</v>
      </c>
      <c r="M39" s="11">
        <f>IFERROR(-1*L39*LOG(L39,2),0)</f>
        <v>0.5</v>
      </c>
      <c r="N39" s="11"/>
      <c r="O39" s="7"/>
      <c r="P39" s="7"/>
      <c r="Q39" s="7"/>
      <c r="R39" s="13" t="s">
        <v>23</v>
      </c>
      <c r="S39" s="11">
        <f>$G$23-S38</f>
        <v>9.0276349392764965E-2</v>
      </c>
      <c r="T39" s="7"/>
      <c r="U39" s="7"/>
      <c r="V39" s="7"/>
      <c r="W39" s="13" t="s">
        <v>82</v>
      </c>
      <c r="X39" s="11">
        <f>IFERROR(S39/X38,0)</f>
        <v>9.1629893717962693E-2</v>
      </c>
      <c r="Y39" s="9"/>
      <c r="Z39" s="7"/>
      <c r="AN39" s="14" t="b">
        <v>0</v>
      </c>
      <c r="AO39" s="15" t="s">
        <v>6</v>
      </c>
      <c r="AP39" s="17">
        <f>SUMIFS($AK$34:$AK$38,$AJ$34:$AJ$38,"="&amp;$AO39,$AI$34:$AI$38,"="&amp;$AN39)/SUMIF($AI$34:$AI$38,"="&amp;$AN39,$AK$34:$AK$38)</f>
        <v>0</v>
      </c>
      <c r="AQ39" s="17">
        <f t="shared" si="19"/>
        <v>0</v>
      </c>
      <c r="AR39" s="15"/>
      <c r="AS39" s="15"/>
      <c r="AT39" s="16"/>
      <c r="AU39" s="16" t="s">
        <v>23</v>
      </c>
      <c r="AV39" s="17">
        <f>$AK$15-$AV38</f>
        <v>0.97095059445466858</v>
      </c>
      <c r="AW39" s="17"/>
      <c r="AX39" s="15"/>
      <c r="AY39" s="15"/>
      <c r="AZ39" s="16" t="s">
        <v>21</v>
      </c>
      <c r="BA39" s="18">
        <f>AV39/BA38</f>
        <v>1</v>
      </c>
      <c r="BJ39" s="1" t="s">
        <v>62</v>
      </c>
    </row>
    <row r="40" spans="9:70" x14ac:dyDescent="0.25">
      <c r="I40" s="10" t="s">
        <v>81</v>
      </c>
      <c r="J40" s="7">
        <v>80</v>
      </c>
      <c r="K40" s="7" t="s">
        <v>7</v>
      </c>
      <c r="L40" s="11">
        <f>SUMIFS($H$4:$H$17,$G$4:$G$17,"="&amp;$K40,$E$4:$E$17,"&lt;="&amp;$J40)/SUMIF($E$4:$E$17,"&lt;="&amp;$J40,$H$4:$H$17)</f>
        <v>0.77777777777777779</v>
      </c>
      <c r="M40" s="11">
        <f>IFERROR(-1*L40*LOG(L40,2),0)</f>
        <v>0.28199895063255087</v>
      </c>
      <c r="N40" s="11"/>
      <c r="O40" s="41" t="s">
        <v>81</v>
      </c>
      <c r="P40" s="7">
        <v>80</v>
      </c>
      <c r="Q40" s="11">
        <f>SUMIF($E$4:$E$17,"&lt;="&amp;P40,$H$4:$H$17)/SUM($H$4:$H$17)</f>
        <v>0.6428571428571429</v>
      </c>
      <c r="R40" s="23">
        <f>SUM(M40:M41)</f>
        <v>0.76420450650862026</v>
      </c>
      <c r="S40" s="11">
        <f>Q40*R40</f>
        <v>0.49127432561268447</v>
      </c>
      <c r="T40" s="11"/>
      <c r="U40" s="41" t="s">
        <v>81</v>
      </c>
      <c r="V40" s="7">
        <v>80</v>
      </c>
      <c r="W40" s="11">
        <f>SUMIF($E$4:$E$17,"&lt;="&amp;V40,$H$4:$H$17)/SUM($H$4:$H$17)</f>
        <v>0.6428571428571429</v>
      </c>
      <c r="X40" s="11">
        <f>IFERROR(-1*W40*LOG(W40,2),0)</f>
        <v>0.40977637753840185</v>
      </c>
      <c r="Y40" s="9"/>
      <c r="Z40" s="7"/>
      <c r="AI40" s="3" t="s">
        <v>77</v>
      </c>
      <c r="AJ40" s="4"/>
      <c r="AK40" s="5"/>
      <c r="BJ40" t="s">
        <v>0</v>
      </c>
      <c r="BK40" t="s">
        <v>1</v>
      </c>
      <c r="BL40" t="s">
        <v>2</v>
      </c>
      <c r="BM40" t="s">
        <v>3</v>
      </c>
      <c r="BN40" t="s">
        <v>4</v>
      </c>
      <c r="BO40" t="s">
        <v>5</v>
      </c>
      <c r="BP40" t="s">
        <v>20</v>
      </c>
    </row>
    <row r="41" spans="9:70" x14ac:dyDescent="0.25">
      <c r="I41" s="10" t="s">
        <v>81</v>
      </c>
      <c r="J41" s="7">
        <v>80</v>
      </c>
      <c r="K41" s="7" t="s">
        <v>6</v>
      </c>
      <c r="L41" s="11">
        <f>SUMIFS($H$4:$H$17,$G$4:$G$17,"="&amp;$K41,$E$4:$E$17,"&lt;="&amp;$J41)/SUMIF($E$4:$E$17,"&lt;="&amp;$J41,$H$4:$H$17)</f>
        <v>0.22222222222222221</v>
      </c>
      <c r="M41" s="11">
        <f>IFERROR(-1*L41*LOG(L41,2),0)</f>
        <v>0.48220555587606945</v>
      </c>
      <c r="N41" s="11"/>
      <c r="O41" s="41" t="s">
        <v>80</v>
      </c>
      <c r="P41" s="7">
        <v>80</v>
      </c>
      <c r="Q41" s="11">
        <f>SUMIF($E$4:$E$17,"&gt;"&amp;P41,$H$4:$H$17)/SUM($H$4:$H$17)</f>
        <v>0.35714285714285715</v>
      </c>
      <c r="R41" s="23">
        <f>SUM(M42:M43)</f>
        <v>0.97095059445466858</v>
      </c>
      <c r="S41" s="11">
        <f>Q41*R41</f>
        <v>0.34676806944809591</v>
      </c>
      <c r="T41" s="7"/>
      <c r="U41" s="41" t="s">
        <v>80</v>
      </c>
      <c r="V41" s="7">
        <v>80</v>
      </c>
      <c r="W41" s="11">
        <f>SUMIF($E$4:$E$17,"&gt;"&amp;V41,$H$4:$H$17)/SUM($H$4:$H$17)</f>
        <v>0.35714285714285715</v>
      </c>
      <c r="X41" s="11">
        <f t="shared" ref="X41" si="21">IFERROR(-1*W41*LOG(W41,2),0)</f>
        <v>0.53050958113222912</v>
      </c>
      <c r="Y41" s="9"/>
      <c r="Z41" s="7"/>
      <c r="AI41" s="10"/>
      <c r="AJ41" s="7" t="s">
        <v>15</v>
      </c>
      <c r="AK41" s="9" t="s">
        <v>12</v>
      </c>
      <c r="AM41" s="26"/>
      <c r="AN41" s="22" t="s">
        <v>60</v>
      </c>
      <c r="AO41" s="4"/>
      <c r="AP41" s="4"/>
      <c r="AQ41" s="4"/>
      <c r="AR41" s="4"/>
      <c r="AS41" s="4"/>
      <c r="AT41" s="4"/>
      <c r="AU41" s="4"/>
      <c r="AV41" s="4"/>
      <c r="AW41" s="4"/>
      <c r="AX41" s="4"/>
      <c r="AY41" s="4"/>
      <c r="AZ41" s="22" t="s">
        <v>48</v>
      </c>
      <c r="BA41" s="4"/>
      <c r="BB41" s="5"/>
      <c r="BJ41">
        <v>6</v>
      </c>
      <c r="BK41" t="s">
        <v>10</v>
      </c>
      <c r="BL41">
        <v>65</v>
      </c>
      <c r="BM41">
        <v>70</v>
      </c>
      <c r="BN41" t="b">
        <v>1</v>
      </c>
      <c r="BO41" t="s">
        <v>6</v>
      </c>
      <c r="BP41">
        <v>1</v>
      </c>
    </row>
    <row r="42" spans="9:70" x14ac:dyDescent="0.25">
      <c r="I42" s="10" t="s">
        <v>80</v>
      </c>
      <c r="J42" s="7">
        <v>80</v>
      </c>
      <c r="K42" s="7" t="s">
        <v>7</v>
      </c>
      <c r="L42" s="11">
        <f>SUMIFS($H$4:$H$17,$G$4:$G$17,"="&amp;$K42,$E$4:$E$17,"&gt;"&amp;$J42)/SUMIF($E$4:$E$17,"&gt;"&amp;$J42,$H$4:$H$17)</f>
        <v>0.4</v>
      </c>
      <c r="M42" s="11">
        <f>IFERROR(-1*L42*LOG(L42,2),0)</f>
        <v>0.52877123795494485</v>
      </c>
      <c r="N42" s="11"/>
      <c r="O42" s="7"/>
      <c r="P42" s="7"/>
      <c r="Q42" s="7"/>
      <c r="R42" s="13" t="s">
        <v>13</v>
      </c>
      <c r="S42" s="11">
        <f>SUM(S40:S41)</f>
        <v>0.83804239506078038</v>
      </c>
      <c r="T42" s="7"/>
      <c r="U42" s="7"/>
      <c r="V42" s="7"/>
      <c r="W42" s="13" t="s">
        <v>13</v>
      </c>
      <c r="X42" s="11">
        <f>SUM(X40:X41)</f>
        <v>0.94028595867063092</v>
      </c>
      <c r="Y42" s="9"/>
      <c r="Z42" s="7"/>
      <c r="AI42" s="10" t="s">
        <v>7</v>
      </c>
      <c r="AJ42" s="11">
        <f>SUMIF(AJ34:AJ38,"=Yes",$AK$34:$AK$38)/SUM($AK$34:$AK$38)</f>
        <v>0.6</v>
      </c>
      <c r="AK42" s="12">
        <f>-1*AJ42*LOG(AJ42,2)</f>
        <v>0.44217935649972373</v>
      </c>
      <c r="AM42" s="10"/>
      <c r="AN42" s="8" t="s">
        <v>14</v>
      </c>
      <c r="AO42" s="7"/>
      <c r="AP42" s="7"/>
      <c r="AQ42" s="7"/>
      <c r="AR42" s="7"/>
      <c r="AS42" s="7"/>
      <c r="AT42" s="8" t="s">
        <v>22</v>
      </c>
      <c r="AU42" s="7"/>
      <c r="AV42" s="7"/>
      <c r="AW42" s="7"/>
      <c r="AX42" s="7"/>
      <c r="AY42" s="7"/>
      <c r="AZ42" s="8" t="s">
        <v>21</v>
      </c>
      <c r="BA42" s="7"/>
      <c r="BB42" s="9"/>
      <c r="BE42" s="1" t="s">
        <v>21</v>
      </c>
      <c r="BJ42">
        <v>14</v>
      </c>
      <c r="BK42" t="s">
        <v>10</v>
      </c>
      <c r="BL42">
        <v>71</v>
      </c>
      <c r="BM42">
        <v>80</v>
      </c>
      <c r="BN42" t="b">
        <v>1</v>
      </c>
      <c r="BO42" t="s">
        <v>6</v>
      </c>
      <c r="BP42">
        <v>1</v>
      </c>
    </row>
    <row r="43" spans="9:70" x14ac:dyDescent="0.25">
      <c r="I43" s="10" t="s">
        <v>80</v>
      </c>
      <c r="J43" s="7">
        <v>80</v>
      </c>
      <c r="K43" s="7" t="s">
        <v>6</v>
      </c>
      <c r="L43" s="11">
        <f>SUMIFS($H$4:$H$17,$G$4:$G$17,"="&amp;$K43,$E$4:$E$17,"&gt;"&amp;$J43)/SUMIF($E$4:$E$17,"&gt;"&amp;$J43,$H$4:$H$17)</f>
        <v>0.6</v>
      </c>
      <c r="M43" s="11">
        <f>IFERROR(-1*L43*LOG(L43,2),0)</f>
        <v>0.44217935649972373</v>
      </c>
      <c r="N43" s="11"/>
      <c r="O43" s="7"/>
      <c r="P43" s="7"/>
      <c r="Q43" s="7"/>
      <c r="R43" s="13" t="s">
        <v>23</v>
      </c>
      <c r="S43" s="11">
        <f>$G$23-S42</f>
        <v>0.10224356360985054</v>
      </c>
      <c r="T43" s="7"/>
      <c r="U43" s="7"/>
      <c r="V43" s="7"/>
      <c r="W43" s="13" t="s">
        <v>82</v>
      </c>
      <c r="X43" s="11">
        <f>IFERROR(S43/X42,0)</f>
        <v>0.10873666959187789</v>
      </c>
      <c r="Y43" s="9"/>
      <c r="Z43" s="7"/>
      <c r="AI43" s="10" t="s">
        <v>6</v>
      </c>
      <c r="AJ43" s="11">
        <f>SUMIF(AJ35:AJ39,"=Yes",$AK$5:$AK$9)/SUM($AK$5:$AK$9)</f>
        <v>0.4</v>
      </c>
      <c r="AK43" s="12">
        <f>-1*AJ43*LOG(AJ43,2)</f>
        <v>0.52877123795494485</v>
      </c>
      <c r="AM43" s="10"/>
      <c r="AN43" s="7"/>
      <c r="AO43" s="7"/>
      <c r="AP43" s="7" t="s">
        <v>11</v>
      </c>
      <c r="AQ43" s="7" t="s">
        <v>17</v>
      </c>
      <c r="AR43" s="7"/>
      <c r="AS43" s="7"/>
      <c r="AT43" s="7"/>
      <c r="AU43" s="7" t="s">
        <v>16</v>
      </c>
      <c r="AV43" s="7" t="s">
        <v>17</v>
      </c>
      <c r="AW43" s="7" t="s">
        <v>18</v>
      </c>
      <c r="AX43" s="13"/>
      <c r="AY43" s="7"/>
      <c r="AZ43" s="7"/>
      <c r="BA43" s="7" t="s">
        <v>16</v>
      </c>
      <c r="BB43" s="9" t="s">
        <v>12</v>
      </c>
      <c r="BD43" t="s">
        <v>4</v>
      </c>
      <c r="BE43" s="2">
        <f>BA39</f>
        <v>1</v>
      </c>
      <c r="BF43" s="30" t="s">
        <v>61</v>
      </c>
    </row>
    <row r="44" spans="9:70" x14ac:dyDescent="0.25">
      <c r="I44" s="10" t="s">
        <v>81</v>
      </c>
      <c r="J44" s="7">
        <v>85</v>
      </c>
      <c r="K44" s="7" t="s">
        <v>7</v>
      </c>
      <c r="L44" s="11">
        <f>SUMIFS($H$4:$H$17,$G$4:$G$17,"="&amp;$K44,$E$4:$E$17,"&lt;="&amp;$J44)/SUMIF($E$4:$E$17,"&lt;="&amp;$J44,$H$4:$H$17)</f>
        <v>0.7</v>
      </c>
      <c r="M44" s="11">
        <f>IFERROR(-1*L44*LOG(L44,2),0)</f>
        <v>0.36020122098083079</v>
      </c>
      <c r="N44" s="11"/>
      <c r="O44" s="41" t="s">
        <v>81</v>
      </c>
      <c r="P44" s="7">
        <v>85</v>
      </c>
      <c r="Q44" s="11">
        <f>SUMIF($E$4:$E$17,"&lt;="&amp;P44,$H$4:$H$17)/SUM($H$4:$H$17)</f>
        <v>0.7142857142857143</v>
      </c>
      <c r="R44" s="23">
        <f>SUM(M44:M45)</f>
        <v>0.8812908992306927</v>
      </c>
      <c r="S44" s="11">
        <f>Q44*R44</f>
        <v>0.62949349945049482</v>
      </c>
      <c r="T44" s="11"/>
      <c r="U44" s="41" t="s">
        <v>81</v>
      </c>
      <c r="V44" s="7">
        <v>85</v>
      </c>
      <c r="W44" s="11">
        <f>SUMIF($E$4:$E$17,"&lt;="&amp;V44,$H$4:$H$17)/SUM($H$4:$H$17)</f>
        <v>0.7142857142857143</v>
      </c>
      <c r="X44" s="11">
        <f>IFERROR(-1*W44*LOG(W44,2),0)</f>
        <v>0.34673344797874411</v>
      </c>
      <c r="Y44" s="9"/>
      <c r="Z44" s="7"/>
      <c r="AI44" s="14"/>
      <c r="AJ44" s="16" t="s">
        <v>13</v>
      </c>
      <c r="AK44" s="18">
        <f>SUM(AK42:AK43)</f>
        <v>0.97095059445466858</v>
      </c>
      <c r="AM44" s="10" t="s">
        <v>81</v>
      </c>
      <c r="AN44" s="7">
        <v>70</v>
      </c>
      <c r="AO44" s="7" t="s">
        <v>7</v>
      </c>
      <c r="AP44" s="11">
        <f>SUMIFS($AK$34:$AK$38,$AJ$34:$AJ$38,"="&amp;$AO44,$AH$34:$AH$38,"&lt;="&amp;$AN44)/SUMIF($AH$34:$AH$38,"&lt;="&amp;$AN44,$AK$34:$AK$38)</f>
        <v>0</v>
      </c>
      <c r="AQ44" s="11">
        <f>IFERROR(-1*AP44*LOG(AP44,2),0)</f>
        <v>0</v>
      </c>
      <c r="AR44" s="11"/>
      <c r="AS44" s="41" t="s">
        <v>81</v>
      </c>
      <c r="AT44" s="7">
        <v>70</v>
      </c>
      <c r="AU44" s="11">
        <f>SUMIF($AH$34:$AH$38,"&lt;="&amp;AT44,$AK$34:$AK$38)/SUM($AK$34:$AK$38)</f>
        <v>0.2</v>
      </c>
      <c r="AV44" s="11">
        <f>SUM(AQ44:AQ45)</f>
        <v>0</v>
      </c>
      <c r="AW44" s="11">
        <f>AU44*AV44</f>
        <v>0</v>
      </c>
      <c r="AX44" s="11"/>
      <c r="AY44" s="41" t="s">
        <v>81</v>
      </c>
      <c r="AZ44" s="7">
        <v>70</v>
      </c>
      <c r="BA44" s="11">
        <f>SUMIF($AH$34:$AH$38,"&lt;="&amp;AZ44,$AK$34:$AK$38)/SUM($AK$34:$AK$38)</f>
        <v>0.2</v>
      </c>
      <c r="BB44" s="12">
        <f>IFERROR(-1*BA44*LOG(BA44,2),0)</f>
        <v>0.46438561897747244</v>
      </c>
      <c r="BD44" t="s">
        <v>3</v>
      </c>
      <c r="BE44" s="2">
        <f>MAX(BB47,BB51,BB55)</f>
        <v>0.44592819862148542</v>
      </c>
      <c r="BM44" s="3" t="s">
        <v>64</v>
      </c>
      <c r="BN44" s="4"/>
      <c r="BO44" s="5"/>
    </row>
    <row r="45" spans="9:70" x14ac:dyDescent="0.25">
      <c r="I45" s="10" t="s">
        <v>81</v>
      </c>
      <c r="J45" s="7">
        <v>85</v>
      </c>
      <c r="K45" s="7" t="s">
        <v>6</v>
      </c>
      <c r="L45" s="11">
        <f>SUMIFS($H$4:$H$17,$G$4:$G$17,"="&amp;$K45,$E$4:$E$17,"&lt;="&amp;$J45)/SUMIF($E$4:$E$17,"&lt;="&amp;$J45,$H$4:$H$17)</f>
        <v>0.3</v>
      </c>
      <c r="M45" s="11">
        <f>IFERROR(-1*L45*LOG(L45,2),0)</f>
        <v>0.52108967824986185</v>
      </c>
      <c r="N45" s="11"/>
      <c r="O45" s="41" t="s">
        <v>80</v>
      </c>
      <c r="P45" s="7">
        <v>85</v>
      </c>
      <c r="Q45" s="11">
        <f>SUMIF($E$4:$E$17,"&gt;"&amp;P45,$H$4:$H$17)/SUM($H$4:$H$17)</f>
        <v>0.2857142857142857</v>
      </c>
      <c r="R45" s="23">
        <f>SUM(M46:M47)</f>
        <v>1</v>
      </c>
      <c r="S45" s="11">
        <f>Q45*R45</f>
        <v>0.2857142857142857</v>
      </c>
      <c r="T45" s="7"/>
      <c r="U45" s="41" t="s">
        <v>80</v>
      </c>
      <c r="V45" s="7">
        <v>85</v>
      </c>
      <c r="W45" s="11">
        <f>SUMIF($E$4:$E$17,"&gt;"&amp;V45,$H$4:$H$17)/SUM($H$4:$H$17)</f>
        <v>0.2857142857142857</v>
      </c>
      <c r="X45" s="11">
        <f t="shared" ref="X45" si="22">IFERROR(-1*W45*LOG(W45,2),0)</f>
        <v>0.51638712058788683</v>
      </c>
      <c r="Y45" s="9"/>
      <c r="Z45" s="7"/>
      <c r="AM45" s="10" t="s">
        <v>81</v>
      </c>
      <c r="AN45" s="7">
        <v>70</v>
      </c>
      <c r="AO45" s="7" t="s">
        <v>6</v>
      </c>
      <c r="AP45" s="11">
        <f>SUMIFS($AK$34:$AK$38,$AJ$34:$AJ$38,"="&amp;$AO45,$AH$34:$AH$38,"&lt;="&amp;$AN45)/SUMIF($AH$34:$AH$38,"&lt;="&amp;$AN45,$AK$34:$AK$38)</f>
        <v>1</v>
      </c>
      <c r="AQ45" s="11">
        <f>IFERROR(-1*AP45*LOG(AP45,2),0)</f>
        <v>0</v>
      </c>
      <c r="AR45" s="11"/>
      <c r="AS45" s="41" t="s">
        <v>80</v>
      </c>
      <c r="AT45" s="7">
        <v>70</v>
      </c>
      <c r="AU45" s="11">
        <f>SUMIF($AH$34:$AH$38,"&gt;"&amp;AT45,$AK$34:$AK$38)/SUM($AK$34:$AK$38)</f>
        <v>0.8</v>
      </c>
      <c r="AV45" s="11">
        <f>SUM(AQ46:AQ47)</f>
        <v>0.81127812445913283</v>
      </c>
      <c r="AW45" s="11">
        <f>AU45*AV45</f>
        <v>0.64902249956730629</v>
      </c>
      <c r="AX45" s="7"/>
      <c r="AY45" s="41" t="s">
        <v>80</v>
      </c>
      <c r="AZ45" s="7">
        <v>70</v>
      </c>
      <c r="BA45" s="11">
        <f>SUMIF($AH$34:$AH$38,"&gt;"&amp;AZ45,$AK$34:$AK$38)/SUM($AK$34:$AK$38)</f>
        <v>0.8</v>
      </c>
      <c r="BB45" s="12">
        <f t="shared" ref="BB45" si="23">IFERROR(-1*BA45*LOG(BA45,2),0)</f>
        <v>0.25754247590988982</v>
      </c>
      <c r="BM45" s="10"/>
      <c r="BN45" s="7" t="s">
        <v>15</v>
      </c>
      <c r="BO45" s="9" t="s">
        <v>12</v>
      </c>
    </row>
    <row r="46" spans="9:70" x14ac:dyDescent="0.25">
      <c r="I46" s="10" t="s">
        <v>80</v>
      </c>
      <c r="J46" s="7">
        <v>85</v>
      </c>
      <c r="K46" s="7" t="s">
        <v>7</v>
      </c>
      <c r="L46" s="11">
        <f>SUMIFS($H$4:$H$17,$G$4:$G$17,"="&amp;$K46,$E$4:$E$17,"&gt;"&amp;$J46)/SUMIF($E$4:$E$17,"&gt;"&amp;$J46,$H$4:$H$17)</f>
        <v>0.5</v>
      </c>
      <c r="M46" s="11">
        <f>IFERROR(-1*L46*LOG(L46,2),0)</f>
        <v>0.5</v>
      </c>
      <c r="N46" s="11"/>
      <c r="O46" s="7"/>
      <c r="P46" s="7"/>
      <c r="Q46" s="7"/>
      <c r="R46" s="13" t="s">
        <v>13</v>
      </c>
      <c r="S46" s="11">
        <f>SUM(S44:S45)</f>
        <v>0.91520778516478052</v>
      </c>
      <c r="T46" s="7"/>
      <c r="U46" s="7"/>
      <c r="V46" s="7"/>
      <c r="W46" s="13" t="s">
        <v>13</v>
      </c>
      <c r="X46" s="11">
        <f>SUM(X44:X45)</f>
        <v>0.863120568566631</v>
      </c>
      <c r="Y46" s="9"/>
      <c r="Z46" s="7"/>
      <c r="AM46" s="10" t="s">
        <v>80</v>
      </c>
      <c r="AN46" s="7">
        <v>70</v>
      </c>
      <c r="AO46" s="7" t="s">
        <v>7</v>
      </c>
      <c r="AP46" s="11">
        <f>SUMIFS($AK$34:$AK$38,$AJ$34:$AJ$38,"="&amp;$AO46,$AH$34:$AH$38,"&gt;"&amp;$AN46)/SUMIF($AH$34:$AH$38,"&gt;"&amp;$AN46,$AK$34:$AK$38)</f>
        <v>0.75</v>
      </c>
      <c r="AQ46" s="11">
        <f>IFERROR(-1*AP46*LOG(AP46,2),0)</f>
        <v>0.31127812445913283</v>
      </c>
      <c r="AR46" s="11"/>
      <c r="AS46" s="7"/>
      <c r="AT46" s="7"/>
      <c r="AU46" s="7"/>
      <c r="AV46" s="13" t="s">
        <v>13</v>
      </c>
      <c r="AW46" s="11">
        <f>SUM(AW44:AW45)</f>
        <v>0.64902249956730629</v>
      </c>
      <c r="AX46" s="7"/>
      <c r="AY46" s="7"/>
      <c r="AZ46" s="7"/>
      <c r="BA46" s="13" t="s">
        <v>13</v>
      </c>
      <c r="BB46" s="12">
        <f>SUM(BB44:BB45)</f>
        <v>0.72192809488736231</v>
      </c>
      <c r="BM46" s="10" t="s">
        <v>7</v>
      </c>
      <c r="BN46" s="11">
        <f>SUMIF(BO41:BO42,"=Yes",$BP$41:$BP$42)/SUM($BP$41:$BP$42)</f>
        <v>0</v>
      </c>
      <c r="BO46" s="12">
        <f>-IFERROR(1*BN46*LOG(BN46,2),0)</f>
        <v>0</v>
      </c>
    </row>
    <row r="47" spans="9:70" x14ac:dyDescent="0.25">
      <c r="I47" s="10" t="s">
        <v>80</v>
      </c>
      <c r="J47" s="7">
        <v>85</v>
      </c>
      <c r="K47" s="7" t="s">
        <v>6</v>
      </c>
      <c r="L47" s="11">
        <f>SUMIFS($H$4:$H$17,$G$4:$G$17,"="&amp;$K47,$E$4:$E$17,"&gt;"&amp;$J47)/SUMIF($E$4:$E$17,"&gt;"&amp;$J47,$H$4:$H$17)</f>
        <v>0.5</v>
      </c>
      <c r="M47" s="11">
        <f>IFERROR(-1*L47*LOG(L47,2),0)</f>
        <v>0.5</v>
      </c>
      <c r="N47" s="11"/>
      <c r="O47" s="7"/>
      <c r="P47" s="7"/>
      <c r="Q47" s="7"/>
      <c r="R47" s="13" t="s">
        <v>23</v>
      </c>
      <c r="S47" s="11">
        <f>$G$23-S46</f>
        <v>2.5078173505850399E-2</v>
      </c>
      <c r="T47" s="7"/>
      <c r="U47" s="7"/>
      <c r="V47" s="7"/>
      <c r="W47" s="13" t="s">
        <v>82</v>
      </c>
      <c r="X47" s="11">
        <f>IFERROR(S47/X46,0)</f>
        <v>2.9055237957655529E-2</v>
      </c>
      <c r="Y47" s="9"/>
      <c r="Z47" s="7"/>
      <c r="AM47" s="10" t="s">
        <v>80</v>
      </c>
      <c r="AN47" s="7">
        <v>70</v>
      </c>
      <c r="AO47" s="7" t="s">
        <v>6</v>
      </c>
      <c r="AP47" s="11">
        <f>SUMIFS($AK$34:$AK$38,$AJ$34:$AJ$38,"="&amp;$AO47,$AH$34:$AH$38,"&gt;"&amp;$AN47)/SUMIF($AH$34:$AH$38,"&gt;"&amp;$AN47,$AK$34:$AK$38)</f>
        <v>0.25</v>
      </c>
      <c r="AQ47" s="11">
        <f>IFERROR(-1*AP47*LOG(AP47,2),0)</f>
        <v>0.5</v>
      </c>
      <c r="AR47" s="11"/>
      <c r="AS47" s="7"/>
      <c r="AT47" s="7"/>
      <c r="AU47" s="7"/>
      <c r="AV47" s="13" t="s">
        <v>23</v>
      </c>
      <c r="AW47" s="11">
        <f>$AK$15-AW46</f>
        <v>0.32192809488736229</v>
      </c>
      <c r="AX47" s="7"/>
      <c r="AY47" s="7"/>
      <c r="AZ47" s="7"/>
      <c r="BA47" s="13" t="s">
        <v>82</v>
      </c>
      <c r="BB47" s="12">
        <f>IFERROR(AW47/BB46,0)</f>
        <v>0.44592819862148542</v>
      </c>
      <c r="BM47" s="10" t="s">
        <v>6</v>
      </c>
      <c r="BN47" s="11">
        <f>SUMIF(BO41:BO42,"=No",$BP$41:$BP$42)/SUM($BP$41:$BP$42)</f>
        <v>1</v>
      </c>
      <c r="BO47" s="12">
        <f>-IFERROR(1*BN47*LOG(BN47,2),0)</f>
        <v>0</v>
      </c>
      <c r="BQ47" s="30" t="s">
        <v>57</v>
      </c>
    </row>
    <row r="48" spans="9:70" x14ac:dyDescent="0.25">
      <c r="I48" s="10" t="s">
        <v>81</v>
      </c>
      <c r="J48" s="7">
        <v>90</v>
      </c>
      <c r="K48" s="7" t="s">
        <v>7</v>
      </c>
      <c r="L48" s="11">
        <f>SUMIFS($H$4:$H$17,$G$4:$G$17,"="&amp;$K48,$E$4:$E$17,"&lt;="&amp;$J48)/SUMIF($E$4:$E$17,"&lt;="&amp;$J48,$H$4:$H$17)</f>
        <v>0.66666666666666663</v>
      </c>
      <c r="M48" s="11">
        <f>IFERROR(-1*L48*LOG(L48,2),0)</f>
        <v>0.38997500048077083</v>
      </c>
      <c r="N48" s="11"/>
      <c r="O48" s="41" t="s">
        <v>81</v>
      </c>
      <c r="P48" s="7">
        <v>90</v>
      </c>
      <c r="Q48" s="11">
        <f>SUMIF($E$4:$E$17,"&lt;="&amp;P48,$H$4:$H$17)/SUM($H$4:$H$17)</f>
        <v>0.8571428571428571</v>
      </c>
      <c r="R48" s="23">
        <f>SUM(M48:M49)</f>
        <v>0.91829583405448956</v>
      </c>
      <c r="S48" s="11">
        <f>Q48*R48</f>
        <v>0.7871107149038481</v>
      </c>
      <c r="T48" s="11"/>
      <c r="U48" s="41" t="s">
        <v>81</v>
      </c>
      <c r="V48" s="7">
        <v>90</v>
      </c>
      <c r="W48" s="11">
        <f>SUMIF($E$4:$E$17,"&lt;="&amp;V48,$H$4:$H$17)/SUM($H$4:$H$17)</f>
        <v>0.8571428571428571</v>
      </c>
      <c r="X48" s="11">
        <f>IFERROR(-1*W48*LOG(W48,2),0)</f>
        <v>0.19062207543124116</v>
      </c>
      <c r="Y48" s="9"/>
      <c r="AM48" s="10" t="s">
        <v>81</v>
      </c>
      <c r="AN48" s="7">
        <v>80</v>
      </c>
      <c r="AO48" s="7" t="s">
        <v>7</v>
      </c>
      <c r="AP48" s="11">
        <f t="shared" ref="AP45:AP55" si="24">SUMIFS($AK$34:$AK$38,$AJ$34:$AJ$38,"="&amp;$AO48,$AH$34:$AH$38,"&lt;="&amp;$AN48)/SUMIF($AH$34:$AH$38,"&lt;="&amp;$AN48,$AK$34:$AK$38)</f>
        <v>0.5</v>
      </c>
      <c r="AQ48" s="11">
        <f>IFERROR(-1*AP48*LOG(AP48,2),0)</f>
        <v>0.5</v>
      </c>
      <c r="AR48" s="11"/>
      <c r="AS48" s="41" t="s">
        <v>81</v>
      </c>
      <c r="AT48" s="7">
        <v>80</v>
      </c>
      <c r="AU48" s="11">
        <f>SUMIF($AH$34:$AH$38,"&lt;="&amp;AT48,$AK$34:$AK$38)/SUM($AK$34:$AK$38)</f>
        <v>0.8</v>
      </c>
      <c r="AV48" s="23">
        <f>SUM(AQ48:AQ49)</f>
        <v>1</v>
      </c>
      <c r="AW48" s="11">
        <f>AU48*AV48</f>
        <v>0.8</v>
      </c>
      <c r="AX48" s="11"/>
      <c r="AY48" s="41" t="s">
        <v>81</v>
      </c>
      <c r="AZ48" s="7">
        <v>85</v>
      </c>
      <c r="BA48" s="11">
        <f>SUMIF($AH$34:$AH$38,"&lt;="&amp;AZ48,$AK$34:$AK$38)/SUM($AK$34:$AK$38)</f>
        <v>0.8</v>
      </c>
      <c r="BB48" s="12">
        <f>IFERROR(-1*BA48*LOG(BA48,2),0)</f>
        <v>0.25754247590988982</v>
      </c>
      <c r="BM48" s="14"/>
      <c r="BN48" s="16" t="s">
        <v>13</v>
      </c>
      <c r="BO48" s="18">
        <f>SUM(BO46:BO47)</f>
        <v>0</v>
      </c>
      <c r="BR48" t="s">
        <v>6</v>
      </c>
    </row>
    <row r="49" spans="9:70" x14ac:dyDescent="0.25">
      <c r="I49" s="10" t="s">
        <v>81</v>
      </c>
      <c r="J49" s="7">
        <v>90</v>
      </c>
      <c r="K49" s="7" t="s">
        <v>6</v>
      </c>
      <c r="L49" s="11">
        <f>SUMIFS($H$4:$H$17,$G$4:$G$17,"="&amp;$K49,$E$4:$E$17,"&lt;="&amp;$J49)/SUMIF($E$4:$E$17,"&lt;="&amp;$J49,$H$4:$H$17)</f>
        <v>0.33333333333333331</v>
      </c>
      <c r="M49" s="11">
        <f>IFERROR(-1*L49*LOG(L49,2),0)</f>
        <v>0.52832083357371873</v>
      </c>
      <c r="N49" s="11"/>
      <c r="O49" s="41" t="s">
        <v>80</v>
      </c>
      <c r="P49" s="7">
        <v>90</v>
      </c>
      <c r="Q49" s="11">
        <f>SUMIF($E$4:$E$17,"&gt;"&amp;P49,$H$4:$H$17)/SUM($H$4:$H$17)</f>
        <v>0.14285714285714285</v>
      </c>
      <c r="R49" s="23">
        <f>SUM(M50:M51)</f>
        <v>1</v>
      </c>
      <c r="S49" s="11">
        <f>Q49*R49</f>
        <v>0.14285714285714285</v>
      </c>
      <c r="T49" s="7"/>
      <c r="U49" s="41" t="s">
        <v>80</v>
      </c>
      <c r="V49" s="7">
        <v>90</v>
      </c>
      <c r="W49" s="11">
        <f>SUMIF($E$4:$E$17,"&gt;"&amp;V49,$H$4:$H$17)/SUM($H$4:$H$17)</f>
        <v>0.14285714285714285</v>
      </c>
      <c r="X49" s="11">
        <f t="shared" ref="X49" si="25">IFERROR(-1*W49*LOG(W49,2),0)</f>
        <v>0.40105070315108637</v>
      </c>
      <c r="Y49" s="9"/>
      <c r="AM49" s="10" t="s">
        <v>81</v>
      </c>
      <c r="AN49" s="7">
        <v>80</v>
      </c>
      <c r="AO49" s="7" t="s">
        <v>6</v>
      </c>
      <c r="AP49" s="11">
        <f t="shared" si="24"/>
        <v>0.5</v>
      </c>
      <c r="AQ49" s="11">
        <f>IFERROR(-1*AP49*LOG(AP49,2),0)</f>
        <v>0.5</v>
      </c>
      <c r="AR49" s="11"/>
      <c r="AS49" s="41" t="s">
        <v>80</v>
      </c>
      <c r="AT49" s="7">
        <v>80</v>
      </c>
      <c r="AU49" s="11">
        <f>SUMIF($AH$34:$AH$38,"&gt;"&amp;AT49,$AK$34:$AK$38)/SUM($AK$34:$AK$38)</f>
        <v>0.2</v>
      </c>
      <c r="AV49" s="23">
        <f>SUM(AQ50:AQ51)</f>
        <v>0</v>
      </c>
      <c r="AW49" s="11">
        <f>AU49*AV49</f>
        <v>0</v>
      </c>
      <c r="AX49" s="7"/>
      <c r="AY49" s="41" t="s">
        <v>80</v>
      </c>
      <c r="AZ49" s="7">
        <v>85</v>
      </c>
      <c r="BA49" s="11">
        <f>SUMIF($AH$34:$AH$38,"&gt;"&amp;AZ49,$AK$34:$AK$38)/SUM($AK$34:$AK$38)</f>
        <v>0.2</v>
      </c>
      <c r="BB49" s="12">
        <f t="shared" ref="BB49" si="26">IFERROR(-1*BA49*LOG(BA49,2),0)</f>
        <v>0.46438561897747244</v>
      </c>
      <c r="BJ49" s="1" t="s">
        <v>63</v>
      </c>
    </row>
    <row r="50" spans="9:70" x14ac:dyDescent="0.25">
      <c r="I50" s="10" t="s">
        <v>80</v>
      </c>
      <c r="J50" s="7">
        <v>90</v>
      </c>
      <c r="K50" s="7" t="s">
        <v>7</v>
      </c>
      <c r="L50" s="11">
        <f>SUMIFS($H$4:$H$17,$G$4:$G$17,"="&amp;$K50,$E$4:$E$17,"&gt;"&amp;$J50)/SUMIF($E$4:$E$17,"&gt;"&amp;$J50,$H$4:$H$17)</f>
        <v>0.5</v>
      </c>
      <c r="M50" s="11">
        <f>IFERROR(-1*L50*LOG(L50,2),0)</f>
        <v>0.5</v>
      </c>
      <c r="N50" s="11"/>
      <c r="O50" s="7"/>
      <c r="P50" s="7"/>
      <c r="Q50" s="7"/>
      <c r="R50" s="13" t="s">
        <v>13</v>
      </c>
      <c r="S50" s="11">
        <f>SUM(S48:S49)</f>
        <v>0.92996785776099089</v>
      </c>
      <c r="T50" s="7"/>
      <c r="U50" s="7"/>
      <c r="V50" s="7"/>
      <c r="W50" s="13" t="s">
        <v>13</v>
      </c>
      <c r="X50" s="11">
        <f>SUM(X48:X49)</f>
        <v>0.59167277858232747</v>
      </c>
      <c r="Y50" s="9"/>
      <c r="AM50" s="10" t="s">
        <v>80</v>
      </c>
      <c r="AN50" s="7">
        <v>80</v>
      </c>
      <c r="AO50" s="7" t="s">
        <v>7</v>
      </c>
      <c r="AP50" s="11">
        <f>SUMIFS($AK$34:$AK$38,$AJ$34:$AJ$38,"="&amp;$AO50,$AH$34:$AH$38,"&gt;"&amp;$AN50)/SUMIF($AH$34:$AH$38,"&gt;"&amp;$AN50,$AK$34:$AK$38)</f>
        <v>1</v>
      </c>
      <c r="AQ50" s="11">
        <f>IFERROR(-1*AP50*LOG(AP50,2),0)</f>
        <v>0</v>
      </c>
      <c r="AR50" s="11"/>
      <c r="AS50" s="7"/>
      <c r="AT50" s="7"/>
      <c r="AU50" s="7"/>
      <c r="AV50" s="13" t="s">
        <v>13</v>
      </c>
      <c r="AW50" s="11">
        <f>SUM(AW48:AW49)</f>
        <v>0.8</v>
      </c>
      <c r="AX50" s="7"/>
      <c r="AY50" s="7"/>
      <c r="AZ50" s="7"/>
      <c r="BA50" s="13" t="s">
        <v>13</v>
      </c>
      <c r="BB50" s="12">
        <f>SUM(BB48:BB49)</f>
        <v>0.72192809488736231</v>
      </c>
    </row>
    <row r="51" spans="9:70" x14ac:dyDescent="0.25">
      <c r="I51" s="10" t="s">
        <v>80</v>
      </c>
      <c r="J51" s="7">
        <v>90</v>
      </c>
      <c r="K51" s="7" t="s">
        <v>6</v>
      </c>
      <c r="L51" s="11">
        <f>SUMIFS($H$4:$H$17,$G$4:$G$17,"="&amp;$K51,$E$4:$E$17,"&gt;"&amp;$J51)/SUMIF($E$4:$E$17,"&gt;"&amp;$J51,$H$4:$H$17)</f>
        <v>0.5</v>
      </c>
      <c r="M51" s="11">
        <f>IFERROR(-1*L51*LOG(L51,2),0)</f>
        <v>0.5</v>
      </c>
      <c r="N51" s="11"/>
      <c r="O51" s="7"/>
      <c r="P51" s="7"/>
      <c r="Q51" s="7"/>
      <c r="R51" s="13" t="s">
        <v>23</v>
      </c>
      <c r="S51" s="11">
        <f>$G$23-S50</f>
        <v>1.0318100909640027E-2</v>
      </c>
      <c r="T51" s="7"/>
      <c r="U51" s="7"/>
      <c r="V51" s="7"/>
      <c r="W51" s="13" t="s">
        <v>82</v>
      </c>
      <c r="X51" s="11">
        <f>IFERROR(S51/X50,0)</f>
        <v>1.7438863647509059E-2</v>
      </c>
      <c r="Y51" s="9"/>
      <c r="AM51" s="10" t="s">
        <v>80</v>
      </c>
      <c r="AN51" s="7">
        <v>80</v>
      </c>
      <c r="AO51" s="7" t="s">
        <v>6</v>
      </c>
      <c r="AP51" s="11">
        <f>SUMIFS($AK$34:$AK$38,$AJ$34:$AJ$38,"="&amp;$AO51,$AH$34:$AH$38,"&gt;"&amp;$AN51)/SUMIF($AH$34:$AH$38,"&gt;"&amp;$AN51,$AK$34:$AK$38)</f>
        <v>0</v>
      </c>
      <c r="AQ51" s="11">
        <f>IFERROR(-1*AP51*LOG(AP51,2),0)</f>
        <v>0</v>
      </c>
      <c r="AR51" s="11"/>
      <c r="AS51" s="7"/>
      <c r="AT51" s="7"/>
      <c r="AU51" s="7"/>
      <c r="AV51" s="13" t="s">
        <v>23</v>
      </c>
      <c r="AW51" s="11">
        <f>$AK$15-AW50</f>
        <v>0.17095059445466854</v>
      </c>
      <c r="AX51" s="7"/>
      <c r="AY51" s="7"/>
      <c r="AZ51" s="7"/>
      <c r="BA51" s="13" t="s">
        <v>82</v>
      </c>
      <c r="BB51" s="12">
        <f>IFERROR(AW51/BB50,0)</f>
        <v>0.23679725954056524</v>
      </c>
      <c r="BJ51">
        <v>4</v>
      </c>
      <c r="BK51" t="s">
        <v>10</v>
      </c>
      <c r="BL51">
        <v>70</v>
      </c>
      <c r="BM51">
        <v>96</v>
      </c>
      <c r="BN51" t="b">
        <v>0</v>
      </c>
      <c r="BO51" t="s">
        <v>7</v>
      </c>
      <c r="BP51">
        <v>1</v>
      </c>
    </row>
    <row r="52" spans="9:70" ht="15.75" customHeight="1" x14ac:dyDescent="0.25">
      <c r="I52" s="10" t="s">
        <v>81</v>
      </c>
      <c r="J52" s="7">
        <v>95</v>
      </c>
      <c r="K52" s="7" t="s">
        <v>7</v>
      </c>
      <c r="L52" s="11">
        <f>SUMIFS($H$4:$H$17,$G$4:$G$17,"="&amp;$K52,$E$4:$E$17,"&lt;="&amp;$J52)/SUMIF($E$4:$E$17,"&lt;="&amp;$J52,$H$4:$H$17)</f>
        <v>0.61538461538461542</v>
      </c>
      <c r="M52" s="11">
        <f>IFERROR(-1*L52*LOG(L52,2),0)</f>
        <v>0.43103982654836442</v>
      </c>
      <c r="N52" s="11"/>
      <c r="O52" s="41" t="s">
        <v>81</v>
      </c>
      <c r="P52" s="7">
        <v>95</v>
      </c>
      <c r="Q52" s="11">
        <f>SUMIF($E$4:$E$17,"&lt;="&amp;P52,$H$4:$H$17)/SUM($H$4:$H$17)</f>
        <v>0.9285714285714286</v>
      </c>
      <c r="R52" s="23">
        <f>SUM(M52:M53)</f>
        <v>0.96123660472287598</v>
      </c>
      <c r="S52" s="11">
        <f>Q52*R52</f>
        <v>0.89257684724267061</v>
      </c>
      <c r="T52" s="11"/>
      <c r="U52" s="41" t="s">
        <v>81</v>
      </c>
      <c r="V52" s="7">
        <v>95</v>
      </c>
      <c r="W52" s="11">
        <f>SUMIF($E$4:$E$17,"&lt;="&amp;V52,$H$4:$H$17)/SUM($H$4:$H$17)</f>
        <v>0.9285714285714286</v>
      </c>
      <c r="X52" s="11">
        <f>IFERROR(-1*W52*LOG(W52,2),0)</f>
        <v>9.9278403636761062E-2</v>
      </c>
      <c r="Y52" s="9"/>
      <c r="AM52" s="10" t="s">
        <v>81</v>
      </c>
      <c r="AN52" s="7">
        <v>96</v>
      </c>
      <c r="AO52" s="7" t="s">
        <v>7</v>
      </c>
      <c r="AP52" s="11">
        <f t="shared" si="24"/>
        <v>0.6</v>
      </c>
      <c r="AQ52" s="11">
        <f>IFERROR(-1*AP52*LOG(AP52,2),0)</f>
        <v>0.44217935649972373</v>
      </c>
      <c r="AR52" s="11"/>
      <c r="AS52" s="41" t="s">
        <v>81</v>
      </c>
      <c r="AT52" s="7">
        <v>96</v>
      </c>
      <c r="AU52" s="11">
        <f>SUMIF($AH$34:$AH$38,"&lt;="&amp;AT52,$AK$34:$AK$38)/SUM($AK$34:$AK$38)</f>
        <v>1</v>
      </c>
      <c r="AV52" s="23">
        <f>SUM(AQ52:AQ53)</f>
        <v>0.97095059445466858</v>
      </c>
      <c r="AW52" s="11">
        <f>AU52*AV52</f>
        <v>0.97095059445466858</v>
      </c>
      <c r="AX52" s="11"/>
      <c r="AY52" s="41" t="s">
        <v>81</v>
      </c>
      <c r="AZ52" s="7">
        <v>96</v>
      </c>
      <c r="BA52" s="11">
        <f>SUMIF($AH$34:$AH$38,"&lt;="&amp;AZ52,$AK$34:$AK$38)/SUM($AK$34:$AK$38)</f>
        <v>1</v>
      </c>
      <c r="BB52" s="12">
        <f>IFERROR(-1*BA52*LOG(BA52,2),0)</f>
        <v>0</v>
      </c>
      <c r="BJ52">
        <v>5</v>
      </c>
      <c r="BK52" t="s">
        <v>10</v>
      </c>
      <c r="BL52">
        <v>68</v>
      </c>
      <c r="BM52">
        <v>80</v>
      </c>
      <c r="BN52" t="b">
        <v>0</v>
      </c>
      <c r="BO52" t="s">
        <v>7</v>
      </c>
      <c r="BP52">
        <v>1</v>
      </c>
    </row>
    <row r="53" spans="9:70" ht="15.75" customHeight="1" x14ac:dyDescent="0.25">
      <c r="I53" s="10" t="s">
        <v>81</v>
      </c>
      <c r="J53" s="7">
        <v>95</v>
      </c>
      <c r="K53" s="7" t="s">
        <v>6</v>
      </c>
      <c r="L53" s="11">
        <f>SUMIFS($H$4:$H$17,$G$4:$G$17,"="&amp;$K53,$E$4:$E$17,"&lt;="&amp;$J53)/SUMIF($E$4:$E$17,"&lt;="&amp;$J53,$H$4:$H$17)</f>
        <v>0.38461538461538464</v>
      </c>
      <c r="M53" s="11">
        <f>IFERROR(-1*L53*LOG(L53,2),0)</f>
        <v>0.5301967781745115</v>
      </c>
      <c r="N53" s="11"/>
      <c r="O53" s="41" t="s">
        <v>80</v>
      </c>
      <c r="P53" s="7">
        <v>95</v>
      </c>
      <c r="Q53" s="11">
        <f>SUMIF($E$4:$E$17,"&gt;"&amp;P53,$H$4:$H$17)/SUM($H$4:$H$17)</f>
        <v>7.1428571428571425E-2</v>
      </c>
      <c r="R53" s="23">
        <f>SUM(M54:M55)</f>
        <v>0</v>
      </c>
      <c r="S53" s="11">
        <f>Q53*R53</f>
        <v>0</v>
      </c>
      <c r="T53" s="7"/>
      <c r="U53" s="41" t="s">
        <v>80</v>
      </c>
      <c r="V53" s="7">
        <v>95</v>
      </c>
      <c r="W53" s="11">
        <f>SUMIF($E$4:$E$17,"&gt;"&amp;V53,$H$4:$H$17)/SUM($H$4:$H$17)</f>
        <v>7.1428571428571425E-2</v>
      </c>
      <c r="X53" s="11">
        <f t="shared" ref="X53" si="27">IFERROR(-1*W53*LOG(W53,2),0)</f>
        <v>0.27195392300411458</v>
      </c>
      <c r="Y53" s="9"/>
      <c r="AM53" s="10" t="s">
        <v>81</v>
      </c>
      <c r="AN53" s="7">
        <v>96</v>
      </c>
      <c r="AO53" s="7" t="s">
        <v>6</v>
      </c>
      <c r="AP53" s="11">
        <f t="shared" si="24"/>
        <v>0.4</v>
      </c>
      <c r="AQ53" s="11">
        <f>IFERROR(-1*AP53*LOG(AP53,2),0)</f>
        <v>0.52877123795494485</v>
      </c>
      <c r="AR53" s="11"/>
      <c r="AS53" s="41" t="s">
        <v>80</v>
      </c>
      <c r="AT53" s="7">
        <v>96</v>
      </c>
      <c r="AU53" s="11">
        <f>SUMIF($AH$34:$AH$38,"&gt;"&amp;AT53,$AK$34:$AK$38)/SUM($AK$34:$AK$38)</f>
        <v>0</v>
      </c>
      <c r="AV53" s="23">
        <f>SUM(AQ54:AQ55)</f>
        <v>0</v>
      </c>
      <c r="AW53" s="11">
        <f>AU53*AV53</f>
        <v>0</v>
      </c>
      <c r="AX53" s="7"/>
      <c r="AY53" s="41" t="s">
        <v>80</v>
      </c>
      <c r="AZ53" s="7">
        <v>96</v>
      </c>
      <c r="BA53" s="11">
        <f>SUMIF($AH$34:$AH$38,"&gt;"&amp;AZ53,$AK$34:$AK$38)/SUM($AK$34:$AK$38)</f>
        <v>0</v>
      </c>
      <c r="BB53" s="12">
        <f t="shared" ref="BB53" si="28">IFERROR(-1*BA53*LOG(BA53,2),0)</f>
        <v>0</v>
      </c>
      <c r="BJ53">
        <v>10</v>
      </c>
      <c r="BK53" t="s">
        <v>10</v>
      </c>
      <c r="BL53">
        <v>75</v>
      </c>
      <c r="BM53">
        <v>80</v>
      </c>
      <c r="BN53" t="b">
        <v>0</v>
      </c>
      <c r="BO53" t="s">
        <v>7</v>
      </c>
      <c r="BP53">
        <v>1</v>
      </c>
    </row>
    <row r="54" spans="9:70" x14ac:dyDescent="0.25">
      <c r="I54" s="10" t="s">
        <v>80</v>
      </c>
      <c r="J54" s="7">
        <v>95</v>
      </c>
      <c r="K54" s="7" t="s">
        <v>7</v>
      </c>
      <c r="L54" s="11">
        <f>SUMIFS($H$4:$H$17,$G$4:$G$17,"="&amp;$K54,$E$4:$E$17,"&gt;"&amp;$J54)/SUMIF($E$4:$E$17,"&gt;"&amp;$J54,$H$4:$H$17)</f>
        <v>1</v>
      </c>
      <c r="M54" s="11">
        <f>IFERROR(-1*L54*LOG(L54,2),0)</f>
        <v>0</v>
      </c>
      <c r="N54" s="11"/>
      <c r="O54" s="7"/>
      <c r="P54" s="7"/>
      <c r="Q54" s="7"/>
      <c r="R54" s="13" t="s">
        <v>13</v>
      </c>
      <c r="S54" s="11">
        <f>SUM(S52:S53)</f>
        <v>0.89257684724267061</v>
      </c>
      <c r="T54" s="7"/>
      <c r="U54" s="7"/>
      <c r="V54" s="7"/>
      <c r="W54" s="13" t="s">
        <v>13</v>
      </c>
      <c r="X54" s="11">
        <f>SUM(X52:X53)</f>
        <v>0.37123232664087563</v>
      </c>
      <c r="Y54" s="9"/>
      <c r="AM54" s="10" t="s">
        <v>80</v>
      </c>
      <c r="AN54" s="7">
        <v>96</v>
      </c>
      <c r="AO54" s="7" t="s">
        <v>7</v>
      </c>
      <c r="AP54" s="11">
        <v>0</v>
      </c>
      <c r="AQ54" s="11">
        <f>IFERROR(-1*AP54*LOG(AP54,2),0)</f>
        <v>0</v>
      </c>
      <c r="AR54" s="11"/>
      <c r="AS54" s="7"/>
      <c r="AT54" s="7"/>
      <c r="AU54" s="7"/>
      <c r="AV54" s="13" t="s">
        <v>13</v>
      </c>
      <c r="AW54" s="11">
        <f>SUM(AW52:AW53)</f>
        <v>0.97095059445466858</v>
      </c>
      <c r="AX54" s="7"/>
      <c r="AY54" s="7"/>
      <c r="AZ54" s="7"/>
      <c r="BA54" s="13" t="s">
        <v>13</v>
      </c>
      <c r="BB54" s="12">
        <f>SUM(BB52:BB53)</f>
        <v>0</v>
      </c>
    </row>
    <row r="55" spans="9:70" x14ac:dyDescent="0.25">
      <c r="I55" s="10" t="s">
        <v>80</v>
      </c>
      <c r="J55" s="7">
        <v>95</v>
      </c>
      <c r="K55" s="7" t="s">
        <v>6</v>
      </c>
      <c r="L55" s="11">
        <f>SUMIFS($H$4:$H$17,$G$4:$G$17,"="&amp;$K55,$E$4:$E$17,"&gt;"&amp;$J55)/SUMIF($E$4:$E$17,"&gt;"&amp;$J55,$H$4:$H$17)</f>
        <v>0</v>
      </c>
      <c r="M55" s="11">
        <f>IFERROR(-1*L55*LOG(L55,2),0)</f>
        <v>0</v>
      </c>
      <c r="N55" s="11"/>
      <c r="O55" s="7"/>
      <c r="P55" s="7"/>
      <c r="Q55" s="7"/>
      <c r="R55" s="13" t="s">
        <v>23</v>
      </c>
      <c r="S55" s="11">
        <f>$G$23-S54</f>
        <v>4.7709111427960305E-2</v>
      </c>
      <c r="T55" s="7"/>
      <c r="U55" s="7"/>
      <c r="V55" s="7"/>
      <c r="W55" s="13" t="s">
        <v>82</v>
      </c>
      <c r="X55" s="11">
        <f>IFERROR(S55/X54,0)</f>
        <v>0.1285155090335475</v>
      </c>
      <c r="Y55" s="9"/>
      <c r="AM55" s="10" t="s">
        <v>80</v>
      </c>
      <c r="AN55" s="7">
        <v>96</v>
      </c>
      <c r="AO55" s="7" t="s">
        <v>6</v>
      </c>
      <c r="AP55" s="11">
        <v>0</v>
      </c>
      <c r="AQ55" s="11">
        <f>IFERROR(-1*AP55*LOG(AP55,2),0)</f>
        <v>0</v>
      </c>
      <c r="AR55" s="11"/>
      <c r="AS55" s="7"/>
      <c r="AT55" s="7"/>
      <c r="AU55" s="7"/>
      <c r="AV55" s="13" t="s">
        <v>23</v>
      </c>
      <c r="AW55" s="11">
        <f>$AK$15-AW54</f>
        <v>0</v>
      </c>
      <c r="AX55" s="7"/>
      <c r="AY55" s="7"/>
      <c r="AZ55" s="7"/>
      <c r="BA55" s="13" t="s">
        <v>82</v>
      </c>
      <c r="BB55" s="12">
        <f>IFERROR(AW55/BB54,0)</f>
        <v>0</v>
      </c>
      <c r="BM55" s="3" t="s">
        <v>65</v>
      </c>
      <c r="BN55" s="4"/>
      <c r="BO55" s="5"/>
    </row>
    <row r="56" spans="9:70" x14ac:dyDescent="0.25">
      <c r="I56" s="10" t="s">
        <v>81</v>
      </c>
      <c r="J56" s="7">
        <v>96</v>
      </c>
      <c r="K56" s="7" t="s">
        <v>7</v>
      </c>
      <c r="L56" s="11">
        <f>SUMIFS($H$4:$H$17,$G$4:$G$17,"="&amp;$K56,$E$4:$E$17,"&lt;="&amp;$J56)/SUMIF($E$4:$E$17,"&lt;="&amp;$J56,$H$4:$H$17)</f>
        <v>0.6428571428571429</v>
      </c>
      <c r="M56" s="11">
        <f>IFERROR(-1*L56*LOG(L56,2),0)</f>
        <v>0.40977637753840185</v>
      </c>
      <c r="N56" s="11"/>
      <c r="O56" s="41" t="s">
        <v>81</v>
      </c>
      <c r="P56" s="7">
        <v>96</v>
      </c>
      <c r="Q56" s="11">
        <f>SUMIF($E$4:$E$17,"&lt;="&amp;P56,$H$4:$H$17)/SUM($H$4:$H$17)</f>
        <v>1</v>
      </c>
      <c r="R56" s="11">
        <f>SUM(M56:M57)</f>
        <v>0.94028595867063092</v>
      </c>
      <c r="S56" s="11">
        <f>Q56*R56</f>
        <v>0.94028595867063092</v>
      </c>
      <c r="T56" s="11"/>
      <c r="U56" s="41" t="s">
        <v>81</v>
      </c>
      <c r="V56" s="7">
        <v>96</v>
      </c>
      <c r="W56" s="11">
        <f>SUMIF($E$4:$E$17,"&lt;="&amp;V56,$H$4:$H$17)/SUM($H$4:$H$17)</f>
        <v>1</v>
      </c>
      <c r="X56" s="11">
        <f>IFERROR(-1*W56*LOG(W56,2),0)</f>
        <v>0</v>
      </c>
      <c r="Y56" s="9"/>
      <c r="AM56" s="10"/>
      <c r="AN56" s="7"/>
      <c r="AO56" s="7"/>
      <c r="AP56" s="11"/>
      <c r="AQ56" s="11"/>
      <c r="AR56" s="11"/>
      <c r="AS56" s="41"/>
      <c r="AT56" s="7"/>
      <c r="AU56" s="11"/>
      <c r="AV56" s="23"/>
      <c r="AW56" s="11"/>
      <c r="AX56" s="11"/>
      <c r="AY56" s="41"/>
      <c r="AZ56" s="7"/>
      <c r="BA56" s="11"/>
      <c r="BB56" s="12"/>
      <c r="BM56" s="10"/>
      <c r="BN56" s="7" t="s">
        <v>15</v>
      </c>
      <c r="BO56" s="9" t="s">
        <v>12</v>
      </c>
    </row>
    <row r="57" spans="9:70" x14ac:dyDescent="0.25">
      <c r="I57" s="10" t="s">
        <v>81</v>
      </c>
      <c r="J57" s="7">
        <v>96</v>
      </c>
      <c r="K57" s="7" t="s">
        <v>6</v>
      </c>
      <c r="L57" s="11">
        <f>SUMIFS($H$4:$H$17,$G$4:$G$17,"="&amp;$K57,$E$4:$E$17,"&lt;="&amp;$J57)/SUMIF($E$4:$E$17,"&lt;="&amp;$J57,$H$4:$H$17)</f>
        <v>0.35714285714285715</v>
      </c>
      <c r="M57" s="11">
        <f>IFERROR(-1*L57*LOG(L57,2),0)</f>
        <v>0.53050958113222912</v>
      </c>
      <c r="N57" s="11"/>
      <c r="O57" s="41" t="s">
        <v>80</v>
      </c>
      <c r="P57" s="7">
        <v>96</v>
      </c>
      <c r="Q57" s="11">
        <f>SUMIF($E$4:$E$17,"&gt;"&amp;P57,$H$4:$H$17)/SUM($H$4:$H$17)</f>
        <v>0</v>
      </c>
      <c r="R57" s="11">
        <f>SUM(M58:M59)</f>
        <v>0</v>
      </c>
      <c r="S57" s="11">
        <f>Q57*R57</f>
        <v>0</v>
      </c>
      <c r="T57" s="11"/>
      <c r="U57" s="41" t="s">
        <v>80</v>
      </c>
      <c r="V57" s="7">
        <v>96</v>
      </c>
      <c r="W57" s="11">
        <f>SUMIF($E$4:$E$17,"&gt;"&amp;V57,$H$4:$H$17)/SUM($H$4:$H$17)</f>
        <v>0</v>
      </c>
      <c r="X57" s="11">
        <f t="shared" ref="X57" si="29">IFERROR(-1*W57*LOG(W57,2),0)</f>
        <v>0</v>
      </c>
      <c r="Y57" s="9"/>
      <c r="AM57" s="10"/>
      <c r="AN57" s="7"/>
      <c r="AO57" s="7"/>
      <c r="AP57" s="11"/>
      <c r="AQ57" s="11"/>
      <c r="AR57" s="11"/>
      <c r="AS57" s="41"/>
      <c r="AT57" s="7"/>
      <c r="AU57" s="11"/>
      <c r="AV57" s="23"/>
      <c r="AW57" s="11"/>
      <c r="AX57" s="7"/>
      <c r="AY57" s="41"/>
      <c r="AZ57" s="7"/>
      <c r="BA57" s="11"/>
      <c r="BB57" s="12"/>
      <c r="BM57" s="10" t="s">
        <v>7</v>
      </c>
      <c r="BN57" s="11">
        <f>SUMIF(BO51:BO53,"=Yes",$BP$51:$BP$53)/SUM($BP$51:$BP$53)</f>
        <v>1</v>
      </c>
      <c r="BO57" s="12">
        <f>-IFERROR(1*BN57*LOG(BN57,2),0)</f>
        <v>0</v>
      </c>
    </row>
    <row r="58" spans="9:70" x14ac:dyDescent="0.25">
      <c r="I58" s="10" t="s">
        <v>80</v>
      </c>
      <c r="J58" s="7">
        <v>96</v>
      </c>
      <c r="K58" s="7" t="s">
        <v>7</v>
      </c>
      <c r="L58" s="11">
        <v>0</v>
      </c>
      <c r="M58" s="11">
        <f>IFERROR(-1*L58*LOG(L58,2),0)</f>
        <v>0</v>
      </c>
      <c r="N58" s="11"/>
      <c r="O58" s="7"/>
      <c r="P58" s="7"/>
      <c r="Q58" s="7"/>
      <c r="R58" s="13" t="s">
        <v>13</v>
      </c>
      <c r="S58" s="11">
        <f>SUM(S56:S57)</f>
        <v>0.94028595867063092</v>
      </c>
      <c r="T58" s="7"/>
      <c r="U58" s="7"/>
      <c r="V58" s="7"/>
      <c r="W58" s="13" t="s">
        <v>13</v>
      </c>
      <c r="X58" s="11">
        <f>SUM(X56:X57)</f>
        <v>0</v>
      </c>
      <c r="Y58" s="9"/>
      <c r="AM58" s="10"/>
      <c r="AN58" s="7"/>
      <c r="AO58" s="7"/>
      <c r="AP58" s="11"/>
      <c r="AQ58" s="11"/>
      <c r="AR58" s="11"/>
      <c r="AS58" s="7"/>
      <c r="AT58" s="7"/>
      <c r="AU58" s="7"/>
      <c r="AV58" s="13"/>
      <c r="AW58" s="11"/>
      <c r="AX58" s="7"/>
      <c r="AY58" s="7"/>
      <c r="AZ58" s="7"/>
      <c r="BA58" s="13"/>
      <c r="BB58" s="12"/>
      <c r="BM58" s="10" t="s">
        <v>6</v>
      </c>
      <c r="BN58" s="11">
        <f>SUMIF(BO51:BO53,"=No",$BP$51:$BP$53)/SUM($BP$51:$BP$53)</f>
        <v>0</v>
      </c>
      <c r="BO58" s="12">
        <f>-IFERROR(1*BN58*LOG(BN58,2),0)</f>
        <v>0</v>
      </c>
      <c r="BQ58" s="30" t="s">
        <v>57</v>
      </c>
    </row>
    <row r="59" spans="9:70" x14ac:dyDescent="0.25">
      <c r="I59" s="14" t="s">
        <v>80</v>
      </c>
      <c r="J59" s="15">
        <v>96</v>
      </c>
      <c r="K59" s="15" t="s">
        <v>6</v>
      </c>
      <c r="L59" s="17">
        <v>0</v>
      </c>
      <c r="M59" s="17">
        <f>IFERROR(-1*L59*LOG(L59,2),0)</f>
        <v>0</v>
      </c>
      <c r="N59" s="17"/>
      <c r="O59" s="15"/>
      <c r="P59" s="15"/>
      <c r="Q59" s="15"/>
      <c r="R59" s="16" t="s">
        <v>23</v>
      </c>
      <c r="S59" s="17">
        <f>$G$23-S58</f>
        <v>0</v>
      </c>
      <c r="T59" s="15"/>
      <c r="U59" s="15"/>
      <c r="V59" s="15"/>
      <c r="W59" s="16" t="s">
        <v>82</v>
      </c>
      <c r="X59" s="17">
        <f>IFERROR(S59/X58,0)</f>
        <v>0</v>
      </c>
      <c r="Y59" s="21"/>
      <c r="AM59" s="14"/>
      <c r="AN59" s="15"/>
      <c r="AO59" s="15"/>
      <c r="AP59" s="17"/>
      <c r="AQ59" s="17"/>
      <c r="AR59" s="17"/>
      <c r="AS59" s="15"/>
      <c r="AT59" s="15"/>
      <c r="AU59" s="15"/>
      <c r="AV59" s="16"/>
      <c r="AW59" s="17"/>
      <c r="AX59" s="15"/>
      <c r="AY59" s="15"/>
      <c r="AZ59" s="15"/>
      <c r="BA59" s="16"/>
      <c r="BB59" s="18"/>
      <c r="BM59" s="14"/>
      <c r="BN59" s="16" t="s">
        <v>13</v>
      </c>
      <c r="BO59" s="18">
        <f>SUM(BO57:BO58)</f>
        <v>0</v>
      </c>
      <c r="BR59" t="s">
        <v>7</v>
      </c>
    </row>
    <row r="62" spans="9:70" x14ac:dyDescent="0.25">
      <c r="AE62" s="1" t="s">
        <v>9</v>
      </c>
    </row>
    <row r="63" spans="9:70" x14ac:dyDescent="0.25">
      <c r="AE63" t="s">
        <v>0</v>
      </c>
      <c r="AF63" t="s">
        <v>1</v>
      </c>
      <c r="AG63" t="s">
        <v>2</v>
      </c>
      <c r="AH63" t="s">
        <v>3</v>
      </c>
      <c r="AI63" t="s">
        <v>4</v>
      </c>
      <c r="AJ63" t="s">
        <v>5</v>
      </c>
      <c r="AK63" t="s">
        <v>20</v>
      </c>
    </row>
    <row r="64" spans="9:70" x14ac:dyDescent="0.25">
      <c r="AE64">
        <v>3</v>
      </c>
      <c r="AF64" t="s">
        <v>9</v>
      </c>
      <c r="AG64">
        <v>83</v>
      </c>
      <c r="AH64">
        <v>78</v>
      </c>
      <c r="AI64" t="b">
        <v>0</v>
      </c>
      <c r="AJ64" t="s">
        <v>7</v>
      </c>
      <c r="AK64">
        <v>1</v>
      </c>
    </row>
    <row r="65" spans="31:39" x14ac:dyDescent="0.25">
      <c r="AE65">
        <v>7</v>
      </c>
      <c r="AF65" t="s">
        <v>9</v>
      </c>
      <c r="AG65">
        <v>64</v>
      </c>
      <c r="AH65">
        <v>65</v>
      </c>
      <c r="AI65" t="b">
        <v>1</v>
      </c>
      <c r="AJ65" t="s">
        <v>7</v>
      </c>
      <c r="AK65">
        <v>1</v>
      </c>
    </row>
    <row r="66" spans="31:39" x14ac:dyDescent="0.25">
      <c r="AE66">
        <v>12</v>
      </c>
      <c r="AF66" t="s">
        <v>9</v>
      </c>
      <c r="AG66">
        <v>72</v>
      </c>
      <c r="AH66">
        <v>90</v>
      </c>
      <c r="AI66" t="b">
        <v>1</v>
      </c>
      <c r="AJ66" t="s">
        <v>7</v>
      </c>
      <c r="AK66">
        <v>1</v>
      </c>
    </row>
    <row r="67" spans="31:39" x14ac:dyDescent="0.25">
      <c r="AE67">
        <v>13</v>
      </c>
      <c r="AF67" t="s">
        <v>9</v>
      </c>
      <c r="AG67">
        <v>81</v>
      </c>
      <c r="AH67">
        <v>75</v>
      </c>
      <c r="AI67" t="b">
        <v>0</v>
      </c>
      <c r="AJ67" t="s">
        <v>7</v>
      </c>
      <c r="AK67">
        <v>1</v>
      </c>
    </row>
    <row r="69" spans="31:39" x14ac:dyDescent="0.25">
      <c r="AI69" s="3" t="s">
        <v>50</v>
      </c>
      <c r="AJ69" s="4"/>
      <c r="AK69" s="5"/>
    </row>
    <row r="70" spans="31:39" x14ac:dyDescent="0.25">
      <c r="AI70" s="10"/>
      <c r="AJ70" s="7" t="s">
        <v>15</v>
      </c>
      <c r="AK70" s="9" t="s">
        <v>12</v>
      </c>
    </row>
    <row r="71" spans="31:39" x14ac:dyDescent="0.25">
      <c r="AI71" s="10" t="s">
        <v>7</v>
      </c>
      <c r="AJ71" s="11">
        <f>SUMIF(AJ64:AJ67,"=Yes",$AK$64:$AK$67)/SUM($AK$64:$AK$67)</f>
        <v>1</v>
      </c>
      <c r="AK71" s="12">
        <f>IFERROR(-1*AJ71*LOG(AJ71,2),0)</f>
        <v>0</v>
      </c>
    </row>
    <row r="72" spans="31:39" x14ac:dyDescent="0.25">
      <c r="AI72" s="10" t="s">
        <v>6</v>
      </c>
      <c r="AJ72" s="11">
        <f>SUMIF(AJ64:AJ67,"=No",$AK$64:$AK$67)/SUM($AK$64:$AK$67)</f>
        <v>0</v>
      </c>
      <c r="AK72" s="12">
        <f>IFERROR(-1*AJ72*LOG(AJ72,2),0)</f>
        <v>0</v>
      </c>
      <c r="AM72" s="30" t="s">
        <v>57</v>
      </c>
    </row>
    <row r="73" spans="31:39" x14ac:dyDescent="0.25">
      <c r="AI73" s="14"/>
      <c r="AJ73" s="16" t="s">
        <v>13</v>
      </c>
      <c r="AK73" s="18">
        <f>SUM(AK71:AK72)</f>
        <v>0</v>
      </c>
      <c r="AM73" t="s">
        <v>7</v>
      </c>
    </row>
    <row r="94" spans="38:38" x14ac:dyDescent="0.25">
      <c r="AL94" s="7"/>
    </row>
    <row r="95" spans="38:38" x14ac:dyDescent="0.25">
      <c r="AL95" s="7"/>
    </row>
    <row r="96" spans="38:38" x14ac:dyDescent="0.25">
      <c r="AL96" s="11"/>
    </row>
    <row r="97" spans="38:38" x14ac:dyDescent="0.25">
      <c r="AL97" s="11"/>
    </row>
    <row r="98" spans="38:38" x14ac:dyDescent="0.25">
      <c r="AL98" s="11"/>
    </row>
    <row r="112" spans="38:38" x14ac:dyDescent="0.25">
      <c r="AL112" s="7"/>
    </row>
    <row r="113" spans="38:38" x14ac:dyDescent="0.25">
      <c r="AL113" s="7"/>
    </row>
    <row r="114" spans="38:38" x14ac:dyDescent="0.25">
      <c r="AL114" s="11"/>
    </row>
    <row r="115" spans="38:38" x14ac:dyDescent="0.25">
      <c r="AL115" s="11"/>
    </row>
    <row r="116" spans="38:38" x14ac:dyDescent="0.25">
      <c r="AL116" s="11"/>
    </row>
  </sheetData>
  <autoFilter ref="B3:H17"/>
  <sortState ref="E25:E38">
    <sortCondition ref="E25"/>
  </sortState>
  <mergeCells count="1">
    <mergeCell ref="BE8:B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X130"/>
  <sheetViews>
    <sheetView zoomScale="80" zoomScaleNormal="80" workbookViewId="0">
      <selection activeCell="N23" sqref="N23"/>
    </sheetView>
  </sheetViews>
  <sheetFormatPr defaultRowHeight="15" x14ac:dyDescent="0.25"/>
  <cols>
    <col min="1" max="1" width="2.140625" customWidth="1"/>
    <col min="2" max="2" width="6.7109375" customWidth="1"/>
    <col min="3" max="4" width="11.7109375" customWidth="1"/>
    <col min="5" max="5" width="14" customWidth="1"/>
    <col min="6" max="6" width="18.7109375" customWidth="1"/>
    <col min="7" max="7" width="12.85546875" customWidth="1"/>
    <col min="8" max="8" width="13.85546875" bestFit="1" customWidth="1"/>
    <col min="9" max="9" width="10" bestFit="1" customWidth="1"/>
    <col min="10" max="10" width="3.85546875" customWidth="1"/>
    <col min="11" max="11" width="8.5703125" bestFit="1" customWidth="1"/>
    <col min="12" max="12" width="2.140625" customWidth="1"/>
    <col min="13" max="13" width="10" customWidth="1"/>
    <col min="14" max="14" width="8.42578125" customWidth="1"/>
    <col min="15" max="15" width="9.85546875" customWidth="1"/>
    <col min="16" max="17" width="2.7109375" customWidth="1"/>
    <col min="18" max="18" width="9.140625" style="47"/>
    <col min="19" max="20" width="9.140625" style="7"/>
    <col min="21" max="21" width="11.42578125" style="7" customWidth="1"/>
    <col min="22" max="23" width="3.42578125" style="7" customWidth="1"/>
    <col min="24" max="24" width="5.28515625" style="47" customWidth="1"/>
    <col min="25" max="25" width="7.7109375" style="7" customWidth="1"/>
    <col min="26" max="26" width="11.42578125" style="7" customWidth="1"/>
    <col min="27" max="27" width="9.85546875" style="7" customWidth="1"/>
    <col min="28" max="28" width="5.140625" style="7" customWidth="1"/>
    <col min="29" max="29" width="4" style="7" customWidth="1"/>
    <col min="30" max="30" width="4.85546875" style="47" customWidth="1"/>
    <col min="31" max="31" width="10.5703125" style="7" customWidth="1"/>
    <col min="32" max="32" width="9.140625" style="7"/>
    <col min="33" max="33" width="3.7109375" style="7" customWidth="1"/>
    <col min="34" max="35" width="10.7109375" style="7" customWidth="1"/>
    <col min="36" max="36" width="1.5703125" customWidth="1"/>
    <col min="37" max="37" width="4.28515625" customWidth="1"/>
    <col min="38" max="38" width="3.42578125" customWidth="1"/>
    <col min="41" max="41" width="9.140625" customWidth="1"/>
    <col min="42" max="42" width="3.85546875" customWidth="1"/>
    <col min="43" max="43" width="3.7109375" customWidth="1"/>
    <col min="44" max="44" width="9.140625" customWidth="1"/>
    <col min="45" max="45" width="12.42578125" customWidth="1"/>
    <col min="46" max="46" width="9.140625" customWidth="1"/>
    <col min="47" max="47" width="2.5703125" customWidth="1"/>
    <col min="48" max="48" width="3.140625" customWidth="1"/>
    <col min="49" max="49" width="10" customWidth="1"/>
  </cols>
  <sheetData>
    <row r="1" spans="2:50" ht="11.25" customHeight="1" x14ac:dyDescent="0.25"/>
    <row r="2" spans="2:50" x14ac:dyDescent="0.25">
      <c r="C2" t="s">
        <v>40</v>
      </c>
      <c r="D2" t="s">
        <v>41</v>
      </c>
      <c r="E2" s="1" t="s">
        <v>26</v>
      </c>
      <c r="F2" t="s">
        <v>27</v>
      </c>
      <c r="G2" t="s">
        <v>28</v>
      </c>
      <c r="H2" t="s">
        <v>29</v>
      </c>
      <c r="I2" t="s">
        <v>30</v>
      </c>
      <c r="K2" t="s">
        <v>20</v>
      </c>
      <c r="M2" s="13" t="s">
        <v>34</v>
      </c>
      <c r="N2" s="7"/>
      <c r="O2" s="7"/>
      <c r="Q2" s="26"/>
      <c r="R2" s="51" t="s">
        <v>35</v>
      </c>
      <c r="S2" s="4"/>
      <c r="T2" s="4"/>
      <c r="U2" s="4"/>
      <c r="V2" s="4"/>
      <c r="W2" s="4"/>
      <c r="X2" s="48"/>
      <c r="Y2" s="4"/>
      <c r="Z2" s="4"/>
      <c r="AA2" s="4"/>
      <c r="AB2" s="4"/>
      <c r="AC2" s="4"/>
      <c r="AD2" s="48"/>
      <c r="AE2" s="4"/>
      <c r="AF2" s="4"/>
      <c r="AG2" s="4"/>
      <c r="AH2" s="4"/>
      <c r="AI2" s="4"/>
      <c r="AJ2" s="5"/>
      <c r="AL2" s="13" t="s">
        <v>39</v>
      </c>
      <c r="AM2" s="7"/>
      <c r="AN2" s="7"/>
      <c r="AO2" s="7"/>
      <c r="AP2" s="7"/>
      <c r="AQ2" s="7"/>
      <c r="AR2" s="7"/>
      <c r="AS2" s="7"/>
      <c r="AT2" s="7"/>
      <c r="AU2" s="7"/>
      <c r="AV2" s="7"/>
      <c r="AW2" s="7"/>
      <c r="AX2" s="7"/>
    </row>
    <row r="3" spans="2:50" x14ac:dyDescent="0.25">
      <c r="B3">
        <v>1</v>
      </c>
      <c r="C3" t="str">
        <f>IF(E3&lt;$F$39,"A",IF(AND(E3&gt;=$F$39,E3&lt;$F$40),"B","C"))</f>
        <v>A</v>
      </c>
      <c r="D3" t="str">
        <f>IF(E3&lt;$F$43,"A",IF(AND(E3&gt;=$F$43,E3&lt;$F$44),"B","C"))</f>
        <v>A</v>
      </c>
      <c r="E3" s="55">
        <v>5.0999999999999996</v>
      </c>
      <c r="F3" s="52">
        <v>3.5</v>
      </c>
      <c r="G3" s="52">
        <v>1.4</v>
      </c>
      <c r="H3" s="52">
        <v>0.2</v>
      </c>
      <c r="I3" t="s">
        <v>31</v>
      </c>
      <c r="J3">
        <v>1</v>
      </c>
      <c r="K3">
        <v>1</v>
      </c>
      <c r="M3" s="26"/>
      <c r="N3" s="4" t="s">
        <v>15</v>
      </c>
      <c r="O3" s="5" t="s">
        <v>12</v>
      </c>
      <c r="Q3" s="10"/>
      <c r="R3" s="49" t="s">
        <v>14</v>
      </c>
      <c r="X3" s="49" t="s">
        <v>23</v>
      </c>
      <c r="AD3" s="49" t="s">
        <v>21</v>
      </c>
      <c r="AJ3" s="9"/>
      <c r="AL3" s="19" t="s">
        <v>14</v>
      </c>
      <c r="AM3" s="4"/>
      <c r="AN3" s="4"/>
      <c r="AO3" s="4"/>
      <c r="AP3" s="4"/>
      <c r="AQ3" s="4"/>
      <c r="AR3" s="4"/>
      <c r="AS3" s="4"/>
      <c r="AT3" s="4"/>
      <c r="AU3" s="4"/>
      <c r="AV3" s="20" t="s">
        <v>21</v>
      </c>
      <c r="AW3" s="4"/>
      <c r="AX3" s="5"/>
    </row>
    <row r="4" spans="2:50" x14ac:dyDescent="0.25">
      <c r="B4">
        <v>2</v>
      </c>
      <c r="C4" t="str">
        <f t="shared" ref="C4:C32" si="0">IF(E4&lt;5.46,"A",IF(AND(E4&gt;=5.46,E4&lt;6.53),"B","C"))</f>
        <v>A</v>
      </c>
      <c r="D4" t="str">
        <f t="shared" ref="D4:D32" si="1">IF(E4&lt;$F$43,"A",IF(AND(E4&gt;=$F$43,E4&lt;$F$44),"B","C"))</f>
        <v>A</v>
      </c>
      <c r="E4" s="55">
        <v>4.9000000000000004</v>
      </c>
      <c r="F4" s="52">
        <v>3</v>
      </c>
      <c r="G4" s="52">
        <v>1.4</v>
      </c>
      <c r="H4" s="52">
        <v>0.2</v>
      </c>
      <c r="I4" t="s">
        <v>31</v>
      </c>
      <c r="J4">
        <v>1</v>
      </c>
      <c r="K4">
        <v>1</v>
      </c>
      <c r="M4" s="10" t="s">
        <v>31</v>
      </c>
      <c r="N4" s="11">
        <f>SUMIF(I$3:I$32,"=Setosa",$K$3:$K$32)/SUM($K$3:$K$32)</f>
        <v>0.33333333333333331</v>
      </c>
      <c r="O4" s="12">
        <f>-1*N4*LOG(N4,2)</f>
        <v>0.52832083357371873</v>
      </c>
      <c r="Q4" s="10"/>
      <c r="T4" s="7" t="s">
        <v>11</v>
      </c>
      <c r="U4" s="7" t="s">
        <v>17</v>
      </c>
      <c r="Y4" s="7" t="s">
        <v>15</v>
      </c>
      <c r="Z4" s="7" t="s">
        <v>17</v>
      </c>
      <c r="AA4" s="7" t="s">
        <v>18</v>
      </c>
      <c r="AB4" s="13"/>
      <c r="AE4" s="7" t="s">
        <v>15</v>
      </c>
      <c r="AF4" s="7" t="s">
        <v>17</v>
      </c>
      <c r="AJ4" s="9"/>
      <c r="AL4" s="10"/>
      <c r="AM4" s="7"/>
      <c r="AN4" s="7" t="s">
        <v>11</v>
      </c>
      <c r="AO4" s="7" t="s">
        <v>17</v>
      </c>
      <c r="AP4" s="7"/>
      <c r="AQ4" s="7"/>
      <c r="AR4" t="s">
        <v>15</v>
      </c>
      <c r="AS4" s="7" t="s">
        <v>17</v>
      </c>
      <c r="AT4" s="7" t="s">
        <v>18</v>
      </c>
      <c r="AU4" s="7"/>
      <c r="AV4" s="7"/>
      <c r="AW4" s="7" t="s">
        <v>15</v>
      </c>
      <c r="AX4" s="9" t="s">
        <v>12</v>
      </c>
    </row>
    <row r="5" spans="2:50" x14ac:dyDescent="0.25">
      <c r="B5">
        <v>3</v>
      </c>
      <c r="C5" t="str">
        <f t="shared" si="0"/>
        <v>A</v>
      </c>
      <c r="D5" t="str">
        <f t="shared" si="1"/>
        <v>A</v>
      </c>
      <c r="E5" s="55">
        <v>4.7</v>
      </c>
      <c r="F5" s="52">
        <v>3.2</v>
      </c>
      <c r="G5" s="52">
        <v>1.3</v>
      </c>
      <c r="H5" s="52">
        <v>0.2</v>
      </c>
      <c r="I5" t="s">
        <v>31</v>
      </c>
      <c r="J5">
        <v>1</v>
      </c>
      <c r="K5">
        <v>1</v>
      </c>
      <c r="M5" s="10" t="s">
        <v>32</v>
      </c>
      <c r="N5" s="11">
        <f>SUMIF(I$3:I$32,"=versicolor",$K$3:$K$32)/SUM($K$3:$K$32)</f>
        <v>0.33333333333333331</v>
      </c>
      <c r="O5" s="12">
        <f>-1*N5*LOG(N5,2)</f>
        <v>0.52832083357371873</v>
      </c>
      <c r="Q5" s="10" t="s">
        <v>84</v>
      </c>
      <c r="R5" s="47">
        <v>4.4000000000000004</v>
      </c>
      <c r="S5" s="7" t="s">
        <v>31</v>
      </c>
      <c r="T5" s="11">
        <f>SUMIFS($K$3:$K$32,$I$3:$I$32,"="&amp;$S5,$E$3:$E$32,"&lt;="&amp;$R5)/SUMIF($E$3:$E$32,"&lt;="&amp;$R5,$K$3:$K$32)</f>
        <v>1</v>
      </c>
      <c r="U5" s="11">
        <f>IFERROR(-1*T5*LOG(T5,2),0)</f>
        <v>0</v>
      </c>
      <c r="W5" s="7" t="s">
        <v>84</v>
      </c>
      <c r="X5" s="47">
        <v>4.4000000000000004</v>
      </c>
      <c r="Y5" s="11">
        <f>SUMIF($E$3:$E$32,"&lt;="&amp;X5,$K$3:$K$32)/SUM($K$3:$K$32)</f>
        <v>3.3333333333333333E-2</v>
      </c>
      <c r="Z5" s="11">
        <f>SUMIFS($U$5:$U$130,$R$5:$R$130,"="&amp;X5,$Q$5:$Q$130,"="&amp;W5)</f>
        <v>0</v>
      </c>
      <c r="AA5" s="11">
        <f>Y5*Z5</f>
        <v>0</v>
      </c>
      <c r="AB5" s="11"/>
      <c r="AC5" s="7" t="s">
        <v>84</v>
      </c>
      <c r="AD5" s="47">
        <v>4.4000000000000004</v>
      </c>
      <c r="AE5" s="11">
        <f>SUMIF($E$3:$E$32,"&lt;="&amp;AD5,$K$3:$K$32)/SUM($K$3:$K$32)</f>
        <v>3.3333333333333333E-2</v>
      </c>
      <c r="AF5" s="11">
        <f>IFERROR(-1*AE5*LOG(AE5,2),0)</f>
        <v>0.16356301985361729</v>
      </c>
      <c r="AG5" s="11"/>
      <c r="AH5" s="11"/>
      <c r="AI5" s="11"/>
      <c r="AJ5" s="12"/>
      <c r="AL5" s="10" t="s">
        <v>36</v>
      </c>
      <c r="AM5" s="7" t="s">
        <v>31</v>
      </c>
      <c r="AN5" s="11">
        <f t="shared" ref="AN5:AN13" si="2">SUMIFS($K$3:$K$32,$I$3:$I$32,"="&amp;$AM5,$C$3:$C$32,"="&amp;$AL5)/SUMIF($C$3:$C$32,"="&amp;$AL5,$K$3:$K$32)</f>
        <v>0.76923076923076927</v>
      </c>
      <c r="AO5" s="11">
        <f>IFERROR(-1*AN5*LOG(AN5,2),0)</f>
        <v>0.29116278711825372</v>
      </c>
      <c r="AP5" s="11"/>
      <c r="AQ5" s="7" t="s">
        <v>36</v>
      </c>
      <c r="AR5" s="11">
        <f>SUMIF($C$3:$C$32,"="&amp;AQ5,$K$3:$K$32)/SUM($K$3:$K$32)</f>
        <v>0.43333333333333335</v>
      </c>
      <c r="AS5" s="11">
        <f>SUMIF($AL$5:$AL$13,"="&amp;AQ5,$AO$5:$AO$13)</f>
        <v>0.99126426053542893</v>
      </c>
      <c r="AT5" s="11">
        <f>AR5*AS5</f>
        <v>0.42954784623201919</v>
      </c>
      <c r="AU5" s="11"/>
      <c r="AV5" s="7" t="s">
        <v>36</v>
      </c>
      <c r="AW5" s="11">
        <f>SUMIF($C$3:$C$32,"="&amp;AV5,$K$3:$K$32)/SUM($K$3:$K$32)</f>
        <v>0.43333333333333335</v>
      </c>
      <c r="AX5" s="12">
        <f>-1*AW5*LOG(AW5,2)</f>
        <v>0.52279538023588479</v>
      </c>
    </row>
    <row r="6" spans="2:50" x14ac:dyDescent="0.25">
      <c r="B6">
        <v>4</v>
      </c>
      <c r="C6" t="str">
        <f t="shared" si="0"/>
        <v>A</v>
      </c>
      <c r="D6" t="str">
        <f t="shared" si="1"/>
        <v>A</v>
      </c>
      <c r="E6" s="55">
        <v>4.5999999999999996</v>
      </c>
      <c r="F6" s="52">
        <v>3.1</v>
      </c>
      <c r="G6" s="52">
        <v>1.5</v>
      </c>
      <c r="H6" s="52">
        <v>0.2</v>
      </c>
      <c r="I6" t="s">
        <v>31</v>
      </c>
      <c r="J6">
        <v>1</v>
      </c>
      <c r="K6">
        <v>1</v>
      </c>
      <c r="M6" s="10" t="s">
        <v>33</v>
      </c>
      <c r="N6" s="11">
        <f>SUMIF(I$3:I$32,"=virginica",$K$3:$K$32)/SUM($K$3:$K$32)</f>
        <v>0.33333333333333331</v>
      </c>
      <c r="O6" s="12">
        <f>-1*N6*LOG(N6,2)</f>
        <v>0.52832083357371873</v>
      </c>
      <c r="Q6" s="10" t="s">
        <v>84</v>
      </c>
      <c r="R6" s="47">
        <v>4.4000000000000004</v>
      </c>
      <c r="S6" s="7" t="s">
        <v>32</v>
      </c>
      <c r="T6" s="11">
        <f>SUMIFS($K$3:$K$32,$I$3:$I$32,"="&amp;$S6,$E$3:$E$32,"&lt;="&amp;$R6)/SUMIF($E$3:$E$32,"&lt;="&amp;$R6,$K$3:$K$32)</f>
        <v>0</v>
      </c>
      <c r="U6" s="11">
        <f t="shared" ref="U6:U7" si="3">IFERROR(-1*T6*LOG(T6,2),0)</f>
        <v>0</v>
      </c>
      <c r="W6" s="7" t="s">
        <v>85</v>
      </c>
      <c r="X6" s="47">
        <v>4.4000000000000004</v>
      </c>
      <c r="Y6" s="11">
        <f>SUMIF($E$3:$E$32,"&gt;"&amp;X6,$K$3:$K$32)/SUM($K$3:$K$32)</f>
        <v>0.96666666666666667</v>
      </c>
      <c r="Z6" s="11">
        <f>SUMIFS($U$5:$U$130,$R$5:$R$130,"="&amp;X6,$Q$5:$Q$130,"="&amp;W6)</f>
        <v>1.5832262740679837</v>
      </c>
      <c r="AA6" s="11">
        <f>Y6*Z6</f>
        <v>1.5304520649323843</v>
      </c>
      <c r="AB6" s="11"/>
      <c r="AC6" s="7" t="s">
        <v>85</v>
      </c>
      <c r="AD6" s="47">
        <v>4.4000000000000004</v>
      </c>
      <c r="AE6" s="11">
        <f>SUMIF($E$3:$E$32,"&gt;"&amp;AD6,$K$3:$K$32)/SUM($K$3:$K$32)</f>
        <v>0.96666666666666667</v>
      </c>
      <c r="AF6" s="11">
        <f>IFERROR(-1*AE6*LOG(AE6,2),0)</f>
        <v>4.727928046491485E-2</v>
      </c>
      <c r="AH6" s="42" t="s">
        <v>21</v>
      </c>
      <c r="AI6" s="43">
        <f>MAX(AF8,AF12,AF16,AF20,AF24,AF28,AF32,AF36,AF40,AF44,AF48,AF52,AF56,AF60,AF64,AF68,AF72,AF76,AF80,AF84,AF88)</f>
        <v>0.37363242407313829</v>
      </c>
      <c r="AJ6" s="53"/>
      <c r="AL6" s="10" t="s">
        <v>36</v>
      </c>
      <c r="AM6" s="7" t="s">
        <v>32</v>
      </c>
      <c r="AN6" s="11">
        <f t="shared" si="2"/>
        <v>0.15384615384615385</v>
      </c>
      <c r="AO6" s="11">
        <f t="shared" ref="AO6:AO13" si="4">IFERROR(-1*AN6*LOG(AN6,2),0)</f>
        <v>0.4154522643293988</v>
      </c>
      <c r="AP6" s="11"/>
      <c r="AQ6" s="7" t="s">
        <v>37</v>
      </c>
      <c r="AR6" s="11">
        <f t="shared" ref="AR6:AR7" si="5">SUMIF($C$3:$C$32,"="&amp;AQ6,$K$3:$K$32)/SUM($K$3:$K$32)</f>
        <v>0.3</v>
      </c>
      <c r="AS6" s="11">
        <f t="shared" ref="AS6:AS7" si="6">SUMIF($AL$5:$AL$13,"="&amp;AQ6,$AO$5:$AO$13)</f>
        <v>0.99107605983822222</v>
      </c>
      <c r="AT6" s="11">
        <f t="shared" ref="AT6:AT7" si="7">AR6*AS6</f>
        <v>0.29732281795146664</v>
      </c>
      <c r="AU6" s="11"/>
      <c r="AV6" s="7" t="s">
        <v>37</v>
      </c>
      <c r="AW6" s="11">
        <f t="shared" ref="AW6:AW7" si="8">SUMIF($C$3:$C$32,"="&amp;AV6,$K$3:$K$32)/SUM($K$3:$K$32)</f>
        <v>0.3</v>
      </c>
      <c r="AX6" s="12">
        <f t="shared" ref="AX6:AX7" si="9">-1*AW6*LOG(AW6,2)</f>
        <v>0.52108967824986185</v>
      </c>
    </row>
    <row r="7" spans="2:50" x14ac:dyDescent="0.25">
      <c r="B7">
        <v>5</v>
      </c>
      <c r="C7" t="str">
        <f t="shared" si="0"/>
        <v>A</v>
      </c>
      <c r="D7" t="str">
        <f t="shared" si="1"/>
        <v>A</v>
      </c>
      <c r="E7" s="55">
        <v>5</v>
      </c>
      <c r="F7" s="52">
        <v>3.6</v>
      </c>
      <c r="G7" s="52">
        <v>1.4</v>
      </c>
      <c r="H7" s="52">
        <v>0.2</v>
      </c>
      <c r="I7" t="s">
        <v>31</v>
      </c>
      <c r="J7">
        <v>1</v>
      </c>
      <c r="K7">
        <v>1</v>
      </c>
      <c r="M7" s="14"/>
      <c r="N7" s="16" t="s">
        <v>13</v>
      </c>
      <c r="O7" s="18">
        <f>SUM(O4:O6)</f>
        <v>1.5849625007211561</v>
      </c>
      <c r="Q7" s="10" t="s">
        <v>84</v>
      </c>
      <c r="R7" s="47">
        <v>4.4000000000000004</v>
      </c>
      <c r="S7" s="7" t="s">
        <v>33</v>
      </c>
      <c r="T7" s="11">
        <f>SUMIFS($K$3:$K$32,$I$3:$I$32,"="&amp;$S7,$E$3:$E$32,"&lt;="&amp;$R7)/SUMIF($E$3:$E$32,"&lt;="&amp;$R7,$K$3:$K$32)</f>
        <v>0</v>
      </c>
      <c r="U7" s="11">
        <f t="shared" si="3"/>
        <v>0</v>
      </c>
      <c r="Z7" s="13" t="s">
        <v>13</v>
      </c>
      <c r="AA7" s="11">
        <f>SUM(AA5:AA6)</f>
        <v>1.5304520649323843</v>
      </c>
      <c r="AE7" s="13" t="s">
        <v>13</v>
      </c>
      <c r="AF7" s="11">
        <f>SUM(AF5:AF6)</f>
        <v>0.21084230031853213</v>
      </c>
      <c r="AG7" s="11"/>
      <c r="AH7" s="44" t="s">
        <v>23</v>
      </c>
      <c r="AI7" s="12">
        <f>MAX(AA8,AA12,AA16,AA20,AA24,AA28,AA32,AA36,AA40,AA44,AA48,AA52,AA56,AA60,AA64,AA68,AA72,AA76,AA80,AA84,AA88)</f>
        <v>0.17523196051238354</v>
      </c>
      <c r="AJ7" s="53"/>
      <c r="AL7" s="10" t="s">
        <v>36</v>
      </c>
      <c r="AM7" s="7" t="s">
        <v>33</v>
      </c>
      <c r="AN7" s="11">
        <f t="shared" si="2"/>
        <v>7.6923076923076927E-2</v>
      </c>
      <c r="AO7" s="11">
        <f t="shared" si="4"/>
        <v>0.28464920908777636</v>
      </c>
      <c r="AP7" s="11"/>
      <c r="AQ7" s="7" t="s">
        <v>38</v>
      </c>
      <c r="AR7" s="11">
        <f t="shared" si="5"/>
        <v>0.26666666666666666</v>
      </c>
      <c r="AS7" s="11">
        <f t="shared" si="6"/>
        <v>0.95443400292496494</v>
      </c>
      <c r="AT7" s="11">
        <f t="shared" si="7"/>
        <v>0.25451573411332395</v>
      </c>
      <c r="AU7" s="11"/>
      <c r="AV7" s="7" t="s">
        <v>38</v>
      </c>
      <c r="AW7" s="11">
        <f t="shared" si="8"/>
        <v>0.26666666666666666</v>
      </c>
      <c r="AX7" s="12">
        <f t="shared" si="9"/>
        <v>0.50850415882893829</v>
      </c>
    </row>
    <row r="8" spans="2:50" x14ac:dyDescent="0.25">
      <c r="B8">
        <v>6</v>
      </c>
      <c r="C8" t="str">
        <f t="shared" si="0"/>
        <v>A</v>
      </c>
      <c r="D8" t="str">
        <f t="shared" si="1"/>
        <v>A</v>
      </c>
      <c r="E8" s="55">
        <v>5.4</v>
      </c>
      <c r="F8" s="52">
        <v>3.9</v>
      </c>
      <c r="G8" s="52">
        <v>1.7</v>
      </c>
      <c r="H8" s="52">
        <v>0.4</v>
      </c>
      <c r="I8" t="s">
        <v>31</v>
      </c>
      <c r="J8">
        <v>1</v>
      </c>
      <c r="K8">
        <v>1</v>
      </c>
      <c r="Q8" s="10" t="s">
        <v>85</v>
      </c>
      <c r="R8" s="47">
        <v>4.4000000000000004</v>
      </c>
      <c r="S8" s="7" t="s">
        <v>31</v>
      </c>
      <c r="T8" s="11">
        <f>SUMIFS($K$3:$K$32,$I$3:$I$32,"="&amp;$S8,$E$3:$E$32,"&gt;"&amp;$R8)/SUMIF($E$3:$E$32,"&gt;"&amp;$R8,$K$3:$K$32)</f>
        <v>0.31034482758620691</v>
      </c>
      <c r="U8" s="11">
        <f>IFERROR(-1*T8*LOG(T8,2),0)</f>
        <v>0.52387944631611505</v>
      </c>
      <c r="Z8" s="13" t="s">
        <v>23</v>
      </c>
      <c r="AA8" s="29">
        <f>$O$7-AA7</f>
        <v>5.4510435788771794E-2</v>
      </c>
      <c r="AE8" s="13" t="s">
        <v>21</v>
      </c>
      <c r="AF8" s="29">
        <f>IFERROR(AA8/AF7,0)</f>
        <v>0.25853652567070085</v>
      </c>
      <c r="AG8" s="11"/>
      <c r="AH8" s="45" t="s">
        <v>86</v>
      </c>
      <c r="AI8" s="46">
        <v>7</v>
      </c>
      <c r="AJ8" s="53"/>
      <c r="AL8" s="10" t="s">
        <v>37</v>
      </c>
      <c r="AM8" s="7" t="s">
        <v>31</v>
      </c>
      <c r="AN8" s="11">
        <f t="shared" si="2"/>
        <v>0</v>
      </c>
      <c r="AO8" s="11">
        <f t="shared" si="4"/>
        <v>0</v>
      </c>
      <c r="AP8" s="11"/>
      <c r="AQ8" s="11"/>
      <c r="AR8" s="11"/>
      <c r="AS8" s="13" t="s">
        <v>13</v>
      </c>
      <c r="AT8" s="11">
        <f>SUM(AT5:AT7)</f>
        <v>0.98138639829680985</v>
      </c>
      <c r="AU8" s="11"/>
      <c r="AV8" s="7"/>
      <c r="AW8" s="13" t="s">
        <v>13</v>
      </c>
      <c r="AX8" s="12">
        <f>SUM(AX5:AX7)</f>
        <v>1.5523892173146849</v>
      </c>
    </row>
    <row r="9" spans="2:50" x14ac:dyDescent="0.25">
      <c r="B9">
        <v>7</v>
      </c>
      <c r="C9" t="str">
        <f t="shared" si="0"/>
        <v>A</v>
      </c>
      <c r="D9" t="str">
        <f t="shared" si="1"/>
        <v>A</v>
      </c>
      <c r="E9" s="55">
        <v>4.5999999999999996</v>
      </c>
      <c r="F9" s="52">
        <v>3.4</v>
      </c>
      <c r="G9" s="52">
        <v>1.4</v>
      </c>
      <c r="H9" s="52">
        <v>0.3</v>
      </c>
      <c r="I9" t="s">
        <v>31</v>
      </c>
      <c r="J9">
        <v>1</v>
      </c>
      <c r="K9">
        <v>1</v>
      </c>
      <c r="Q9" s="10" t="s">
        <v>85</v>
      </c>
      <c r="R9" s="47">
        <v>4.4000000000000004</v>
      </c>
      <c r="S9" s="7" t="s">
        <v>32</v>
      </c>
      <c r="T9" s="11">
        <f>SUMIFS($K$3:$K$32,$I$3:$I$32,"="&amp;$S9,$E$3:$E$32,"&gt;"&amp;$R9)/SUMIF($E$3:$E$32,"&gt;"&amp;$R9,$K$3:$K$32)</f>
        <v>0.34482758620689657</v>
      </c>
      <c r="U9" s="11">
        <f t="shared" ref="U9:U10" si="10">IFERROR(-1*T9*LOG(T9,2),0)</f>
        <v>0.52967341387593436</v>
      </c>
      <c r="W9" s="7" t="s">
        <v>84</v>
      </c>
      <c r="X9" s="47">
        <v>4.5999999999999996</v>
      </c>
      <c r="Y9" s="11">
        <f>SUMIF($E$3:$E$32,"&lt;="&amp;X9,$K$3:$K$32)/SUM($K$3:$K$32)</f>
        <v>0.1</v>
      </c>
      <c r="Z9" s="11">
        <f>SUMIF($R$5:$R$127,"="&amp;X9,$U$5:$U$127)</f>
        <v>1.5663672668986361</v>
      </c>
      <c r="AA9" s="11">
        <f>Y9*Z9</f>
        <v>0.15663672668986361</v>
      </c>
      <c r="AB9" s="11"/>
      <c r="AC9" s="7" t="s">
        <v>84</v>
      </c>
      <c r="AD9" s="47">
        <v>4.5999999999999996</v>
      </c>
      <c r="AE9" s="11">
        <f>SUMIF($E$3:$E$32,"&lt;="&amp;AD9,$K$3:$K$32)/SUM($K$3:$K$32)</f>
        <v>0.1</v>
      </c>
      <c r="AF9" s="11">
        <f>IFERROR(-1*AE9*LOG(AE9,2),0)</f>
        <v>0.33219280948873625</v>
      </c>
      <c r="AG9" s="11"/>
      <c r="AH9" s="11"/>
      <c r="AI9" s="11"/>
      <c r="AJ9" s="12"/>
      <c r="AL9" s="10" t="s">
        <v>37</v>
      </c>
      <c r="AM9" s="7" t="s">
        <v>32</v>
      </c>
      <c r="AN9" s="11">
        <f t="shared" si="2"/>
        <v>0.55555555555555558</v>
      </c>
      <c r="AO9" s="11">
        <f t="shared" si="4"/>
        <v>0.4711093925305278</v>
      </c>
      <c r="AP9" s="11"/>
      <c r="AQ9" s="11"/>
      <c r="AR9" s="11"/>
      <c r="AS9" s="13" t="s">
        <v>23</v>
      </c>
      <c r="AT9" s="11">
        <f>$O$7-AT8</f>
        <v>0.60357610242434623</v>
      </c>
      <c r="AU9" s="11"/>
      <c r="AV9" s="7"/>
      <c r="AW9" s="13" t="s">
        <v>21</v>
      </c>
      <c r="AX9" s="27">
        <f>AT9/AX8</f>
        <v>0.38880462173552655</v>
      </c>
    </row>
    <row r="10" spans="2:50" x14ac:dyDescent="0.25">
      <c r="B10">
        <v>8</v>
      </c>
      <c r="C10" t="str">
        <f t="shared" si="0"/>
        <v>A</v>
      </c>
      <c r="D10" t="str">
        <f t="shared" si="1"/>
        <v>A</v>
      </c>
      <c r="E10" s="55">
        <v>5</v>
      </c>
      <c r="F10" s="52">
        <v>3.4</v>
      </c>
      <c r="G10" s="52">
        <v>1.5</v>
      </c>
      <c r="H10" s="52">
        <v>0.2</v>
      </c>
      <c r="I10" t="s">
        <v>31</v>
      </c>
      <c r="J10">
        <v>1</v>
      </c>
      <c r="K10">
        <v>1</v>
      </c>
      <c r="Q10" s="10" t="s">
        <v>85</v>
      </c>
      <c r="R10" s="47">
        <v>4.4000000000000004</v>
      </c>
      <c r="S10" s="7" t="s">
        <v>33</v>
      </c>
      <c r="T10" s="11">
        <f>SUMIFS($K$3:$K$32,$I$3:$I$32,"="&amp;$S10,$E$3:$E$32,"&gt;"&amp;$R10)/SUMIF($E$3:$E$32,"&gt;"&amp;$R10,$K$3:$K$32)</f>
        <v>0.34482758620689657</v>
      </c>
      <c r="U10" s="11">
        <f t="shared" si="10"/>
        <v>0.52967341387593436</v>
      </c>
      <c r="W10" s="7" t="s">
        <v>85</v>
      </c>
      <c r="X10" s="47">
        <v>4.5999999999999996</v>
      </c>
      <c r="Y10" s="11">
        <f>SUMIF($E$3:$E$32,"&gt;"&amp;X10,$K$3:$K$32)/SUM($K$3:$K$32)</f>
        <v>0.9</v>
      </c>
      <c r="Z10" s="11">
        <f>SUMIFS($U$5:$U$130,$R$5:$R$130,"="&amp;X10,$Q$5:$Q$130,"="&amp;W10)</f>
        <v>1.5663672668986361</v>
      </c>
      <c r="AA10" s="11">
        <f>Y10*Z10</f>
        <v>1.4097305402087725</v>
      </c>
      <c r="AC10" s="7" t="s">
        <v>85</v>
      </c>
      <c r="AD10" s="47">
        <v>4.5999999999999996</v>
      </c>
      <c r="AE10" s="11">
        <f>SUMIF($E$3:$E$32,"&gt;"&amp;AD10,$K$3:$K$32)/SUM($K$3:$K$32)</f>
        <v>0.9</v>
      </c>
      <c r="AF10" s="11">
        <f>IFERROR(-1*AE10*LOG(AE10,2),0)</f>
        <v>0.13680278410054497</v>
      </c>
      <c r="AG10" s="11"/>
      <c r="AH10" s="11"/>
      <c r="AI10" s="11"/>
      <c r="AJ10" s="12"/>
      <c r="AL10" s="10" t="s">
        <v>37</v>
      </c>
      <c r="AM10" s="7" t="s">
        <v>33</v>
      </c>
      <c r="AN10" s="11">
        <f t="shared" si="2"/>
        <v>0.44444444444444442</v>
      </c>
      <c r="AO10" s="11">
        <f t="shared" si="4"/>
        <v>0.51996666730769436</v>
      </c>
      <c r="AP10" s="11"/>
      <c r="AQ10" s="11"/>
      <c r="AR10" s="11"/>
      <c r="AS10" s="11"/>
      <c r="AT10" s="11"/>
      <c r="AU10" s="11"/>
      <c r="AV10" s="7"/>
      <c r="AW10" s="11"/>
      <c r="AX10" s="12"/>
    </row>
    <row r="11" spans="2:50" x14ac:dyDescent="0.25">
      <c r="B11">
        <v>9</v>
      </c>
      <c r="C11" t="str">
        <f t="shared" si="0"/>
        <v>A</v>
      </c>
      <c r="D11" t="str">
        <f t="shared" si="1"/>
        <v>A</v>
      </c>
      <c r="E11" s="55">
        <v>4.4000000000000004</v>
      </c>
      <c r="F11" s="52">
        <v>2.9</v>
      </c>
      <c r="G11" s="52">
        <v>1.4</v>
      </c>
      <c r="H11" s="52">
        <v>0.2</v>
      </c>
      <c r="I11" t="s">
        <v>31</v>
      </c>
      <c r="J11">
        <v>1</v>
      </c>
      <c r="K11">
        <v>1</v>
      </c>
      <c r="Q11" s="10" t="s">
        <v>84</v>
      </c>
      <c r="R11" s="47">
        <v>4.5999999999999996</v>
      </c>
      <c r="S11" s="7" t="s">
        <v>31</v>
      </c>
      <c r="T11" s="11">
        <f>SUMIFS($K$3:$K$32,$I$3:$I$32,"="&amp;$S11,$E$3:$E$32,"&lt;="&amp;$R11)/SUMIF($E$3:$E$32,"&lt;="&amp;$R11,$K$3:$K$32)</f>
        <v>1</v>
      </c>
      <c r="U11" s="11">
        <f>IFERROR(-1*T11*LOG(T11,2),0)</f>
        <v>0</v>
      </c>
      <c r="Z11" s="13" t="s">
        <v>13</v>
      </c>
      <c r="AA11" s="11">
        <f>SUM(AA9:AA10)</f>
        <v>1.5663672668986361</v>
      </c>
      <c r="AE11" s="13" t="s">
        <v>13</v>
      </c>
      <c r="AF11" s="11">
        <f>SUM(AF9:AF10)</f>
        <v>0.46899559358928122</v>
      </c>
      <c r="AG11" s="11"/>
      <c r="AH11" s="11"/>
      <c r="AI11" s="11"/>
      <c r="AJ11" s="12"/>
      <c r="AL11" s="10" t="s">
        <v>38</v>
      </c>
      <c r="AM11" s="7" t="s">
        <v>31</v>
      </c>
      <c r="AN11" s="11">
        <f t="shared" si="2"/>
        <v>0</v>
      </c>
      <c r="AO11" s="11">
        <f t="shared" si="4"/>
        <v>0</v>
      </c>
      <c r="AP11" s="11"/>
      <c r="AQ11" s="11"/>
      <c r="AR11" s="11"/>
      <c r="AS11" s="11"/>
      <c r="AT11" s="11"/>
      <c r="AU11" s="11"/>
      <c r="AV11" s="7"/>
      <c r="AW11" s="11"/>
      <c r="AX11" s="12"/>
    </row>
    <row r="12" spans="2:50" x14ac:dyDescent="0.25">
      <c r="B12">
        <v>10</v>
      </c>
      <c r="C12" t="str">
        <f t="shared" si="0"/>
        <v>A</v>
      </c>
      <c r="D12" t="str">
        <f t="shared" si="1"/>
        <v>A</v>
      </c>
      <c r="E12" s="55">
        <v>4.9000000000000004</v>
      </c>
      <c r="F12" s="52">
        <v>3.1</v>
      </c>
      <c r="G12" s="52">
        <v>1.5</v>
      </c>
      <c r="H12" s="52">
        <v>0.1</v>
      </c>
      <c r="I12" t="s">
        <v>31</v>
      </c>
      <c r="J12">
        <v>1</v>
      </c>
      <c r="K12">
        <v>1</v>
      </c>
      <c r="Q12" s="10" t="s">
        <v>84</v>
      </c>
      <c r="R12" s="47">
        <v>4.5999999999999996</v>
      </c>
      <c r="S12" s="7" t="s">
        <v>32</v>
      </c>
      <c r="T12" s="11">
        <f>SUMIFS($K$3:$K$32,$I$3:$I$32,"="&amp;$S12,$E$3:$E$32,"&lt;="&amp;$R12)/SUMIF($E$3:$E$32,"&lt;="&amp;$R12,$K$3:$K$32)</f>
        <v>0</v>
      </c>
      <c r="U12" s="11">
        <f>IFERROR(-1*T12*LOG(T12,2),0)</f>
        <v>0</v>
      </c>
      <c r="Z12" s="13" t="s">
        <v>23</v>
      </c>
      <c r="AA12" s="29">
        <f>$O$7-AA11</f>
        <v>1.859523382251993E-2</v>
      </c>
      <c r="AE12" s="13" t="s">
        <v>21</v>
      </c>
      <c r="AF12" s="29">
        <f>IFERROR(AA12/AF11,0)</f>
        <v>3.9649058704812785E-2</v>
      </c>
      <c r="AG12" s="11"/>
      <c r="AH12" s="11"/>
      <c r="AI12" s="11"/>
      <c r="AJ12" s="12"/>
      <c r="AL12" s="10" t="s">
        <v>38</v>
      </c>
      <c r="AM12" s="7" t="s">
        <v>32</v>
      </c>
      <c r="AN12" s="11">
        <f t="shared" si="2"/>
        <v>0.375</v>
      </c>
      <c r="AO12" s="11">
        <f t="shared" si="4"/>
        <v>0.53063906222956636</v>
      </c>
      <c r="AP12" s="11"/>
      <c r="AQ12" s="11"/>
      <c r="AR12" s="11"/>
      <c r="AS12" s="11"/>
      <c r="AT12" s="11"/>
      <c r="AU12" s="11"/>
      <c r="AV12" s="7"/>
      <c r="AW12" s="11"/>
      <c r="AX12" s="12"/>
    </row>
    <row r="13" spans="2:50" x14ac:dyDescent="0.25">
      <c r="B13">
        <v>11</v>
      </c>
      <c r="C13" t="str">
        <f t="shared" si="0"/>
        <v>C</v>
      </c>
      <c r="D13" t="str">
        <f t="shared" si="1"/>
        <v>C</v>
      </c>
      <c r="E13" s="55">
        <v>7</v>
      </c>
      <c r="F13" s="52">
        <v>3.2</v>
      </c>
      <c r="G13" s="52">
        <v>4.7</v>
      </c>
      <c r="H13" s="52">
        <v>1.4</v>
      </c>
      <c r="I13" t="s">
        <v>32</v>
      </c>
      <c r="J13">
        <v>2</v>
      </c>
      <c r="K13">
        <v>1</v>
      </c>
      <c r="Q13" s="10" t="s">
        <v>84</v>
      </c>
      <c r="R13" s="47">
        <v>4.5999999999999996</v>
      </c>
      <c r="S13" s="7" t="s">
        <v>33</v>
      </c>
      <c r="T13" s="11">
        <f>SUMIFS($K$3:$K$32,$I$3:$I$32,"="&amp;$S13,$E$3:$E$32,"&lt;="&amp;$R13)/SUMIF($E$3:$E$32,"&lt;="&amp;$R13,$K$3:$K$32)</f>
        <v>0</v>
      </c>
      <c r="U13" s="11">
        <f>IFERROR(-1*T13*LOG(T13,2),0)</f>
        <v>0</v>
      </c>
      <c r="W13" s="7" t="s">
        <v>84</v>
      </c>
      <c r="X13" s="47">
        <v>4.7</v>
      </c>
      <c r="Y13" s="11">
        <f>SUMIF($E$3:$E$32,"&lt;="&amp;X13,$K$3:$K$32)/SUM($K$3:$K$32)</f>
        <v>0.13333333333333333</v>
      </c>
      <c r="Z13" s="11">
        <f>SUMIF($R$5:$R$127,"="&amp;X13,$U$5:$U$127)</f>
        <v>1.5485806065228545</v>
      </c>
      <c r="AA13" s="11">
        <f>Y13*Z13</f>
        <v>0.20647741420304724</v>
      </c>
      <c r="AB13" s="11"/>
      <c r="AC13" s="7" t="s">
        <v>84</v>
      </c>
      <c r="AD13" s="47">
        <v>4.7</v>
      </c>
      <c r="AE13" s="11">
        <f>SUMIF($E$3:$E$32,"&lt;="&amp;AD13,$K$3:$K$32)/SUM($K$3:$K$32)</f>
        <v>0.13333333333333333</v>
      </c>
      <c r="AF13" s="11">
        <f>IFERROR(-1*AE13*LOG(AE13,2),0)</f>
        <v>0.3875854127478025</v>
      </c>
      <c r="AG13" s="11"/>
      <c r="AH13" s="11"/>
      <c r="AI13" s="11"/>
      <c r="AJ13" s="12"/>
      <c r="AL13" s="10" t="s">
        <v>38</v>
      </c>
      <c r="AM13" s="7" t="s">
        <v>33</v>
      </c>
      <c r="AN13" s="11">
        <f t="shared" si="2"/>
        <v>0.625</v>
      </c>
      <c r="AO13" s="11">
        <f t="shared" si="4"/>
        <v>0.42379494069539858</v>
      </c>
      <c r="AP13" s="11"/>
      <c r="AQ13" s="11"/>
      <c r="AR13" s="11"/>
      <c r="AS13" s="11"/>
      <c r="AT13" s="11"/>
      <c r="AU13" s="11"/>
      <c r="AV13" s="7"/>
      <c r="AW13" s="11"/>
      <c r="AX13" s="12"/>
    </row>
    <row r="14" spans="2:50" x14ac:dyDescent="0.25">
      <c r="B14">
        <v>12</v>
      </c>
      <c r="C14" t="str">
        <f t="shared" si="0"/>
        <v>B</v>
      </c>
      <c r="D14" t="str">
        <f t="shared" si="1"/>
        <v>B</v>
      </c>
      <c r="E14" s="55">
        <v>6.4</v>
      </c>
      <c r="F14" s="52">
        <v>3.2</v>
      </c>
      <c r="G14" s="52">
        <v>4.5</v>
      </c>
      <c r="H14" s="52">
        <v>1.5</v>
      </c>
      <c r="I14" t="s">
        <v>32</v>
      </c>
      <c r="J14">
        <v>2</v>
      </c>
      <c r="K14">
        <v>1</v>
      </c>
      <c r="Q14" s="10" t="s">
        <v>85</v>
      </c>
      <c r="R14" s="47">
        <v>4.5999999999999996</v>
      </c>
      <c r="S14" s="7" t="s">
        <v>31</v>
      </c>
      <c r="T14" s="11">
        <f>SUMIFS($K$3:$K$32,$I$3:$I$32,"="&amp;$S14,$E$3:$E$32,"&gt;"&amp;$R14)/SUMIF($E$3:$E$32,"&gt;"&amp;$R14,$K$3:$K$32)</f>
        <v>0.25925925925925924</v>
      </c>
      <c r="U14" s="11">
        <f>IFERROR(-1*T14*LOG(T14,2),0)</f>
        <v>0.5049158541015204</v>
      </c>
      <c r="W14" s="7" t="s">
        <v>85</v>
      </c>
      <c r="X14" s="47">
        <v>4.7</v>
      </c>
      <c r="Y14" s="11">
        <f>SUMIF($E$3:$E$32,"&gt;"&amp;X14,$K$3:$K$32)/SUM($K$3:$K$32)</f>
        <v>0.8666666666666667</v>
      </c>
      <c r="Z14" s="11">
        <f>SUMIFS($U$5:$U$130,$R$5:$R$130,"="&amp;X14,$Q$5:$Q$130,"="&amp;W14)</f>
        <v>1.5485806065228545</v>
      </c>
      <c r="AA14" s="11">
        <f>Y14*Z14</f>
        <v>1.3421031923198072</v>
      </c>
      <c r="AC14" s="7" t="s">
        <v>85</v>
      </c>
      <c r="AD14" s="47">
        <v>4.7</v>
      </c>
      <c r="AE14" s="11">
        <f>SUMIF($E$3:$E$32,"&gt;"&amp;AD14,$K$3:$K$32)/SUM($K$3:$K$32)</f>
        <v>0.8666666666666667</v>
      </c>
      <c r="AF14" s="11">
        <f>IFERROR(-1*AE14*LOG(AE14,2),0)</f>
        <v>0.17892409380510282</v>
      </c>
      <c r="AG14" s="11"/>
      <c r="AH14" s="11"/>
      <c r="AI14" s="11"/>
      <c r="AJ14" s="12"/>
      <c r="AL14" s="10"/>
      <c r="AM14" s="7"/>
      <c r="AN14" s="7"/>
      <c r="AP14" s="13"/>
      <c r="AQ14" s="13"/>
      <c r="AR14" s="13"/>
      <c r="AS14" s="13"/>
      <c r="AT14" s="11"/>
      <c r="AU14" s="11"/>
      <c r="AV14" s="7"/>
      <c r="AW14" s="11"/>
      <c r="AX14" s="12"/>
    </row>
    <row r="15" spans="2:50" x14ac:dyDescent="0.25">
      <c r="B15">
        <v>13</v>
      </c>
      <c r="C15" t="str">
        <f t="shared" si="0"/>
        <v>C</v>
      </c>
      <c r="D15" t="str">
        <f t="shared" si="1"/>
        <v>C</v>
      </c>
      <c r="E15" s="55">
        <v>6.9</v>
      </c>
      <c r="F15" s="52">
        <v>3.1</v>
      </c>
      <c r="G15" s="52">
        <v>4.9000000000000004</v>
      </c>
      <c r="H15" s="52">
        <v>1.5</v>
      </c>
      <c r="I15" t="s">
        <v>32</v>
      </c>
      <c r="J15">
        <v>2</v>
      </c>
      <c r="K15">
        <v>1</v>
      </c>
      <c r="N15" s="54" t="s">
        <v>87</v>
      </c>
      <c r="O15" t="s">
        <v>89</v>
      </c>
      <c r="Q15" s="10" t="s">
        <v>85</v>
      </c>
      <c r="R15" s="47">
        <v>4.5999999999999996</v>
      </c>
      <c r="S15" s="7" t="s">
        <v>32</v>
      </c>
      <c r="T15" s="11">
        <f>SUMIFS($K$3:$K$32,$I$3:$I$32,"="&amp;$S15,$E$3:$E$32,"&gt;"&amp;$R15)/SUMIF($E$3:$E$32,"&gt;"&amp;$R15,$K$3:$K$32)</f>
        <v>0.37037037037037035</v>
      </c>
      <c r="U15" s="11">
        <f t="shared" ref="U15:U16" si="11">IFERROR(-1*T15*LOG(T15,2),0)</f>
        <v>0.53072570639855787</v>
      </c>
      <c r="Z15" s="13" t="s">
        <v>13</v>
      </c>
      <c r="AA15" s="11">
        <f>SUM(AA13:AA14)</f>
        <v>1.5485806065228545</v>
      </c>
      <c r="AE15" s="13" t="s">
        <v>13</v>
      </c>
      <c r="AF15" s="11">
        <f>SUM(AF13:AF14)</f>
        <v>0.56650950655290533</v>
      </c>
      <c r="AG15" s="11"/>
      <c r="AH15" s="11"/>
      <c r="AI15" s="11"/>
      <c r="AJ15" s="12"/>
      <c r="AL15" s="14"/>
      <c r="AM15" s="15"/>
      <c r="AN15" s="15"/>
      <c r="AO15" s="15"/>
      <c r="AP15" s="16"/>
      <c r="AQ15" s="16"/>
      <c r="AR15" s="16"/>
      <c r="AS15" s="16"/>
      <c r="AT15" s="17"/>
      <c r="AU15" s="17"/>
      <c r="AV15" s="15"/>
      <c r="AW15" s="17"/>
      <c r="AX15" s="18"/>
    </row>
    <row r="16" spans="2:50" x14ac:dyDescent="0.25">
      <c r="B16">
        <v>14</v>
      </c>
      <c r="C16" t="str">
        <f t="shared" si="0"/>
        <v>B</v>
      </c>
      <c r="D16" t="str">
        <f t="shared" si="1"/>
        <v>A</v>
      </c>
      <c r="E16" s="55">
        <v>5.5</v>
      </c>
      <c r="F16" s="52">
        <v>2.2999999999999998</v>
      </c>
      <c r="G16" s="52">
        <v>4</v>
      </c>
      <c r="H16" s="52">
        <v>1.3</v>
      </c>
      <c r="I16" t="s">
        <v>32</v>
      </c>
      <c r="J16">
        <v>2</v>
      </c>
      <c r="K16">
        <v>1</v>
      </c>
      <c r="N16" s="54" t="s">
        <v>88</v>
      </c>
      <c r="O16" t="s">
        <v>90</v>
      </c>
      <c r="Q16" s="10" t="s">
        <v>85</v>
      </c>
      <c r="R16" s="47">
        <v>4.5999999999999996</v>
      </c>
      <c r="S16" s="7" t="s">
        <v>33</v>
      </c>
      <c r="T16" s="11">
        <f>SUMIFS($K$3:$K$32,$I$3:$I$32,"="&amp;$S16,$E$3:$E$32,"&gt;"&amp;$R16)/SUMIF($E$3:$E$32,"&gt;"&amp;$R16,$K$3:$K$32)</f>
        <v>0.37037037037037035</v>
      </c>
      <c r="U16" s="11">
        <f t="shared" si="11"/>
        <v>0.53072570639855787</v>
      </c>
      <c r="Z16" s="13" t="s">
        <v>23</v>
      </c>
      <c r="AA16" s="29">
        <f>$O$7-AA15</f>
        <v>3.6381894198301623E-2</v>
      </c>
      <c r="AE16" s="13" t="s">
        <v>21</v>
      </c>
      <c r="AF16" s="29">
        <f>IFERROR(AA16/AF15,0)</f>
        <v>6.4221153886151044E-2</v>
      </c>
      <c r="AG16" s="11"/>
      <c r="AH16" s="11"/>
      <c r="AI16" s="11"/>
      <c r="AJ16" s="12"/>
      <c r="AO16" s="2"/>
      <c r="AP16" s="2"/>
      <c r="AQ16" s="2"/>
      <c r="AR16" s="2"/>
      <c r="AS16" s="2"/>
      <c r="AT16" s="2"/>
      <c r="AU16" s="2"/>
      <c r="AW16" s="2"/>
      <c r="AX16" s="2"/>
    </row>
    <row r="17" spans="2:50" x14ac:dyDescent="0.25">
      <c r="B17">
        <v>15</v>
      </c>
      <c r="C17" t="str">
        <f t="shared" si="0"/>
        <v>B</v>
      </c>
      <c r="D17" t="str">
        <f t="shared" si="1"/>
        <v>B</v>
      </c>
      <c r="E17" s="55">
        <v>6.5</v>
      </c>
      <c r="F17" s="52">
        <v>2.8</v>
      </c>
      <c r="G17" s="52">
        <v>4.5999999999999996</v>
      </c>
      <c r="H17" s="52">
        <v>1.5</v>
      </c>
      <c r="I17" t="s">
        <v>32</v>
      </c>
      <c r="J17">
        <v>2</v>
      </c>
      <c r="K17">
        <v>1</v>
      </c>
      <c r="Q17" s="10" t="s">
        <v>84</v>
      </c>
      <c r="R17" s="47">
        <v>4.7</v>
      </c>
      <c r="S17" s="7" t="s">
        <v>31</v>
      </c>
      <c r="T17" s="11">
        <f>SUMIFS($K$3:$K$32,$I$3:$I$32,"="&amp;$S17,$E$3:$E$32,"&lt;="&amp;$R17)/SUMIF($E$3:$E$32,"&lt;="&amp;$R17,$K$3:$K$32)</f>
        <v>1</v>
      </c>
      <c r="U17" s="11">
        <f>IFERROR(-1*T17*LOG(T17,2),0)</f>
        <v>0</v>
      </c>
      <c r="W17" s="7" t="s">
        <v>84</v>
      </c>
      <c r="X17" s="47">
        <v>4.9000000000000004</v>
      </c>
      <c r="Y17" s="11">
        <f>SUMIF($E$3:$E$32,"&lt;="&amp;X17,$K$3:$K$32)/SUM($K$3:$K$32)</f>
        <v>0.26666666666666666</v>
      </c>
      <c r="Z17" s="11">
        <f>SUMIF($R$5:$R$127,"="&amp;X17,$U$5:$U$127)</f>
        <v>2.5634983782799923</v>
      </c>
      <c r="AA17" s="11">
        <f>Y17*Z17</f>
        <v>0.68359956754133122</v>
      </c>
      <c r="AB17" s="11"/>
      <c r="AC17" s="7" t="s">
        <v>84</v>
      </c>
      <c r="AD17" s="47">
        <v>4.9000000000000004</v>
      </c>
      <c r="AE17" s="11">
        <f>SUMIF($E$3:$E$32,"&lt;="&amp;AD17,$K$3:$K$32)/SUM($K$3:$K$32)</f>
        <v>0.26666666666666666</v>
      </c>
      <c r="AF17" s="11">
        <f>IFERROR(-1*AE17*LOG(AE17,2),0)</f>
        <v>0.50850415882893829</v>
      </c>
      <c r="AG17" s="11"/>
      <c r="AH17" s="11"/>
      <c r="AI17" s="11"/>
      <c r="AJ17" s="12"/>
      <c r="AO17" s="2"/>
      <c r="AP17" s="2"/>
      <c r="AQ17" s="2"/>
      <c r="AR17" s="2"/>
      <c r="AS17" s="2"/>
      <c r="AT17" s="2"/>
      <c r="AU17" s="2"/>
      <c r="AW17" s="2"/>
      <c r="AX17" s="2"/>
    </row>
    <row r="18" spans="2:50" x14ac:dyDescent="0.25">
      <c r="B18">
        <v>16</v>
      </c>
      <c r="C18" t="str">
        <f t="shared" si="0"/>
        <v>B</v>
      </c>
      <c r="D18" t="str">
        <f t="shared" si="1"/>
        <v>B</v>
      </c>
      <c r="E18" s="55">
        <v>5.7</v>
      </c>
      <c r="F18" s="52">
        <v>2.8</v>
      </c>
      <c r="G18" s="52">
        <v>4.5</v>
      </c>
      <c r="H18" s="52">
        <v>1.3</v>
      </c>
      <c r="I18" t="s">
        <v>32</v>
      </c>
      <c r="J18">
        <v>2</v>
      </c>
      <c r="K18">
        <v>1</v>
      </c>
      <c r="Q18" s="10" t="s">
        <v>84</v>
      </c>
      <c r="R18" s="47">
        <v>4.7</v>
      </c>
      <c r="S18" s="7" t="s">
        <v>32</v>
      </c>
      <c r="T18" s="11">
        <f>SUMIFS($K$3:$K$32,$I$3:$I$32,"="&amp;$S18,$E$3:$E$32,"&lt;="&amp;$R18)/SUMIF($E$3:$E$32,"&lt;="&amp;$R18,$K$3:$K$32)</f>
        <v>0</v>
      </c>
      <c r="U18" s="11">
        <f>IFERROR(-1*T18*LOG(T18,2),0)</f>
        <v>0</v>
      </c>
      <c r="W18" s="7" t="s">
        <v>85</v>
      </c>
      <c r="X18" s="47">
        <v>4.9000000000000004</v>
      </c>
      <c r="Y18" s="11">
        <f>SUMIF($E$3:$E$32,"&gt;"&amp;X18,$K$3:$K$32)/SUM($K$3:$K$32)</f>
        <v>0.73333333333333328</v>
      </c>
      <c r="Z18" s="11">
        <f>SUMIFS($U$5:$U$130,$R$5:$R$130,"="&amp;X18,$Q$5:$Q$130,"="&amp;W18)</f>
        <v>1.5022202538208598</v>
      </c>
      <c r="AA18" s="11">
        <f>Y18*Z18</f>
        <v>1.101628186135297</v>
      </c>
      <c r="AC18" s="7" t="s">
        <v>85</v>
      </c>
      <c r="AD18" s="47">
        <v>4.9000000000000004</v>
      </c>
      <c r="AE18" s="11">
        <f>SUMIF($E$3:$E$32,"&gt;"&amp;AD18,$K$3:$K$32)/SUM($K$3:$K$32)</f>
        <v>0.73333333333333328</v>
      </c>
      <c r="AF18" s="11">
        <f>IFERROR(-1*AE18*LOG(AE18,2),0)</f>
        <v>0.32813658311222904</v>
      </c>
      <c r="AG18" s="11"/>
      <c r="AH18" s="11"/>
      <c r="AI18" s="11"/>
      <c r="AJ18" s="12"/>
      <c r="AO18" s="2"/>
      <c r="AP18" s="2"/>
      <c r="AQ18" s="2"/>
      <c r="AR18" s="2"/>
      <c r="AS18" s="2"/>
      <c r="AT18" s="2"/>
      <c r="AU18" s="2"/>
      <c r="AW18" s="2"/>
      <c r="AX18" s="2"/>
    </row>
    <row r="19" spans="2:50" x14ac:dyDescent="0.25">
      <c r="B19">
        <v>17</v>
      </c>
      <c r="C19" t="str">
        <f t="shared" si="0"/>
        <v>B</v>
      </c>
      <c r="D19" t="str">
        <f t="shared" si="1"/>
        <v>B</v>
      </c>
      <c r="E19" s="55">
        <v>6.3</v>
      </c>
      <c r="F19" s="52">
        <v>3.3</v>
      </c>
      <c r="G19" s="52">
        <v>4.7</v>
      </c>
      <c r="H19" s="52">
        <v>1.6</v>
      </c>
      <c r="I19" t="s">
        <v>32</v>
      </c>
      <c r="J19">
        <v>2</v>
      </c>
      <c r="K19">
        <v>1</v>
      </c>
      <c r="Q19" s="10" t="s">
        <v>84</v>
      </c>
      <c r="R19" s="47">
        <v>4.7</v>
      </c>
      <c r="S19" s="7" t="s">
        <v>33</v>
      </c>
      <c r="T19" s="11">
        <f>SUMIFS($K$3:$K$32,$I$3:$I$32,"="&amp;$S19,$E$3:$E$32,"&lt;="&amp;$R19)/SUMIF($E$3:$E$32,"&lt;="&amp;$R19,$K$3:$K$32)</f>
        <v>0</v>
      </c>
      <c r="U19" s="11">
        <f>IFERROR(-1*T19*LOG(T19,2),0)</f>
        <v>0</v>
      </c>
      <c r="Z19" s="13" t="s">
        <v>13</v>
      </c>
      <c r="AA19" s="11">
        <f>SUM(AA17:AA18)</f>
        <v>1.7852277536766281</v>
      </c>
      <c r="AE19" s="13" t="s">
        <v>13</v>
      </c>
      <c r="AF19" s="11">
        <f>SUM(AF17:AF18)</f>
        <v>0.83664074194116733</v>
      </c>
      <c r="AG19" s="11"/>
      <c r="AH19" s="11"/>
      <c r="AI19" s="11"/>
      <c r="AJ19" s="12"/>
      <c r="AL19" s="13" t="s">
        <v>42</v>
      </c>
      <c r="AM19" s="7"/>
      <c r="AN19" s="7"/>
      <c r="AO19" s="7"/>
      <c r="AP19" s="7"/>
      <c r="AQ19" s="7"/>
      <c r="AR19" s="7"/>
      <c r="AS19" s="7"/>
      <c r="AT19" s="7"/>
      <c r="AU19" s="7"/>
      <c r="AV19" s="7"/>
      <c r="AW19" s="7"/>
      <c r="AX19" s="7"/>
    </row>
    <row r="20" spans="2:50" x14ac:dyDescent="0.25">
      <c r="B20">
        <v>18</v>
      </c>
      <c r="C20" t="str">
        <f t="shared" si="0"/>
        <v>A</v>
      </c>
      <c r="D20" t="str">
        <f t="shared" si="1"/>
        <v>A</v>
      </c>
      <c r="E20" s="55">
        <v>4.9000000000000004</v>
      </c>
      <c r="F20" s="52">
        <v>2.4</v>
      </c>
      <c r="G20" s="52">
        <v>3.3</v>
      </c>
      <c r="H20" s="52">
        <v>1</v>
      </c>
      <c r="I20" t="s">
        <v>32</v>
      </c>
      <c r="J20">
        <v>2</v>
      </c>
      <c r="K20">
        <v>1</v>
      </c>
      <c r="Q20" s="10" t="s">
        <v>85</v>
      </c>
      <c r="R20" s="47">
        <v>4.7</v>
      </c>
      <c r="S20" s="7" t="s">
        <v>31</v>
      </c>
      <c r="T20" s="11">
        <f>SUMIFS($K$3:$K$32,$I$3:$I$32,"="&amp;$S20,$E$3:$E$32,"&gt;"&amp;$R20)/SUMIF($E$3:$E$32,"&gt;"&amp;$R20,$K$3:$K$32)</f>
        <v>0.23076923076923078</v>
      </c>
      <c r="U20" s="11">
        <f>IFERROR(-1*T20*LOG(T20,2),0)</f>
        <v>0.48818705017383146</v>
      </c>
      <c r="Z20" s="13" t="s">
        <v>23</v>
      </c>
      <c r="AA20" s="29">
        <f>$O$7-AA19</f>
        <v>-0.20026525295547204</v>
      </c>
      <c r="AE20" s="13" t="s">
        <v>21</v>
      </c>
      <c r="AF20" s="29">
        <f>IFERROR(AA20/AF19,0)</f>
        <v>-0.23936827710639355</v>
      </c>
      <c r="AG20" s="11"/>
      <c r="AH20" s="11"/>
      <c r="AI20" s="11"/>
      <c r="AJ20" s="12"/>
      <c r="AL20" s="19" t="s">
        <v>14</v>
      </c>
      <c r="AM20" s="4"/>
      <c r="AN20" s="4"/>
      <c r="AO20" s="4"/>
      <c r="AP20" s="4"/>
      <c r="AQ20" s="4"/>
      <c r="AR20" s="4"/>
      <c r="AS20" s="4"/>
      <c r="AT20" s="4"/>
      <c r="AU20" s="4"/>
      <c r="AV20" s="20" t="s">
        <v>21</v>
      </c>
      <c r="AW20" s="4"/>
      <c r="AX20" s="5"/>
    </row>
    <row r="21" spans="2:50" x14ac:dyDescent="0.25">
      <c r="B21">
        <v>19</v>
      </c>
      <c r="C21" t="str">
        <f t="shared" si="0"/>
        <v>C</v>
      </c>
      <c r="D21" t="str">
        <f t="shared" si="1"/>
        <v>C</v>
      </c>
      <c r="E21" s="55">
        <v>6.6</v>
      </c>
      <c r="F21" s="52">
        <v>2.9</v>
      </c>
      <c r="G21" s="52">
        <v>4.5999999999999996</v>
      </c>
      <c r="H21" s="52">
        <v>1.3</v>
      </c>
      <c r="I21" t="s">
        <v>32</v>
      </c>
      <c r="J21">
        <v>2</v>
      </c>
      <c r="K21">
        <v>1</v>
      </c>
      <c r="Q21" s="10" t="s">
        <v>85</v>
      </c>
      <c r="R21" s="47">
        <v>4.7</v>
      </c>
      <c r="S21" s="7" t="s">
        <v>32</v>
      </c>
      <c r="T21" s="11">
        <f>SUMIFS($K$3:$K$32,$I$3:$I$32,"="&amp;$S21,$E$3:$E$32,"&gt;"&amp;$R21)/SUMIF($E$3:$E$32,"&gt;"&amp;$R21,$K$3:$K$32)</f>
        <v>0.38461538461538464</v>
      </c>
      <c r="U21" s="11">
        <f t="shared" ref="U21:U22" si="12">IFERROR(-1*T21*LOG(T21,2),0)</f>
        <v>0.5301967781745115</v>
      </c>
      <c r="W21" s="7" t="s">
        <v>84</v>
      </c>
      <c r="X21" s="47">
        <v>5</v>
      </c>
      <c r="Y21" s="11">
        <f>SUMIF($E$3:$E$32,"&lt;="&amp;X21,$K$3:$K$32)/SUM($K$3:$K$32)</f>
        <v>0.33333333333333331</v>
      </c>
      <c r="Z21" s="11">
        <f>SUMIF($R$5:$R$127,"="&amp;X21,$U$5:$U$127)</f>
        <v>2.290923688476644</v>
      </c>
      <c r="AA21" s="11">
        <f>Y21*Z21</f>
        <v>0.76364122949221458</v>
      </c>
      <c r="AB21" s="11"/>
      <c r="AC21" s="7" t="s">
        <v>84</v>
      </c>
      <c r="AD21" s="47">
        <v>5</v>
      </c>
      <c r="AE21" s="11">
        <f>SUMIF($E$3:$E$32,"&lt;="&amp;AD21,$K$3:$K$32)/SUM($K$3:$K$32)</f>
        <v>0.33333333333333331</v>
      </c>
      <c r="AF21" s="11">
        <f>IFERROR(-1*AE21*LOG(AE21,2),0)</f>
        <v>0.52832083357371873</v>
      </c>
      <c r="AG21" s="11"/>
      <c r="AH21" s="11"/>
      <c r="AI21" s="11"/>
      <c r="AJ21" s="12"/>
      <c r="AL21" s="10"/>
      <c r="AM21" s="7"/>
      <c r="AN21" s="7" t="s">
        <v>11</v>
      </c>
      <c r="AO21" s="7" t="s">
        <v>17</v>
      </c>
      <c r="AP21" s="7"/>
      <c r="AQ21" s="7"/>
      <c r="AR21" t="s">
        <v>15</v>
      </c>
      <c r="AS21" s="7" t="s">
        <v>17</v>
      </c>
      <c r="AT21" s="7" t="s">
        <v>18</v>
      </c>
      <c r="AU21" s="7"/>
      <c r="AV21" s="7"/>
      <c r="AW21" s="7" t="s">
        <v>15</v>
      </c>
      <c r="AX21" s="9" t="s">
        <v>12</v>
      </c>
    </row>
    <row r="22" spans="2:50" x14ac:dyDescent="0.25">
      <c r="B22">
        <v>20</v>
      </c>
      <c r="C22" t="str">
        <f t="shared" si="0"/>
        <v>A</v>
      </c>
      <c r="D22" t="str">
        <f t="shared" si="1"/>
        <v>A</v>
      </c>
      <c r="E22" s="55">
        <v>5.2</v>
      </c>
      <c r="F22" s="52">
        <v>2.7</v>
      </c>
      <c r="G22" s="52">
        <v>3.9</v>
      </c>
      <c r="H22" s="52">
        <v>1.4</v>
      </c>
      <c r="I22" t="s">
        <v>32</v>
      </c>
      <c r="J22">
        <v>2</v>
      </c>
      <c r="K22">
        <v>1</v>
      </c>
      <c r="Q22" s="10" t="s">
        <v>85</v>
      </c>
      <c r="R22" s="47">
        <v>4.7</v>
      </c>
      <c r="S22" s="7" t="s">
        <v>33</v>
      </c>
      <c r="T22" s="11">
        <f>SUMIFS($K$3:$K$32,$I$3:$I$32,"="&amp;$S22,$E$3:$E$32,"&gt;"&amp;$R22)/SUMIF($E$3:$E$32,"&gt;"&amp;$R22,$K$3:$K$32)</f>
        <v>0.38461538461538464</v>
      </c>
      <c r="U22" s="11">
        <f t="shared" si="12"/>
        <v>0.5301967781745115</v>
      </c>
      <c r="W22" s="7" t="s">
        <v>85</v>
      </c>
      <c r="X22" s="47">
        <v>5</v>
      </c>
      <c r="Y22" s="11">
        <f>SUMIF($E$3:$E$32,"&gt;"&amp;X22,$K$3:$K$32)/SUM($K$3:$K$32)</f>
        <v>0.66666666666666663</v>
      </c>
      <c r="Z22" s="11">
        <f>SUMIFS($U$5:$U$130,$R$5:$R$130,"="&amp;X22,$Q$5:$Q$130,"="&amp;W22)</f>
        <v>1.3689955935892815</v>
      </c>
      <c r="AA22" s="11">
        <f>Y22*Z22</f>
        <v>0.91266372905952098</v>
      </c>
      <c r="AC22" s="7" t="s">
        <v>85</v>
      </c>
      <c r="AD22" s="47">
        <v>5</v>
      </c>
      <c r="AE22" s="11">
        <f>SUMIF($E$3:$E$32,"&gt;"&amp;AD22,$K$3:$K$32)/SUM($K$3:$K$32)</f>
        <v>0.66666666666666663</v>
      </c>
      <c r="AF22" s="11">
        <f>IFERROR(-1*AE22*LOG(AE22,2),0)</f>
        <v>0.38997500048077083</v>
      </c>
      <c r="AG22" s="11"/>
      <c r="AH22" s="11"/>
      <c r="AI22" s="11"/>
      <c r="AJ22" s="12"/>
      <c r="AL22" s="10" t="s">
        <v>36</v>
      </c>
      <c r="AM22" s="7" t="s">
        <v>31</v>
      </c>
      <c r="AN22" s="11">
        <f>SUMIFS($K$3:$K$32,$I$3:$I$32,"="&amp;$AM22,$D$3:$D$32,"="&amp;$AL22)/SUMIF($D$3:$D$32,"="&amp;$AL22,$K$3:$K$32)</f>
        <v>0.7142857142857143</v>
      </c>
      <c r="AO22" s="11">
        <f>IFERROR(-1*AN22*LOG(AN22,2),0)</f>
        <v>0.34673344797874411</v>
      </c>
      <c r="AP22" s="11"/>
      <c r="AQ22" s="7" t="s">
        <v>36</v>
      </c>
      <c r="AR22" s="11">
        <f>SUMIF($D$3:$D$32,"="&amp;AQ22,$K$3:$K$32)/SUM($K$3:$K$32)</f>
        <v>0.46666666666666667</v>
      </c>
      <c r="AS22" s="11">
        <f>SUMIF($AL$22:$AL$30,"="&amp;AQ22,$AO$22:$AO$30)</f>
        <v>1.0949143184120975</v>
      </c>
      <c r="AT22" s="11">
        <f>AR22*AS22</f>
        <v>0.51096001525897883</v>
      </c>
      <c r="AU22" s="11"/>
      <c r="AV22" s="7" t="s">
        <v>36</v>
      </c>
      <c r="AW22" s="11">
        <f>SUMIF($D$3:$D$32,"="&amp;AV22,$K$3:$K$32)/SUM($K$3:$K$32)</f>
        <v>0.46666666666666667</v>
      </c>
      <c r="AX22" s="12">
        <f>-1*AW22*LOG(AW22,2)</f>
        <v>0.51311664765709331</v>
      </c>
    </row>
    <row r="23" spans="2:50" x14ac:dyDescent="0.25">
      <c r="B23">
        <v>21</v>
      </c>
      <c r="C23" t="str">
        <f t="shared" si="0"/>
        <v>B</v>
      </c>
      <c r="D23" t="str">
        <f t="shared" si="1"/>
        <v>B</v>
      </c>
      <c r="E23" s="55">
        <v>6.5</v>
      </c>
      <c r="F23" s="52">
        <v>3</v>
      </c>
      <c r="G23" s="52">
        <v>5.8</v>
      </c>
      <c r="H23" s="52">
        <v>2.2000000000000002</v>
      </c>
      <c r="I23" t="s">
        <v>33</v>
      </c>
      <c r="J23">
        <v>3</v>
      </c>
      <c r="K23">
        <v>1</v>
      </c>
      <c r="Q23" s="10" t="s">
        <v>84</v>
      </c>
      <c r="R23" s="47">
        <v>4.9000000000000004</v>
      </c>
      <c r="S23" s="7" t="s">
        <v>31</v>
      </c>
      <c r="T23" s="11">
        <f>SUMIFS($K$3:$K$32,$I$3:$I$32,"="&amp;$S23,$E$3:$E$32,"&lt;="&amp;$R23)/SUMIF($E$3:$E$32,"&lt;="&amp;$R23,$K$3:$K$32)</f>
        <v>0.75</v>
      </c>
      <c r="U23" s="11">
        <f>IFERROR(-1*T23*LOG(T23,2),0)</f>
        <v>0.31127812445913283</v>
      </c>
      <c r="Z23" s="13" t="s">
        <v>13</v>
      </c>
      <c r="AA23" s="11">
        <f>SUM(AA21:AA22)</f>
        <v>1.6763049585517356</v>
      </c>
      <c r="AE23" s="13" t="s">
        <v>13</v>
      </c>
      <c r="AF23" s="11">
        <f>SUM(AF21:AF22)</f>
        <v>0.91829583405448956</v>
      </c>
      <c r="AG23" s="11"/>
      <c r="AH23" s="11"/>
      <c r="AI23" s="11"/>
      <c r="AJ23" s="12"/>
      <c r="AL23" s="10" t="s">
        <v>36</v>
      </c>
      <c r="AM23" s="7" t="s">
        <v>32</v>
      </c>
      <c r="AN23" s="11">
        <f t="shared" ref="AN23:AN30" si="13">SUMIFS($K$3:$K$32,$I$3:$I$32,"="&amp;$AM23,$D$3:$D$32,"="&amp;$AL23)/SUMIF($D$3:$D$32,"="&amp;$AL23,$K$3:$K$32)</f>
        <v>0.21428571428571427</v>
      </c>
      <c r="AO23" s="11">
        <f t="shared" ref="AO23:AO30" si="14">IFERROR(-1*AN23*LOG(AN23,2),0)</f>
        <v>0.47622694742923888</v>
      </c>
      <c r="AP23" s="11"/>
      <c r="AQ23" s="7" t="s">
        <v>37</v>
      </c>
      <c r="AR23" s="11">
        <f>SUMIF($D$3:$D$32,"="&amp;AQ23,$K$3:$K$32)/SUM($K$3:$K$32)</f>
        <v>0.26666666666666666</v>
      </c>
      <c r="AS23" s="11">
        <f>SUMIF($AL$22:$AL$30,"="&amp;AQ23,$AO$22:$AO$30)</f>
        <v>1</v>
      </c>
      <c r="AT23" s="11">
        <f t="shared" ref="AT23:AT24" si="15">AR23*AS23</f>
        <v>0.26666666666666666</v>
      </c>
      <c r="AU23" s="11"/>
      <c r="AV23" s="7" t="s">
        <v>37</v>
      </c>
      <c r="AW23" s="11">
        <f t="shared" ref="AW23:AW24" si="16">SUMIF($D$3:$D$32,"="&amp;AV23,$K$3:$K$32)/SUM($K$3:$K$32)</f>
        <v>0.26666666666666666</v>
      </c>
      <c r="AX23" s="12">
        <f>-1*AW23*LOG(AW23,2)</f>
        <v>0.50850415882893829</v>
      </c>
    </row>
    <row r="24" spans="2:50" x14ac:dyDescent="0.25">
      <c r="B24">
        <v>22</v>
      </c>
      <c r="C24" t="str">
        <f t="shared" si="0"/>
        <v>C</v>
      </c>
      <c r="D24" t="str">
        <f t="shared" si="1"/>
        <v>C</v>
      </c>
      <c r="E24" s="55">
        <v>7.6</v>
      </c>
      <c r="F24" s="52">
        <v>3</v>
      </c>
      <c r="G24" s="52">
        <v>6.6</v>
      </c>
      <c r="H24" s="52">
        <v>2.1</v>
      </c>
      <c r="I24" t="s">
        <v>33</v>
      </c>
      <c r="J24">
        <v>3</v>
      </c>
      <c r="K24">
        <v>1</v>
      </c>
      <c r="Q24" s="10" t="s">
        <v>84</v>
      </c>
      <c r="R24" s="47">
        <v>4.9000000000000004</v>
      </c>
      <c r="S24" s="7" t="s">
        <v>32</v>
      </c>
      <c r="T24" s="11">
        <f>SUMIFS($K$3:$K$32,$I$3:$I$32,"="&amp;$S24,$E$3:$E$32,"&lt;="&amp;$R24)/SUMIF($E$3:$E$32,"&lt;="&amp;$R24,$K$3:$K$32)</f>
        <v>0.125</v>
      </c>
      <c r="U24" s="11">
        <f>IFERROR(-1*T24*LOG(T24,2),0)</f>
        <v>0.375</v>
      </c>
      <c r="Z24" s="13" t="s">
        <v>23</v>
      </c>
      <c r="AA24" s="29">
        <f>$O$7-AA23</f>
        <v>-9.1342457830579482E-2</v>
      </c>
      <c r="AE24" s="13" t="s">
        <v>21</v>
      </c>
      <c r="AF24" s="29">
        <f>IFERROR(AA24/AF23,0)</f>
        <v>-9.9469533066791016E-2</v>
      </c>
      <c r="AG24" s="11"/>
      <c r="AH24" s="11"/>
      <c r="AI24" s="11"/>
      <c r="AJ24" s="12"/>
      <c r="AL24" s="10" t="s">
        <v>36</v>
      </c>
      <c r="AM24" s="7" t="s">
        <v>33</v>
      </c>
      <c r="AN24" s="11">
        <f t="shared" si="13"/>
        <v>7.1428571428571425E-2</v>
      </c>
      <c r="AO24" s="11">
        <f t="shared" si="14"/>
        <v>0.27195392300411458</v>
      </c>
      <c r="AP24" s="11"/>
      <c r="AQ24" s="7" t="s">
        <v>38</v>
      </c>
      <c r="AR24" s="11">
        <f>SUMIF($D$3:$D$32,"="&amp;AQ24,$K$3:$K$32)/SUM($K$3:$K$32)</f>
        <v>0.26666666666666666</v>
      </c>
      <c r="AS24" s="11">
        <f>SUMIF($AL$22:$AL$30,"="&amp;AQ24,$AO$22:$AO$30)</f>
        <v>0.95443400292496494</v>
      </c>
      <c r="AT24" s="11">
        <f t="shared" si="15"/>
        <v>0.25451573411332395</v>
      </c>
      <c r="AU24" s="11"/>
      <c r="AV24" s="7" t="s">
        <v>38</v>
      </c>
      <c r="AW24" s="11">
        <f t="shared" si="16"/>
        <v>0.26666666666666666</v>
      </c>
      <c r="AX24" s="12">
        <f>-1*AW24*LOG(AW24,2)</f>
        <v>0.50850415882893829</v>
      </c>
    </row>
    <row r="25" spans="2:50" x14ac:dyDescent="0.25">
      <c r="B25">
        <v>23</v>
      </c>
      <c r="C25" t="str">
        <f t="shared" si="0"/>
        <v>A</v>
      </c>
      <c r="D25" t="str">
        <f t="shared" si="1"/>
        <v>A</v>
      </c>
      <c r="E25" s="55">
        <v>4.9000000000000004</v>
      </c>
      <c r="F25" s="52">
        <v>2.5</v>
      </c>
      <c r="G25" s="52">
        <v>4.5</v>
      </c>
      <c r="H25" s="52">
        <v>1.7</v>
      </c>
      <c r="I25" t="s">
        <v>33</v>
      </c>
      <c r="J25">
        <v>3</v>
      </c>
      <c r="K25">
        <v>1</v>
      </c>
      <c r="Q25" s="10" t="s">
        <v>84</v>
      </c>
      <c r="R25" s="47">
        <v>4.9000000000000004</v>
      </c>
      <c r="S25" s="7" t="s">
        <v>33</v>
      </c>
      <c r="T25" s="11">
        <f>SUMIFS($K$3:$K$32,$I$3:$I$32,"="&amp;$S25,$E$3:$E$32,"&lt;="&amp;$R25)/SUMIF($E$3:$E$32,"&lt;="&amp;$R25,$K$3:$K$32)</f>
        <v>0.125</v>
      </c>
      <c r="U25" s="11">
        <f>IFERROR(-1*T25*LOG(T25,2),0)</f>
        <v>0.375</v>
      </c>
      <c r="W25" s="7" t="s">
        <v>84</v>
      </c>
      <c r="X25" s="47">
        <v>5.0999999999999996</v>
      </c>
      <c r="Y25" s="11">
        <f>SUMIF($E$3:$E$32,"&lt;="&amp;X25,$K$3:$K$32)/SUM($K$3:$K$32)</f>
        <v>0.36666666666666664</v>
      </c>
      <c r="Z25" s="11">
        <f>SUMIF($R$5:$R$127,"="&amp;X25,$U$5:$U$127)</f>
        <v>2.1106972874291445</v>
      </c>
      <c r="AA25" s="11">
        <f>Y25*Z25</f>
        <v>0.77392233872401961</v>
      </c>
      <c r="AB25" s="11"/>
      <c r="AC25" s="7" t="s">
        <v>84</v>
      </c>
      <c r="AD25" s="47">
        <v>5.0999999999999996</v>
      </c>
      <c r="AE25" s="11">
        <f>SUMIF($E$3:$E$32,"&lt;="&amp;AD25,$K$3:$K$32)/SUM($K$3:$K$32)</f>
        <v>0.36666666666666664</v>
      </c>
      <c r="AF25" s="11">
        <f>IFERROR(-1*AE25*LOG(AE25,2),0)</f>
        <v>0.53073495822278105</v>
      </c>
      <c r="AG25" s="11"/>
      <c r="AH25" s="11"/>
      <c r="AI25" s="11"/>
      <c r="AJ25" s="12"/>
      <c r="AL25" s="10" t="s">
        <v>37</v>
      </c>
      <c r="AM25" s="7" t="s">
        <v>31</v>
      </c>
      <c r="AN25" s="11">
        <f t="shared" si="13"/>
        <v>0</v>
      </c>
      <c r="AO25" s="11">
        <f t="shared" si="14"/>
        <v>0</v>
      </c>
      <c r="AP25" s="11"/>
      <c r="AQ25" s="11"/>
      <c r="AR25" s="11"/>
      <c r="AS25" s="13" t="s">
        <v>13</v>
      </c>
      <c r="AT25" s="11">
        <f>SUM(AT22:AT24)</f>
        <v>1.0321424160389694</v>
      </c>
      <c r="AU25" s="11"/>
      <c r="AV25" s="7"/>
      <c r="AW25" s="13" t="s">
        <v>13</v>
      </c>
      <c r="AX25" s="12">
        <f>SUM(AX22:AX24)</f>
        <v>1.53012496531497</v>
      </c>
    </row>
    <row r="26" spans="2:50" x14ac:dyDescent="0.25">
      <c r="B26">
        <v>24</v>
      </c>
      <c r="C26" t="str">
        <f t="shared" si="0"/>
        <v>C</v>
      </c>
      <c r="D26" t="str">
        <f t="shared" si="1"/>
        <v>C</v>
      </c>
      <c r="E26" s="55">
        <v>7.3</v>
      </c>
      <c r="F26" s="52">
        <v>2.9</v>
      </c>
      <c r="G26" s="52">
        <v>6.3</v>
      </c>
      <c r="H26" s="52">
        <v>1.8</v>
      </c>
      <c r="I26" t="s">
        <v>33</v>
      </c>
      <c r="J26">
        <v>3</v>
      </c>
      <c r="K26">
        <v>1</v>
      </c>
      <c r="Q26" s="10" t="s">
        <v>85</v>
      </c>
      <c r="R26" s="47">
        <v>4.9000000000000004</v>
      </c>
      <c r="S26" s="7" t="s">
        <v>31</v>
      </c>
      <c r="T26" s="11">
        <f>SUMIFS($K$3:$K$32,$I$3:$I$32,"="&amp;$S26,$E$3:$E$32,"&gt;"&amp;$R26)/SUMIF($E$3:$E$32,"&gt;"&amp;$R26,$K$3:$K$32)</f>
        <v>0.18181818181818182</v>
      </c>
      <c r="U26" s="11">
        <f>IFERROR(-1*T26*LOG(T26,2),0)</f>
        <v>0.44716938520678134</v>
      </c>
      <c r="W26" s="7" t="s">
        <v>85</v>
      </c>
      <c r="X26" s="47">
        <v>5.0999999999999996</v>
      </c>
      <c r="Y26" s="11">
        <f>SUMIF($E$3:$E$32,"&gt;"&amp;X26,$K$3:$K$32)/SUM($K$3:$K$32)</f>
        <v>0.6333333333333333</v>
      </c>
      <c r="Z26" s="11">
        <f>SUMIFS($U$5:$U$130,$R$5:$R$130,"="&amp;X26,$Q$5:$Q$130,"="&amp;W26)</f>
        <v>1.2448406699719212</v>
      </c>
      <c r="AA26" s="11">
        <f>Y26*Z26</f>
        <v>0.78839909098221672</v>
      </c>
      <c r="AC26" s="7" t="s">
        <v>85</v>
      </c>
      <c r="AD26" s="47">
        <v>5.0999999999999996</v>
      </c>
      <c r="AE26" s="11">
        <f>SUMIF($E$3:$E$32,"&gt;"&amp;AD26,$K$3:$K$32)/SUM($K$3:$K$32)</f>
        <v>0.6333333333333333</v>
      </c>
      <c r="AF26" s="11">
        <f>IFERROR(-1*AE26*LOG(AE26,2),0)</f>
        <v>0.41734328537112431</v>
      </c>
      <c r="AG26" s="11"/>
      <c r="AH26" s="11"/>
      <c r="AI26" s="11"/>
      <c r="AJ26" s="12"/>
      <c r="AL26" s="10" t="s">
        <v>37</v>
      </c>
      <c r="AM26" s="7" t="s">
        <v>32</v>
      </c>
      <c r="AN26" s="11">
        <f t="shared" si="13"/>
        <v>0.5</v>
      </c>
      <c r="AO26" s="11">
        <f t="shared" si="14"/>
        <v>0.5</v>
      </c>
      <c r="AP26" s="11"/>
      <c r="AQ26" s="11"/>
      <c r="AR26" s="11"/>
      <c r="AS26" s="13" t="s">
        <v>23</v>
      </c>
      <c r="AT26" s="11">
        <f>$O$7-AT25</f>
        <v>0.55282008468218669</v>
      </c>
      <c r="AU26" s="11"/>
      <c r="AV26" s="7"/>
      <c r="AW26" s="13" t="s">
        <v>21</v>
      </c>
      <c r="AX26" s="27">
        <f>AT26/AX25</f>
        <v>0.36129080775333333</v>
      </c>
    </row>
    <row r="27" spans="2:50" x14ac:dyDescent="0.25">
      <c r="B27">
        <v>25</v>
      </c>
      <c r="C27" t="str">
        <f t="shared" si="0"/>
        <v>C</v>
      </c>
      <c r="D27" t="str">
        <f t="shared" si="1"/>
        <v>C</v>
      </c>
      <c r="E27" s="55">
        <v>6.7</v>
      </c>
      <c r="F27" s="52">
        <v>2.5</v>
      </c>
      <c r="G27" s="52">
        <v>5.8</v>
      </c>
      <c r="H27" s="52">
        <v>1.8</v>
      </c>
      <c r="I27" t="s">
        <v>33</v>
      </c>
      <c r="J27">
        <v>3</v>
      </c>
      <c r="K27">
        <v>1</v>
      </c>
      <c r="Q27" s="10" t="s">
        <v>85</v>
      </c>
      <c r="R27" s="47">
        <v>4.9000000000000004</v>
      </c>
      <c r="S27" s="7" t="s">
        <v>32</v>
      </c>
      <c r="T27" s="11">
        <f>SUMIFS($K$3:$K$32,$I$3:$I$32,"="&amp;$S27,$E$3:$E$32,"&gt;"&amp;$R27)/SUMIF($E$3:$E$32,"&gt;"&amp;$R27,$K$3:$K$32)</f>
        <v>0.40909090909090912</v>
      </c>
      <c r="U27" s="11">
        <f t="shared" ref="U27:U28" si="17">IFERROR(-1*T27*LOG(T27,2),0)</f>
        <v>0.52752543430703924</v>
      </c>
      <c r="Z27" s="13" t="s">
        <v>13</v>
      </c>
      <c r="AA27" s="11">
        <f>SUM(AA25:AA26)</f>
        <v>1.5623214297062362</v>
      </c>
      <c r="AE27" s="13" t="s">
        <v>13</v>
      </c>
      <c r="AF27" s="11">
        <f>SUM(AF25:AF26)</f>
        <v>0.94807824359390536</v>
      </c>
      <c r="AG27" s="11"/>
      <c r="AH27" s="11"/>
      <c r="AI27" s="11"/>
      <c r="AJ27" s="12"/>
      <c r="AL27" s="10" t="s">
        <v>37</v>
      </c>
      <c r="AM27" s="7" t="s">
        <v>33</v>
      </c>
      <c r="AN27" s="11">
        <f t="shared" si="13"/>
        <v>0.5</v>
      </c>
      <c r="AO27" s="11">
        <f t="shared" si="14"/>
        <v>0.5</v>
      </c>
      <c r="AP27" s="11"/>
      <c r="AQ27" s="11"/>
      <c r="AR27" s="11"/>
      <c r="AS27" s="11"/>
      <c r="AT27" s="11"/>
      <c r="AU27" s="11"/>
      <c r="AV27" s="7"/>
      <c r="AW27" s="11"/>
      <c r="AX27" s="12"/>
    </row>
    <row r="28" spans="2:50" x14ac:dyDescent="0.25">
      <c r="B28">
        <v>26</v>
      </c>
      <c r="C28" t="str">
        <f t="shared" si="0"/>
        <v>C</v>
      </c>
      <c r="D28" t="str">
        <f t="shared" si="1"/>
        <v>C</v>
      </c>
      <c r="E28" s="55">
        <v>7.2</v>
      </c>
      <c r="F28" s="52">
        <v>3.6</v>
      </c>
      <c r="G28" s="52">
        <v>6.1</v>
      </c>
      <c r="H28" s="52">
        <v>2.5</v>
      </c>
      <c r="I28" t="s">
        <v>33</v>
      </c>
      <c r="J28">
        <v>3</v>
      </c>
      <c r="K28">
        <v>1</v>
      </c>
      <c r="Q28" s="10" t="s">
        <v>85</v>
      </c>
      <c r="R28" s="47">
        <v>4.9000000000000004</v>
      </c>
      <c r="S28" s="7" t="s">
        <v>33</v>
      </c>
      <c r="T28" s="11">
        <f>SUMIFS($K$3:$K$32,$I$3:$I$32,"="&amp;$S28,$E$3:$E$32,"&gt;"&amp;$R28)/SUMIF($E$3:$E$32,"&gt;"&amp;$R28,$K$3:$K$32)</f>
        <v>0.40909090909090912</v>
      </c>
      <c r="U28" s="11">
        <f t="shared" si="17"/>
        <v>0.52752543430703924</v>
      </c>
      <c r="Z28" s="13" t="s">
        <v>23</v>
      </c>
      <c r="AA28" s="29">
        <f>$O$7-AA27</f>
        <v>2.2641071014919856E-2</v>
      </c>
      <c r="AE28" s="13" t="s">
        <v>21</v>
      </c>
      <c r="AF28" s="29">
        <f>IFERROR(AA28/AF27,0)</f>
        <v>2.3881015272635881E-2</v>
      </c>
      <c r="AG28" s="11"/>
      <c r="AH28" s="11"/>
      <c r="AI28" s="11"/>
      <c r="AJ28" s="12"/>
      <c r="AL28" s="10" t="s">
        <v>38</v>
      </c>
      <c r="AM28" s="7" t="s">
        <v>31</v>
      </c>
      <c r="AN28" s="11">
        <f t="shared" si="13"/>
        <v>0</v>
      </c>
      <c r="AO28" s="11">
        <f t="shared" si="14"/>
        <v>0</v>
      </c>
      <c r="AP28" s="11"/>
      <c r="AQ28" s="11"/>
      <c r="AR28" s="11"/>
      <c r="AS28" s="11"/>
      <c r="AT28" s="11"/>
      <c r="AU28" s="11"/>
      <c r="AV28" s="7"/>
      <c r="AW28" s="11"/>
      <c r="AX28" s="12"/>
    </row>
    <row r="29" spans="2:50" x14ac:dyDescent="0.25">
      <c r="B29">
        <v>27</v>
      </c>
      <c r="C29" t="str">
        <f t="shared" si="0"/>
        <v>B</v>
      </c>
      <c r="D29" t="str">
        <f t="shared" si="1"/>
        <v>B</v>
      </c>
      <c r="E29" s="55">
        <v>6.5</v>
      </c>
      <c r="F29" s="52">
        <v>3.2</v>
      </c>
      <c r="G29" s="52">
        <v>5.0999999999999996</v>
      </c>
      <c r="H29" s="52">
        <v>2</v>
      </c>
      <c r="I29" t="s">
        <v>33</v>
      </c>
      <c r="J29">
        <v>3</v>
      </c>
      <c r="K29">
        <v>1</v>
      </c>
      <c r="Q29" s="10" t="s">
        <v>84</v>
      </c>
      <c r="R29" s="47">
        <v>5</v>
      </c>
      <c r="S29" s="7" t="s">
        <v>31</v>
      </c>
      <c r="T29" s="11">
        <f>SUMIFS($K$3:$K$32,$I$3:$I$32,"="&amp;$S29,$E$3:$E$32,"&lt;="&amp;$R29)/SUMIF($E$3:$E$32,"&lt;="&amp;$R29,$K$3:$K$32)</f>
        <v>0.8</v>
      </c>
      <c r="U29" s="11">
        <f>IFERROR(-1*T29*LOG(T29,2),0)</f>
        <v>0.25754247590988982</v>
      </c>
      <c r="W29" s="7" t="s">
        <v>84</v>
      </c>
      <c r="X29" s="47">
        <v>5.2</v>
      </c>
      <c r="Y29" s="11">
        <f>SUMIF($E$3:$E$32,"&lt;="&amp;X29,$K$3:$K$32)/SUM($K$3:$K$32)</f>
        <v>0.4</v>
      </c>
      <c r="Z29" s="11">
        <f>SUMIF($R$5:$R$127,"="&amp;X29,$U$5:$U$127)</f>
        <v>2.292481250360578</v>
      </c>
      <c r="AA29" s="11">
        <f>Y29*Z29</f>
        <v>0.91699250014423128</v>
      </c>
      <c r="AB29" s="11"/>
      <c r="AC29" s="7" t="s">
        <v>84</v>
      </c>
      <c r="AD29" s="47">
        <v>5.2</v>
      </c>
      <c r="AE29" s="11">
        <f>SUMIF($E$3:$E$32,"&lt;="&amp;AD29,$K$3:$K$32)/SUM($K$3:$K$32)</f>
        <v>0.4</v>
      </c>
      <c r="AF29" s="11">
        <f>IFERROR(-1*AE29*LOG(AE29,2),0)</f>
        <v>0.52877123795494485</v>
      </c>
      <c r="AG29" s="11"/>
      <c r="AH29" s="11"/>
      <c r="AI29" s="11"/>
      <c r="AJ29" s="12"/>
      <c r="AL29" s="10" t="s">
        <v>38</v>
      </c>
      <c r="AM29" s="7" t="s">
        <v>32</v>
      </c>
      <c r="AN29" s="11">
        <f t="shared" si="13"/>
        <v>0.375</v>
      </c>
      <c r="AO29" s="11">
        <f t="shared" si="14"/>
        <v>0.53063906222956636</v>
      </c>
      <c r="AP29" s="11"/>
      <c r="AQ29" s="11"/>
      <c r="AR29" s="11"/>
      <c r="AS29" s="11"/>
      <c r="AT29" s="11"/>
      <c r="AU29" s="11"/>
      <c r="AV29" s="7"/>
      <c r="AW29" s="11"/>
      <c r="AX29" s="12"/>
    </row>
    <row r="30" spans="2:50" x14ac:dyDescent="0.25">
      <c r="B30">
        <v>28</v>
      </c>
      <c r="C30" t="str">
        <f t="shared" si="0"/>
        <v>B</v>
      </c>
      <c r="D30" t="str">
        <f t="shared" si="1"/>
        <v>B</v>
      </c>
      <c r="E30" s="55">
        <v>6.4</v>
      </c>
      <c r="F30" s="52">
        <v>2.7</v>
      </c>
      <c r="G30" s="52">
        <v>5.3</v>
      </c>
      <c r="H30" s="52">
        <v>1.9</v>
      </c>
      <c r="I30" t="s">
        <v>33</v>
      </c>
      <c r="J30">
        <v>3</v>
      </c>
      <c r="K30">
        <v>1</v>
      </c>
      <c r="Q30" s="10" t="s">
        <v>84</v>
      </c>
      <c r="R30" s="47">
        <v>5</v>
      </c>
      <c r="S30" s="7" t="s">
        <v>32</v>
      </c>
      <c r="T30" s="11">
        <f>SUMIFS($K$3:$K$32,$I$3:$I$32,"="&amp;$S30,$E$3:$E$32,"&lt;="&amp;$R30)/SUMIF($E$3:$E$32,"&lt;="&amp;$R30,$K$3:$K$32)</f>
        <v>0.1</v>
      </c>
      <c r="U30" s="11">
        <f>IFERROR(-1*T30*LOG(T30,2),0)</f>
        <v>0.33219280948873625</v>
      </c>
      <c r="W30" s="7" t="s">
        <v>85</v>
      </c>
      <c r="X30" s="47">
        <v>5.2</v>
      </c>
      <c r="Y30" s="11">
        <f>SUMIF($E$3:$E$32,"&gt;"&amp;X30,$K$3:$K$32)/SUM($K$3:$K$32)</f>
        <v>0.6</v>
      </c>
      <c r="Z30" s="11">
        <f>SUMIFS($U$5:$U$130,$R$5:$R$130,"="&amp;X30,$Q$5:$Q$130,"="&amp;W30)</f>
        <v>1.2516291673878228</v>
      </c>
      <c r="AA30" s="11">
        <f>Y30*Z30</f>
        <v>0.75097750043269362</v>
      </c>
      <c r="AC30" s="7" t="s">
        <v>85</v>
      </c>
      <c r="AD30" s="47">
        <v>5.2</v>
      </c>
      <c r="AE30" s="11">
        <f>SUMIF($E$3:$E$32,"&gt;"&amp;AD30,$K$3:$K$32)/SUM($K$3:$K$32)</f>
        <v>0.6</v>
      </c>
      <c r="AF30" s="11">
        <f>IFERROR(-1*AE30*LOG(AE30,2),0)</f>
        <v>0.44217935649972373</v>
      </c>
      <c r="AG30" s="11"/>
      <c r="AH30" s="11"/>
      <c r="AI30" s="11"/>
      <c r="AJ30" s="12"/>
      <c r="AL30" s="10" t="s">
        <v>38</v>
      </c>
      <c r="AM30" s="7" t="s">
        <v>33</v>
      </c>
      <c r="AN30" s="11">
        <f t="shared" si="13"/>
        <v>0.625</v>
      </c>
      <c r="AO30" s="11">
        <f t="shared" si="14"/>
        <v>0.42379494069539858</v>
      </c>
      <c r="AP30" s="11"/>
      <c r="AQ30" s="11"/>
      <c r="AR30" s="11"/>
      <c r="AS30" s="11"/>
      <c r="AT30" s="11"/>
      <c r="AU30" s="11"/>
      <c r="AV30" s="7"/>
      <c r="AW30" s="11"/>
      <c r="AX30" s="12"/>
    </row>
    <row r="31" spans="2:50" x14ac:dyDescent="0.25">
      <c r="B31">
        <v>29</v>
      </c>
      <c r="C31" t="str">
        <f t="shared" si="0"/>
        <v>C</v>
      </c>
      <c r="D31" t="str">
        <f t="shared" si="1"/>
        <v>C</v>
      </c>
      <c r="E31" s="55">
        <v>6.8</v>
      </c>
      <c r="F31" s="52">
        <v>3</v>
      </c>
      <c r="G31" s="52">
        <v>5.5</v>
      </c>
      <c r="H31" s="52">
        <v>2.1</v>
      </c>
      <c r="I31" t="s">
        <v>33</v>
      </c>
      <c r="J31">
        <v>3</v>
      </c>
      <c r="K31">
        <v>1</v>
      </c>
      <c r="Q31" s="10" t="s">
        <v>84</v>
      </c>
      <c r="R31" s="47">
        <v>5</v>
      </c>
      <c r="S31" s="7" t="s">
        <v>33</v>
      </c>
      <c r="T31" s="11">
        <f>SUMIFS($K$3:$K$32,$I$3:$I$32,"="&amp;$S31,$E$3:$E$32,"&lt;="&amp;$R31)/SUMIF($E$3:$E$32,"&lt;="&amp;$R31,$K$3:$K$32)</f>
        <v>0.1</v>
      </c>
      <c r="U31" s="11">
        <f>IFERROR(-1*T31*LOG(T31,2),0)</f>
        <v>0.33219280948873625</v>
      </c>
      <c r="Z31" s="13" t="s">
        <v>13</v>
      </c>
      <c r="AA31" s="11">
        <f>SUM(AA29:AA30)</f>
        <v>1.6679700005769249</v>
      </c>
      <c r="AE31" s="13" t="s">
        <v>13</v>
      </c>
      <c r="AF31" s="11">
        <f>SUM(AF29:AF30)</f>
        <v>0.97095059445466858</v>
      </c>
      <c r="AG31" s="11"/>
      <c r="AH31" s="11"/>
      <c r="AI31" s="11"/>
      <c r="AJ31" s="12"/>
      <c r="AL31" s="10"/>
      <c r="AM31" s="7"/>
      <c r="AN31" s="7"/>
      <c r="AO31" s="13"/>
      <c r="AP31" s="13"/>
      <c r="AQ31" s="13"/>
      <c r="AR31" s="13"/>
      <c r="AS31" s="13"/>
      <c r="AT31" s="11"/>
      <c r="AU31" s="11"/>
      <c r="AV31" s="7"/>
      <c r="AW31" s="11"/>
      <c r="AX31" s="12"/>
    </row>
    <row r="32" spans="2:50" x14ac:dyDescent="0.25">
      <c r="B32">
        <v>30</v>
      </c>
      <c r="C32" t="str">
        <f t="shared" si="0"/>
        <v>B</v>
      </c>
      <c r="D32" t="str">
        <f t="shared" si="1"/>
        <v>B</v>
      </c>
      <c r="E32" s="55">
        <v>5.7</v>
      </c>
      <c r="F32" s="52">
        <v>2.5</v>
      </c>
      <c r="G32" s="52">
        <v>5</v>
      </c>
      <c r="H32" s="52">
        <v>2</v>
      </c>
      <c r="I32" t="s">
        <v>33</v>
      </c>
      <c r="J32">
        <v>3</v>
      </c>
      <c r="K32">
        <v>1</v>
      </c>
      <c r="Q32" s="10" t="s">
        <v>85</v>
      </c>
      <c r="R32" s="47">
        <v>5</v>
      </c>
      <c r="S32" s="7" t="s">
        <v>31</v>
      </c>
      <c r="T32" s="11">
        <f>SUMIFS($K$3:$K$32,$I$3:$I$32,"="&amp;$S32,$E$3:$E$32,"&gt;"&amp;$R32)/SUMIF($E$3:$E$32,"&gt;"&amp;$R32,$K$3:$K$32)</f>
        <v>0.1</v>
      </c>
      <c r="U32" s="11">
        <f>IFERROR(-1*T32*LOG(T32,2),0)</f>
        <v>0.33219280948873625</v>
      </c>
      <c r="Z32" s="13" t="s">
        <v>23</v>
      </c>
      <c r="AA32" s="29">
        <f>$O$7-AA31</f>
        <v>-8.3007499855768829E-2</v>
      </c>
      <c r="AE32" s="13" t="s">
        <v>21</v>
      </c>
      <c r="AF32" s="29">
        <f>IFERROR(AA32/AF31,0)</f>
        <v>-8.5490961465850626E-2</v>
      </c>
      <c r="AG32" s="11"/>
      <c r="AH32" s="11"/>
      <c r="AI32" s="11"/>
      <c r="AJ32" s="12"/>
      <c r="AL32" s="14"/>
      <c r="AM32" s="15"/>
      <c r="AN32" s="15"/>
      <c r="AO32" s="16"/>
      <c r="AP32" s="16"/>
      <c r="AQ32" s="16"/>
      <c r="AR32" s="16"/>
      <c r="AS32" s="16"/>
      <c r="AT32" s="17"/>
      <c r="AU32" s="17"/>
      <c r="AV32" s="15"/>
      <c r="AW32" s="17"/>
      <c r="AX32" s="18"/>
    </row>
    <row r="33" spans="2:36" x14ac:dyDescent="0.25">
      <c r="Q33" s="10" t="s">
        <v>85</v>
      </c>
      <c r="R33" s="47">
        <v>5</v>
      </c>
      <c r="S33" s="7" t="s">
        <v>32</v>
      </c>
      <c r="T33" s="11">
        <f>SUMIFS($K$3:$K$32,$I$3:$I$32,"="&amp;$S33,$E$3:$E$32,"&gt;"&amp;$R33)/SUMIF($E$3:$E$32,"&gt;"&amp;$R33,$K$3:$K$32)</f>
        <v>0.45</v>
      </c>
      <c r="U33" s="11">
        <f t="shared" ref="U33:U34" si="18">IFERROR(-1*T33*LOG(T33,2),0)</f>
        <v>0.51840139205027258</v>
      </c>
      <c r="W33" s="7" t="s">
        <v>84</v>
      </c>
      <c r="X33" s="47">
        <v>5.4</v>
      </c>
      <c r="Y33" s="11">
        <f>SUMIF($E$3:$E$32,"&lt;="&amp;X33,$K$3:$K$32)/SUM($K$3:$K$32)</f>
        <v>0.43333333333333335</v>
      </c>
      <c r="Z33" s="11">
        <f>SUMIF($R$5:$R$127,"="&amp;X33,$U$5:$U$127)</f>
        <v>1.9887668069045441</v>
      </c>
      <c r="AA33" s="11">
        <f>Y33*Z33</f>
        <v>0.86179894965863579</v>
      </c>
      <c r="AB33" s="11"/>
      <c r="AC33" s="7" t="s">
        <v>84</v>
      </c>
      <c r="AD33" s="47">
        <v>5.4</v>
      </c>
      <c r="AE33" s="11">
        <f>SUMIF($E$3:$E$32,"&lt;="&amp;AD33,$K$3:$K$32)/SUM($K$3:$K$32)</f>
        <v>0.43333333333333335</v>
      </c>
      <c r="AF33" s="11">
        <f>IFERROR(-1*AE33*LOG(AE33,2),0)</f>
        <v>0.52279538023588479</v>
      </c>
      <c r="AG33" s="11"/>
      <c r="AH33" s="11"/>
      <c r="AI33" s="11"/>
      <c r="AJ33" s="12"/>
    </row>
    <row r="34" spans="2:36" x14ac:dyDescent="0.25">
      <c r="Q34" s="10" t="s">
        <v>85</v>
      </c>
      <c r="R34" s="47">
        <v>5</v>
      </c>
      <c r="S34" s="7" t="s">
        <v>33</v>
      </c>
      <c r="T34" s="11">
        <f>SUMIFS($K$3:$K$32,$I$3:$I$32,"="&amp;$S34,$E$3:$E$32,"&gt;"&amp;$R34)/SUMIF($E$3:$E$32,"&gt;"&amp;$R34,$K$3:$K$32)</f>
        <v>0.45</v>
      </c>
      <c r="U34" s="11">
        <f t="shared" si="18"/>
        <v>0.51840139205027258</v>
      </c>
      <c r="W34" s="7" t="s">
        <v>85</v>
      </c>
      <c r="X34" s="47">
        <v>5.4</v>
      </c>
      <c r="Y34" s="11">
        <f>SUMIF($E$3:$E$32,"&gt;"&amp;X34,$K$3:$K$32)/SUM($K$3:$K$32)</f>
        <v>0.56666666666666665</v>
      </c>
      <c r="Z34" s="11">
        <f>SUMIFS($U$5:$U$130,$R$5:$R$130,"="&amp;X34,$Q$5:$Q$130,"="&amp;W34)</f>
        <v>0.99750254636911528</v>
      </c>
      <c r="AA34" s="11">
        <f>Y34*Z34</f>
        <v>0.56525144294249863</v>
      </c>
      <c r="AC34" s="7" t="s">
        <v>85</v>
      </c>
      <c r="AD34" s="47">
        <v>5.4</v>
      </c>
      <c r="AE34" s="11">
        <f>SUMIF($E$3:$E$32,"&gt;"&amp;AD34,$K$3:$K$32)/SUM($K$3:$K$32)</f>
        <v>0.56666666666666665</v>
      </c>
      <c r="AF34" s="11">
        <f>IFERROR(-1*AE34*LOG(AE34,2),0)</f>
        <v>0.46434239413630152</v>
      </c>
      <c r="AG34" s="11"/>
      <c r="AH34" s="11"/>
      <c r="AI34" s="11"/>
      <c r="AJ34" s="12"/>
    </row>
    <row r="35" spans="2:36" ht="15" customHeight="1" x14ac:dyDescent="0.25">
      <c r="B35" s="39" t="s">
        <v>91</v>
      </c>
      <c r="C35" s="39"/>
      <c r="D35" s="39"/>
      <c r="E35" s="39"/>
      <c r="Q35" s="10" t="s">
        <v>84</v>
      </c>
      <c r="R35" s="47">
        <v>5.0999999999999996</v>
      </c>
      <c r="S35" s="7" t="s">
        <v>31</v>
      </c>
      <c r="T35" s="11">
        <f>SUMIFS($K$3:$K$32,$I$3:$I$32,"="&amp;$S35,$E$3:$E$32,"&lt;="&amp;$R35)/SUMIF($E$3:$E$32,"&lt;="&amp;$R35,$K$3:$K$32)</f>
        <v>0.81818181818181823</v>
      </c>
      <c r="U35" s="11">
        <f>IFERROR(-1*T35*LOG(T35,2),0)</f>
        <v>0.23686905043226034</v>
      </c>
      <c r="Z35" s="13" t="s">
        <v>13</v>
      </c>
      <c r="AA35" s="11">
        <f>SUM(AA33:AA34)</f>
        <v>1.4270503926011344</v>
      </c>
      <c r="AE35" s="13" t="s">
        <v>13</v>
      </c>
      <c r="AF35" s="11">
        <f>SUM(AF33:AF34)</f>
        <v>0.98713777437218631</v>
      </c>
      <c r="AG35" s="11"/>
      <c r="AH35" s="11"/>
      <c r="AI35" s="11"/>
      <c r="AJ35" s="12"/>
    </row>
    <row r="36" spans="2:36" x14ac:dyDescent="0.25">
      <c r="B36" s="40"/>
      <c r="C36" s="40"/>
      <c r="D36" s="40"/>
      <c r="E36" s="40"/>
      <c r="Q36" s="10" t="s">
        <v>84</v>
      </c>
      <c r="R36" s="47">
        <v>5.0999999999999996</v>
      </c>
      <c r="S36" s="7" t="s">
        <v>32</v>
      </c>
      <c r="T36" s="11">
        <f>SUMIFS($K$3:$K$32,$I$3:$I$32,"="&amp;$S36,$E$3:$E$32,"&lt;="&amp;$R36)/SUMIF($E$3:$E$32,"&lt;="&amp;$R36,$K$3:$K$32)</f>
        <v>9.0909090909090912E-2</v>
      </c>
      <c r="U36" s="11">
        <f>IFERROR(-1*T36*LOG(T36,2),0)</f>
        <v>0.31449378351248164</v>
      </c>
      <c r="Z36" s="13" t="s">
        <v>23</v>
      </c>
      <c r="AA36" s="29">
        <f>$O$7-AA35</f>
        <v>0.15791210812002165</v>
      </c>
      <c r="AE36" s="13" t="s">
        <v>21</v>
      </c>
      <c r="AF36" s="29">
        <f>IFERROR(AA36/AF35,0)</f>
        <v>0.15996967416271027</v>
      </c>
      <c r="AG36" s="11"/>
      <c r="AH36" s="11"/>
      <c r="AI36" s="11"/>
      <c r="AJ36" s="12"/>
    </row>
    <row r="37" spans="2:36" x14ac:dyDescent="0.25">
      <c r="B37" s="40"/>
      <c r="C37" s="40"/>
      <c r="D37" s="40"/>
      <c r="E37" s="40"/>
      <c r="H37">
        <f>F39</f>
        <v>5.2750000000000004</v>
      </c>
      <c r="I37">
        <v>0</v>
      </c>
      <c r="Q37" s="10" t="s">
        <v>84</v>
      </c>
      <c r="R37" s="47">
        <v>5.0999999999999996</v>
      </c>
      <c r="S37" s="7" t="s">
        <v>33</v>
      </c>
      <c r="T37" s="11">
        <f>SUMIFS($K$3:$K$32,$I$3:$I$32,"="&amp;$S37,$E$3:$E$32,"&lt;="&amp;$R37)/SUMIF($E$3:$E$32,"&lt;="&amp;$R37,$K$3:$K$32)</f>
        <v>9.0909090909090912E-2</v>
      </c>
      <c r="U37" s="11">
        <f>IFERROR(-1*T37*LOG(T37,2),0)</f>
        <v>0.31449378351248164</v>
      </c>
      <c r="W37" s="7" t="s">
        <v>84</v>
      </c>
      <c r="X37" s="47">
        <v>5.5</v>
      </c>
      <c r="Y37" s="11">
        <f>SUMIF($E$3:$E$32,"&lt;="&amp;X37,$K$3:$K$32)/SUM($K$3:$K$32)</f>
        <v>0.46666666666666667</v>
      </c>
      <c r="Z37" s="11">
        <f>SUMIF($R$5:$R$127,"="&amp;X37,$U$5:$U$127)</f>
        <v>2.083613726700595</v>
      </c>
      <c r="AA37" s="11">
        <f>Y37*Z37</f>
        <v>0.97235307246027769</v>
      </c>
      <c r="AB37" s="11"/>
      <c r="AC37" s="7" t="s">
        <v>84</v>
      </c>
      <c r="AD37" s="47">
        <v>5.5</v>
      </c>
      <c r="AE37" s="11">
        <f>SUMIF($E$3:$E$32,"&lt;="&amp;AD37,$K$3:$K$32)/SUM($K$3:$K$32)</f>
        <v>0.46666666666666667</v>
      </c>
      <c r="AF37" s="11">
        <f>IFERROR(-1*AE37*LOG(AE37,2),0)</f>
        <v>0.51311664765709331</v>
      </c>
      <c r="AG37" s="11"/>
      <c r="AH37" s="11"/>
      <c r="AI37" s="11"/>
      <c r="AJ37" s="12"/>
    </row>
    <row r="38" spans="2:36" x14ac:dyDescent="0.25">
      <c r="B38" s="40"/>
      <c r="C38" s="40"/>
      <c r="D38" s="40"/>
      <c r="E38" s="40"/>
      <c r="F38" t="s">
        <v>43</v>
      </c>
      <c r="G38" s="24"/>
      <c r="H38">
        <f>F39</f>
        <v>5.2750000000000004</v>
      </c>
      <c r="I38">
        <v>3.5</v>
      </c>
      <c r="Q38" s="10" t="s">
        <v>85</v>
      </c>
      <c r="R38" s="47">
        <v>5.0999999999999996</v>
      </c>
      <c r="S38" s="7" t="s">
        <v>31</v>
      </c>
      <c r="T38" s="11">
        <f>SUMIFS($K$3:$K$32,$I$3:$I$32,"="&amp;$S38,$E$3:$E$32,"&gt;"&amp;$R38)/SUMIF($E$3:$E$32,"&gt;"&amp;$R38,$K$3:$K$32)</f>
        <v>5.2631578947368418E-2</v>
      </c>
      <c r="U38" s="11">
        <f>IFERROR(-1*T38*LOG(T38,2),0)</f>
        <v>0.22357513228650452</v>
      </c>
      <c r="W38" s="7" t="s">
        <v>85</v>
      </c>
      <c r="X38" s="47">
        <v>5.5</v>
      </c>
      <c r="Y38" s="11">
        <f>SUMIF($E$3:$E$32,"&gt;"&amp;X38,$K$3:$K$32)/SUM($K$3:$K$32)</f>
        <v>0.53333333333333333</v>
      </c>
      <c r="Z38" s="11">
        <f>SUMIFS($U$5:$U$130,$R$5:$R$130,"="&amp;X38,$Q$5:$Q$130,"="&amp;W38)</f>
        <v>0.98869940828849745</v>
      </c>
      <c r="AA38" s="11">
        <f>Y38*Z38</f>
        <v>0.52730635108719859</v>
      </c>
      <c r="AC38" s="7" t="s">
        <v>85</v>
      </c>
      <c r="AD38" s="47">
        <v>5.5</v>
      </c>
      <c r="AE38" s="11">
        <f>SUMIF($E$3:$E$32,"&gt;"&amp;AD38,$K$3:$K$32)/SUM($K$3:$K$32)</f>
        <v>0.53333333333333333</v>
      </c>
      <c r="AF38" s="11">
        <f>IFERROR(-1*AE38*LOG(AE38,2),0)</f>
        <v>0.48367498432454331</v>
      </c>
      <c r="AG38" s="11"/>
      <c r="AH38" s="11"/>
      <c r="AI38" s="11"/>
      <c r="AJ38" s="12"/>
    </row>
    <row r="39" spans="2:36" x14ac:dyDescent="0.25">
      <c r="B39" s="40"/>
      <c r="C39" s="40"/>
      <c r="D39" s="40"/>
      <c r="E39" s="40"/>
      <c r="F39">
        <v>5.2750000000000004</v>
      </c>
      <c r="H39">
        <f>F40</f>
        <v>6.75</v>
      </c>
      <c r="I39">
        <v>0</v>
      </c>
      <c r="Q39" s="10" t="s">
        <v>85</v>
      </c>
      <c r="R39" s="47">
        <v>5.0999999999999996</v>
      </c>
      <c r="S39" s="7" t="s">
        <v>32</v>
      </c>
      <c r="T39" s="11">
        <f>SUMIFS($K$3:$K$32,$I$3:$I$32,"="&amp;$S39,$E$3:$E$32,"&gt;"&amp;$R39)/SUMIF($E$3:$E$32,"&gt;"&amp;$R39,$K$3:$K$32)</f>
        <v>0.47368421052631576</v>
      </c>
      <c r="U39" s="11">
        <f t="shared" ref="U39:U40" si="19">IFERROR(-1*T39*LOG(T39,2),0)</f>
        <v>0.51063276884270836</v>
      </c>
      <c r="Z39" s="13" t="s">
        <v>13</v>
      </c>
      <c r="AA39" s="11">
        <f>SUM(AA37:AA38)</f>
        <v>1.4996594235474763</v>
      </c>
      <c r="AE39" s="13" t="s">
        <v>13</v>
      </c>
      <c r="AF39" s="11">
        <f>SUM(AF37:AF38)</f>
        <v>0.99679163198163656</v>
      </c>
      <c r="AG39" s="11"/>
      <c r="AH39" s="11"/>
      <c r="AI39" s="11"/>
      <c r="AJ39" s="12"/>
    </row>
    <row r="40" spans="2:36" x14ac:dyDescent="0.25">
      <c r="B40" s="40"/>
      <c r="C40" s="40"/>
      <c r="D40" s="40"/>
      <c r="E40" s="40"/>
      <c r="F40" s="2">
        <v>6.75</v>
      </c>
      <c r="H40">
        <f>F40</f>
        <v>6.75</v>
      </c>
      <c r="I40">
        <v>3.5</v>
      </c>
      <c r="Q40" s="10" t="s">
        <v>85</v>
      </c>
      <c r="R40" s="47">
        <v>5.0999999999999996</v>
      </c>
      <c r="S40" s="7" t="s">
        <v>33</v>
      </c>
      <c r="T40" s="11">
        <f>SUMIFS($K$3:$K$32,$I$3:$I$32,"="&amp;$S40,$E$3:$E$32,"&gt;"&amp;$R40)/SUMIF($E$3:$E$32,"&gt;"&amp;$R40,$K$3:$K$32)</f>
        <v>0.47368421052631576</v>
      </c>
      <c r="U40" s="11">
        <f t="shared" si="19"/>
        <v>0.51063276884270836</v>
      </c>
      <c r="Z40" s="13" t="s">
        <v>23</v>
      </c>
      <c r="AA40" s="29">
        <f>$O$7-AA39</f>
        <v>8.5303077173679798E-2</v>
      </c>
      <c r="AE40" s="13" t="s">
        <v>21</v>
      </c>
      <c r="AF40" s="29">
        <f>IFERROR(AA40/AF39,0)</f>
        <v>8.5577641742533503E-2</v>
      </c>
      <c r="AG40" s="11"/>
      <c r="AH40" s="11"/>
      <c r="AI40" s="11"/>
      <c r="AJ40" s="12"/>
    </row>
    <row r="41" spans="2:36" x14ac:dyDescent="0.25">
      <c r="B41" s="40"/>
      <c r="C41" s="40"/>
      <c r="D41" s="40"/>
      <c r="E41" s="40"/>
      <c r="F41" s="56">
        <f>$AX$9</f>
        <v>0.38880462173552655</v>
      </c>
      <c r="H41" s="2">
        <f>F43</f>
        <v>5.5330770000000005</v>
      </c>
      <c r="I41">
        <v>0</v>
      </c>
      <c r="Q41" s="10" t="s">
        <v>84</v>
      </c>
      <c r="R41" s="47">
        <v>5.2</v>
      </c>
      <c r="S41" s="7" t="s">
        <v>31</v>
      </c>
      <c r="T41" s="11">
        <f>SUMIFS($K$3:$K$32,$I$3:$I$32,"="&amp;$S41,$E$3:$E$32,"&lt;="&amp;$R41)/SUMIF($E$3:$E$32,"&lt;="&amp;$R41,$K$3:$K$32)</f>
        <v>0.75</v>
      </c>
      <c r="U41" s="11">
        <f>IFERROR(-1*T41*LOG(T41,2),0)</f>
        <v>0.31127812445913283</v>
      </c>
      <c r="W41" s="7" t="s">
        <v>84</v>
      </c>
      <c r="X41" s="47">
        <v>5.7</v>
      </c>
      <c r="Y41" s="11">
        <f>SUMIF($E$3:$E$32,"&lt;="&amp;X41,$K$3:$K$32)/SUM($K$3:$K$32)</f>
        <v>0.53333333333333333</v>
      </c>
      <c r="Z41" s="11">
        <f>SUMIF($R$5:$R$127,"="&amp;X41,$U$5:$U$127)</f>
        <v>2.2840230767296501</v>
      </c>
      <c r="AA41" s="11">
        <f>Y41*Z41</f>
        <v>1.21814564092248</v>
      </c>
      <c r="AB41" s="11"/>
      <c r="AC41" s="7" t="s">
        <v>84</v>
      </c>
      <c r="AD41" s="47">
        <v>5.7</v>
      </c>
      <c r="AE41" s="11">
        <f>SUMIF($E$3:$E$32,"&lt;="&amp;AD41,$K$3:$K$32)/SUM($K$3:$K$32)</f>
        <v>0.53333333333333333</v>
      </c>
      <c r="AF41" s="11">
        <f>IFERROR(-1*AE41*LOG(AE41,2),0)</f>
        <v>0.48367498432454331</v>
      </c>
      <c r="AG41" s="11"/>
      <c r="AH41" s="11"/>
      <c r="AI41" s="11"/>
      <c r="AJ41" s="12"/>
    </row>
    <row r="42" spans="2:36" x14ac:dyDescent="0.25">
      <c r="B42" s="40"/>
      <c r="C42" s="40"/>
      <c r="D42" s="40"/>
      <c r="E42" s="40"/>
      <c r="F42" t="s">
        <v>44</v>
      </c>
      <c r="G42" s="25"/>
      <c r="H42" s="2">
        <f>F43</f>
        <v>5.5330770000000005</v>
      </c>
      <c r="I42">
        <v>3.5</v>
      </c>
      <c r="Q42" s="10" t="s">
        <v>84</v>
      </c>
      <c r="R42" s="47">
        <v>5.2</v>
      </c>
      <c r="S42" s="7" t="s">
        <v>32</v>
      </c>
      <c r="T42" s="11">
        <f>SUMIFS($K$3:$K$32,$I$3:$I$32,"="&amp;$S42,$E$3:$E$32,"&lt;="&amp;$R42)/SUMIF($E$3:$E$32,"&lt;="&amp;$R42,$K$3:$K$32)</f>
        <v>0.16666666666666666</v>
      </c>
      <c r="U42" s="11">
        <f>IFERROR(-1*T42*LOG(T42,2),0)</f>
        <v>0.43082708345352599</v>
      </c>
      <c r="W42" s="7" t="s">
        <v>85</v>
      </c>
      <c r="X42" s="47">
        <v>5.7</v>
      </c>
      <c r="Y42" s="11">
        <f>SUMIF($E$3:$E$32,"&gt;"&amp;X42,$K$3:$K$32)/SUM($K$3:$K$32)</f>
        <v>0.46666666666666667</v>
      </c>
      <c r="Z42" s="11">
        <f>SUMIFS($U$5:$U$130,$R$5:$R$130,"="&amp;X42,$Q$5:$Q$130,"="&amp;W42)</f>
        <v>0.98522813603425163</v>
      </c>
      <c r="AA42" s="11">
        <f>Y42*Z42</f>
        <v>0.45977313014931742</v>
      </c>
      <c r="AC42" s="7" t="s">
        <v>85</v>
      </c>
      <c r="AD42" s="47">
        <v>5.7</v>
      </c>
      <c r="AE42" s="11">
        <f>SUMIF($E$3:$E$32,"&gt;"&amp;AD42,$K$3:$K$32)/SUM($K$3:$K$32)</f>
        <v>0.46666666666666667</v>
      </c>
      <c r="AF42" s="11">
        <f>IFERROR(-1*AE42*LOG(AE42,2),0)</f>
        <v>0.51311664765709331</v>
      </c>
      <c r="AG42" s="11"/>
      <c r="AH42" s="11"/>
      <c r="AI42" s="11"/>
      <c r="AJ42" s="12"/>
    </row>
    <row r="43" spans="2:36" x14ac:dyDescent="0.25">
      <c r="B43" s="40"/>
      <c r="C43" s="40"/>
      <c r="D43" s="40"/>
      <c r="E43" s="40"/>
      <c r="F43" s="2">
        <v>5.5330770000000005</v>
      </c>
      <c r="H43" s="2">
        <f>F44</f>
        <v>6.5487549999999999</v>
      </c>
      <c r="I43">
        <v>0</v>
      </c>
      <c r="Q43" s="10" t="s">
        <v>84</v>
      </c>
      <c r="R43" s="47">
        <v>5.2</v>
      </c>
      <c r="S43" s="7" t="s">
        <v>33</v>
      </c>
      <c r="T43" s="11">
        <f>SUMIFS($K$3:$K$32,$I$3:$I$32,"="&amp;$S43,$E$3:$E$32,"&lt;="&amp;$R43)/SUMIF($E$3:$E$32,"&lt;="&amp;$R43,$K$3:$K$32)</f>
        <v>8.3333333333333329E-2</v>
      </c>
      <c r="U43" s="11">
        <f>IFERROR(-1*T43*LOG(T43,2),0)</f>
        <v>0.29874687506009634</v>
      </c>
      <c r="Z43" s="13" t="s">
        <v>13</v>
      </c>
      <c r="AA43" s="11">
        <f>SUM(AA41:AA42)</f>
        <v>1.6779187710717975</v>
      </c>
      <c r="AE43" s="13" t="s">
        <v>13</v>
      </c>
      <c r="AF43" s="11">
        <f>SUM(AF41:AF42)</f>
        <v>0.99679163198163656</v>
      </c>
      <c r="AG43" s="11"/>
      <c r="AH43" s="11"/>
      <c r="AI43" s="11"/>
      <c r="AJ43" s="12"/>
    </row>
    <row r="44" spans="2:36" x14ac:dyDescent="0.25">
      <c r="B44" s="40"/>
      <c r="C44" s="40"/>
      <c r="D44" s="40"/>
      <c r="E44" s="40"/>
      <c r="F44" s="2">
        <v>6.5487549999999999</v>
      </c>
      <c r="H44" s="2">
        <f>F44</f>
        <v>6.5487549999999999</v>
      </c>
      <c r="I44">
        <v>3.5</v>
      </c>
      <c r="Q44" s="10" t="s">
        <v>85</v>
      </c>
      <c r="R44" s="47">
        <v>5.2</v>
      </c>
      <c r="S44" s="7" t="s">
        <v>31</v>
      </c>
      <c r="T44" s="11">
        <f>SUMIFS($K$3:$K$32,$I$3:$I$32,"="&amp;$S44,$E$3:$E$32,"&gt;"&amp;$R44)/SUMIF($E$3:$E$32,"&gt;"&amp;$R44,$K$3:$K$32)</f>
        <v>5.5555555555555552E-2</v>
      </c>
      <c r="U44" s="11">
        <f>IFERROR(-1*T44*LOG(T44,2),0)</f>
        <v>0.23166250008012848</v>
      </c>
      <c r="Z44" s="13" t="s">
        <v>23</v>
      </c>
      <c r="AA44" s="29">
        <f>$O$7-AA43</f>
        <v>-9.2956270350641468E-2</v>
      </c>
      <c r="AE44" s="13" t="s">
        <v>21</v>
      </c>
      <c r="AF44" s="29">
        <f>IFERROR(AA44/AF43,0)</f>
        <v>-9.3255468212391612E-2</v>
      </c>
      <c r="AG44" s="11"/>
      <c r="AH44" s="11"/>
      <c r="AI44" s="11"/>
      <c r="AJ44" s="12"/>
    </row>
    <row r="45" spans="2:36" x14ac:dyDescent="0.25">
      <c r="B45" s="40"/>
      <c r="C45" s="40"/>
      <c r="D45" s="40"/>
      <c r="E45" s="40"/>
      <c r="F45" s="56">
        <f>$AX$26</f>
        <v>0.36129080775333333</v>
      </c>
      <c r="Q45" s="10" t="s">
        <v>85</v>
      </c>
      <c r="R45" s="47">
        <v>5.2</v>
      </c>
      <c r="S45" s="7" t="s">
        <v>32</v>
      </c>
      <c r="T45" s="11">
        <f>SUMIFS($K$3:$K$32,$I$3:$I$32,"="&amp;$S45,$E$3:$E$32,"&gt;"&amp;$R45)/SUMIF($E$3:$E$32,"&gt;"&amp;$R45,$K$3:$K$32)</f>
        <v>0.44444444444444442</v>
      </c>
      <c r="U45" s="11">
        <f t="shared" ref="U45:U46" si="20">IFERROR(-1*T45*LOG(T45,2),0)</f>
        <v>0.51996666730769436</v>
      </c>
      <c r="W45" s="7" t="s">
        <v>84</v>
      </c>
      <c r="X45" s="47">
        <v>6.3</v>
      </c>
      <c r="Y45" s="11">
        <f>SUMIF($E$3:$E$32,"&lt;="&amp;X45,$K$3:$K$32)/SUM($K$3:$K$32)</f>
        <v>0.56666666666666665</v>
      </c>
      <c r="Z45" s="11">
        <f>SUMIF($R$5:$R$127,"="&amp;X45,$U$5:$U$127)</f>
        <v>2.2940570093078958</v>
      </c>
      <c r="AA45" s="11">
        <f>Y45*Z45</f>
        <v>1.2999656386078076</v>
      </c>
      <c r="AB45" s="11"/>
      <c r="AC45" s="7" t="s">
        <v>84</v>
      </c>
      <c r="AD45" s="47">
        <v>6.3</v>
      </c>
      <c r="AE45" s="11">
        <f>SUMIF($E$3:$E$32,"&lt;="&amp;AD45,$K$3:$K$32)/SUM($K$3:$K$32)</f>
        <v>0.56666666666666665</v>
      </c>
      <c r="AF45" s="11">
        <f>IFERROR(-1*AE45*LOG(AE45,2),0)</f>
        <v>0.46434239413630152</v>
      </c>
      <c r="AG45" s="11"/>
      <c r="AH45" s="11"/>
      <c r="AI45" s="11"/>
      <c r="AJ45" s="12"/>
    </row>
    <row r="46" spans="2:36" x14ac:dyDescent="0.25">
      <c r="B46" s="40"/>
      <c r="C46" s="40"/>
      <c r="D46" s="40"/>
      <c r="E46" s="40"/>
      <c r="Q46" s="10" t="s">
        <v>85</v>
      </c>
      <c r="R46" s="47">
        <v>5.2</v>
      </c>
      <c r="S46" s="7" t="s">
        <v>33</v>
      </c>
      <c r="T46" s="11">
        <f>SUMIFS($K$3:$K$32,$I$3:$I$32,"="&amp;$S46,$E$3:$E$32,"&gt;"&amp;$R46)/SUMIF($E$3:$E$32,"&gt;"&amp;$R46,$K$3:$K$32)</f>
        <v>0.5</v>
      </c>
      <c r="U46" s="11">
        <f t="shared" si="20"/>
        <v>0.5</v>
      </c>
      <c r="W46" s="7" t="s">
        <v>85</v>
      </c>
      <c r="X46" s="47">
        <v>6.3</v>
      </c>
      <c r="Y46" s="11">
        <f>SUMIF($E$3:$E$32,"&gt;"&amp;X46,$K$3:$K$32)/SUM($K$3:$K$32)</f>
        <v>0.43333333333333335</v>
      </c>
      <c r="Z46" s="11">
        <f>SUMIFS($U$5:$U$130,$R$5:$R$130,"="&amp;X46,$Q$5:$Q$130,"="&amp;W46)</f>
        <v>0.96123660472287598</v>
      </c>
      <c r="AA46" s="11">
        <f>Y46*Z46</f>
        <v>0.41653586204657961</v>
      </c>
      <c r="AC46" s="7" t="s">
        <v>85</v>
      </c>
      <c r="AD46" s="47">
        <v>6.3</v>
      </c>
      <c r="AE46" s="11">
        <f>SUMIF($E$3:$E$32,"&gt;"&amp;AD46,$K$3:$K$32)/SUM($K$3:$K$32)</f>
        <v>0.43333333333333335</v>
      </c>
      <c r="AF46" s="11">
        <f>IFERROR(-1*AE46*LOG(AE46,2),0)</f>
        <v>0.52279538023588479</v>
      </c>
      <c r="AG46" s="11"/>
      <c r="AH46" s="11"/>
      <c r="AI46" s="11"/>
      <c r="AJ46" s="12"/>
    </row>
    <row r="47" spans="2:36" x14ac:dyDescent="0.25">
      <c r="B47" s="40"/>
      <c r="C47" s="40"/>
      <c r="D47" s="40"/>
      <c r="E47" s="40"/>
      <c r="Q47" s="10" t="s">
        <v>84</v>
      </c>
      <c r="R47" s="47">
        <v>5.4</v>
      </c>
      <c r="S47" s="7" t="s">
        <v>31</v>
      </c>
      <c r="T47" s="11">
        <f>SUMIFS($K$3:$K$32,$I$3:$I$32,"="&amp;$S47,$E$3:$E$32,"&lt;="&amp;$R47)/SUMIF($E$3:$E$32,"&lt;="&amp;$R47,$K$3:$K$32)</f>
        <v>0.76923076923076927</v>
      </c>
      <c r="U47" s="11">
        <f>IFERROR(-1*T47*LOG(T47,2),0)</f>
        <v>0.29116278711825372</v>
      </c>
      <c r="Z47" s="13" t="s">
        <v>13</v>
      </c>
      <c r="AA47" s="11">
        <f>SUM(AA45:AA46)</f>
        <v>1.7165015006543871</v>
      </c>
      <c r="AE47" s="13" t="s">
        <v>13</v>
      </c>
      <c r="AF47" s="11">
        <f>SUM(AF45:AF46)</f>
        <v>0.98713777437218631</v>
      </c>
      <c r="AG47" s="11"/>
      <c r="AH47" s="11"/>
      <c r="AI47" s="11"/>
      <c r="AJ47" s="12"/>
    </row>
    <row r="48" spans="2:36" x14ac:dyDescent="0.25">
      <c r="B48" s="40"/>
      <c r="C48" s="40"/>
      <c r="D48" s="40"/>
      <c r="E48" s="40"/>
      <c r="Q48" s="10" t="s">
        <v>84</v>
      </c>
      <c r="R48" s="47">
        <v>5.4</v>
      </c>
      <c r="S48" s="7" t="s">
        <v>32</v>
      </c>
      <c r="T48" s="11">
        <f>SUMIFS($K$3:$K$32,$I$3:$I$32,"="&amp;$S48,$E$3:$E$32,"&lt;="&amp;$R48)/SUMIF($E$3:$E$32,"&lt;="&amp;$R48,$K$3:$K$32)</f>
        <v>0.15384615384615385</v>
      </c>
      <c r="U48" s="11">
        <f>IFERROR(-1*T48*LOG(T48,2),0)</f>
        <v>0.4154522643293988</v>
      </c>
      <c r="Z48" s="13" t="s">
        <v>23</v>
      </c>
      <c r="AA48" s="29">
        <f>$O$7-AA47</f>
        <v>-0.13153899993323104</v>
      </c>
      <c r="AE48" s="13" t="s">
        <v>21</v>
      </c>
      <c r="AF48" s="29">
        <f>IFERROR(AA48/AF47,0)</f>
        <v>-0.13325292917383194</v>
      </c>
      <c r="AG48" s="11"/>
      <c r="AH48" s="11"/>
      <c r="AI48" s="11"/>
      <c r="AJ48" s="12"/>
    </row>
    <row r="49" spans="2:36" x14ac:dyDescent="0.25">
      <c r="B49" s="40"/>
      <c r="C49" s="40"/>
      <c r="D49" s="40"/>
      <c r="E49" s="40"/>
      <c r="Q49" s="10" t="s">
        <v>84</v>
      </c>
      <c r="R49" s="47">
        <v>5.4</v>
      </c>
      <c r="S49" s="7" t="s">
        <v>33</v>
      </c>
      <c r="T49" s="11">
        <f>SUMIFS($K$3:$K$32,$I$3:$I$32,"="&amp;$S49,$E$3:$E$32,"&lt;="&amp;$R49)/SUMIF($E$3:$E$32,"&lt;="&amp;$R49,$K$3:$K$32)</f>
        <v>7.6923076923076927E-2</v>
      </c>
      <c r="U49" s="11">
        <f>IFERROR(-1*T49*LOG(T49,2),0)</f>
        <v>0.28464920908777636</v>
      </c>
      <c r="W49" s="7" t="s">
        <v>84</v>
      </c>
      <c r="X49" s="47">
        <v>6.4</v>
      </c>
      <c r="Y49" s="11">
        <f>SUMIF($E$3:$E$32,"&lt;="&amp;X49,$K$3:$K$32)/SUM($K$3:$K$32)</f>
        <v>0.6333333333333333</v>
      </c>
      <c r="Z49" s="11">
        <f>SUMIF($R$5:$R$127,"="&amp;X49,$U$5:$U$127)</f>
        <v>2.3786434256566453</v>
      </c>
      <c r="AA49" s="11">
        <f>Y49*Z49</f>
        <v>1.5064741695825419</v>
      </c>
      <c r="AB49" s="11"/>
      <c r="AC49" s="7" t="s">
        <v>84</v>
      </c>
      <c r="AD49" s="47">
        <v>6.4</v>
      </c>
      <c r="AE49" s="11">
        <f>SUMIF($E$3:$E$32,"&lt;="&amp;AD49,$K$3:$K$32)/SUM($K$3:$K$32)</f>
        <v>0.6333333333333333</v>
      </c>
      <c r="AF49" s="11">
        <f>IFERROR(-1*AE49*LOG(AE49,2),0)</f>
        <v>0.41734328537112431</v>
      </c>
      <c r="AG49" s="11"/>
      <c r="AH49" s="11"/>
      <c r="AI49" s="11"/>
      <c r="AJ49" s="12"/>
    </row>
    <row r="50" spans="2:36" x14ac:dyDescent="0.25">
      <c r="B50" s="40"/>
      <c r="C50" s="40"/>
      <c r="D50" s="40"/>
      <c r="E50" s="40"/>
      <c r="Q50" s="10" t="s">
        <v>85</v>
      </c>
      <c r="R50" s="47">
        <v>5.4</v>
      </c>
      <c r="S50" s="7" t="s">
        <v>31</v>
      </c>
      <c r="T50" s="11">
        <f>SUMIFS($K$3:$K$32,$I$3:$I$32,"="&amp;$S50,$E$3:$E$32,"&gt;"&amp;$R50)/SUMIF($E$3:$E$32,"&gt;"&amp;$R50,$K$3:$K$32)</f>
        <v>0</v>
      </c>
      <c r="U50" s="11">
        <f>IFERROR(-1*T50*LOG(T50,2),0)</f>
        <v>0</v>
      </c>
      <c r="W50" s="7" t="s">
        <v>85</v>
      </c>
      <c r="X50" s="47">
        <v>6.4</v>
      </c>
      <c r="Y50" s="11">
        <f>SUMIF($E$3:$E$32,"&gt;"&amp;X50,$K$3:$K$32)/SUM($K$3:$K$32)</f>
        <v>0.36666666666666664</v>
      </c>
      <c r="Z50" s="11">
        <f>SUMIFS($U$5:$U$130,$R$5:$R$130,"="&amp;X50,$Q$5:$Q$130,"="&amp;W50)</f>
        <v>0.94566030460064021</v>
      </c>
      <c r="AA50" s="11">
        <f>Y50*Z50</f>
        <v>0.34674211168690139</v>
      </c>
      <c r="AC50" s="7" t="s">
        <v>85</v>
      </c>
      <c r="AD50" s="47">
        <v>6.4</v>
      </c>
      <c r="AE50" s="11">
        <f>SUMIF($E$3:$E$32,"&gt;"&amp;AD50,$K$3:$K$32)/SUM($K$3:$K$32)</f>
        <v>0.36666666666666664</v>
      </c>
      <c r="AF50" s="11">
        <f>IFERROR(-1*AE50*LOG(AE50,2),0)</f>
        <v>0.53073495822278105</v>
      </c>
      <c r="AG50" s="11"/>
      <c r="AH50" s="11"/>
      <c r="AI50" s="11"/>
      <c r="AJ50" s="12"/>
    </row>
    <row r="51" spans="2:36" x14ac:dyDescent="0.25">
      <c r="B51" s="40"/>
      <c r="C51" s="40"/>
      <c r="D51" s="40"/>
      <c r="E51" s="40"/>
      <c r="Q51" s="10" t="s">
        <v>85</v>
      </c>
      <c r="R51" s="47">
        <v>5.4</v>
      </c>
      <c r="S51" s="7" t="s">
        <v>32</v>
      </c>
      <c r="T51" s="11">
        <f>SUMIFS($K$3:$K$32,$I$3:$I$32,"="&amp;$S51,$E$3:$E$32,"&gt;"&amp;$R51)/SUMIF($E$3:$E$32,"&gt;"&amp;$R51,$K$3:$K$32)</f>
        <v>0.47058823529411764</v>
      </c>
      <c r="U51" s="11">
        <f t="shared" ref="U51:U52" si="21">IFERROR(-1*T51*LOG(T51,2),0)</f>
        <v>0.51174721941192447</v>
      </c>
      <c r="Z51" s="13" t="s">
        <v>13</v>
      </c>
      <c r="AA51" s="11">
        <f>SUM(AA49:AA50)</f>
        <v>1.8532162812694433</v>
      </c>
      <c r="AE51" s="13" t="s">
        <v>13</v>
      </c>
      <c r="AF51" s="11">
        <f>SUM(AF49:AF50)</f>
        <v>0.94807824359390536</v>
      </c>
      <c r="AG51" s="11"/>
      <c r="AH51" s="11"/>
      <c r="AI51" s="11"/>
      <c r="AJ51" s="12"/>
    </row>
    <row r="52" spans="2:36" x14ac:dyDescent="0.25">
      <c r="B52" s="40"/>
      <c r="C52" s="40"/>
      <c r="D52" s="40"/>
      <c r="E52" s="40"/>
      <c r="Q52" s="10" t="s">
        <v>85</v>
      </c>
      <c r="R52" s="47">
        <v>5.4</v>
      </c>
      <c r="S52" s="7" t="s">
        <v>33</v>
      </c>
      <c r="T52" s="11">
        <f>SUMIFS($K$3:$K$32,$I$3:$I$32,"="&amp;$S52,$E$3:$E$32,"&gt;"&amp;$R52)/SUMIF($E$3:$E$32,"&gt;"&amp;$R52,$K$3:$K$32)</f>
        <v>0.52941176470588236</v>
      </c>
      <c r="U52" s="11">
        <f t="shared" si="21"/>
        <v>0.48575532695719081</v>
      </c>
      <c r="Z52" s="13" t="s">
        <v>23</v>
      </c>
      <c r="AA52" s="29">
        <f>$O$7-AA51</f>
        <v>-0.26825378054828719</v>
      </c>
      <c r="AE52" s="13" t="s">
        <v>21</v>
      </c>
      <c r="AF52" s="29">
        <f>IFERROR(AA52/AF51,0)</f>
        <v>-0.2829447699711054</v>
      </c>
      <c r="AG52" s="11"/>
      <c r="AH52" s="11"/>
      <c r="AI52" s="11"/>
      <c r="AJ52" s="12"/>
    </row>
    <row r="53" spans="2:36" x14ac:dyDescent="0.25">
      <c r="B53" s="40"/>
      <c r="C53" s="40"/>
      <c r="D53" s="40"/>
      <c r="E53" s="40"/>
      <c r="Q53" s="10" t="s">
        <v>84</v>
      </c>
      <c r="R53" s="47">
        <v>5.5</v>
      </c>
      <c r="S53" s="7" t="s">
        <v>31</v>
      </c>
      <c r="T53" s="11">
        <f>SUMIFS($K$3:$K$32,$I$3:$I$32,"="&amp;$S53,$E$3:$E$32,"&lt;="&amp;$R53)/SUMIF($E$3:$E$32,"&lt;="&amp;$R53,$K$3:$K$32)</f>
        <v>0.7142857142857143</v>
      </c>
      <c r="U53" s="11">
        <f>IFERROR(-1*T53*LOG(T53,2),0)</f>
        <v>0.34673344797874411</v>
      </c>
      <c r="W53" s="7" t="s">
        <v>84</v>
      </c>
      <c r="X53" s="47">
        <v>6.5</v>
      </c>
      <c r="Y53" s="11">
        <f>SUMIF($E$3:$E$32,"&lt;="&amp;X53,$K$3:$K$32)/SUM($K$3:$K$32)</f>
        <v>0.73333333333333328</v>
      </c>
      <c r="Z53" s="11">
        <f>SUMIF($R$5:$R$127,"="&amp;X53,$U$5:$U$127)</f>
        <v>2.4829380816661866</v>
      </c>
      <c r="AA53" s="11">
        <f>Y53*Z53</f>
        <v>1.8208212598885367</v>
      </c>
      <c r="AB53" s="11"/>
      <c r="AC53" s="7" t="s">
        <v>84</v>
      </c>
      <c r="AD53" s="47">
        <v>6.5</v>
      </c>
      <c r="AE53" s="11">
        <f>SUMIF($E$3:$E$32,"&lt;="&amp;AD53,$K$3:$K$32)/SUM($K$3:$K$32)</f>
        <v>0.73333333333333328</v>
      </c>
      <c r="AF53" s="11">
        <f>IFERROR(-1*AE53*LOG(AE53,2),0)</f>
        <v>0.32813658311222904</v>
      </c>
      <c r="AG53" s="11"/>
      <c r="AH53" s="11"/>
      <c r="AI53" s="11"/>
      <c r="AJ53" s="12"/>
    </row>
    <row r="54" spans="2:36" x14ac:dyDescent="0.25">
      <c r="Q54" s="10" t="s">
        <v>84</v>
      </c>
      <c r="R54" s="47">
        <v>5.5</v>
      </c>
      <c r="S54" s="7" t="s">
        <v>32</v>
      </c>
      <c r="T54" s="11">
        <f>SUMIFS($K$3:$K$32,$I$3:$I$32,"="&amp;$S54,$E$3:$E$32,"&lt;="&amp;$R54)/SUMIF($E$3:$E$32,"&lt;="&amp;$R54,$K$3:$K$32)</f>
        <v>0.21428571428571427</v>
      </c>
      <c r="U54" s="11">
        <f>IFERROR(-1*T54*LOG(T54,2),0)</f>
        <v>0.47622694742923888</v>
      </c>
      <c r="W54" s="7" t="s">
        <v>85</v>
      </c>
      <c r="X54" s="47">
        <v>6.5</v>
      </c>
      <c r="Y54" s="11">
        <f>SUMIF($E$3:$E$32,"&gt;"&amp;X54,$K$3:$K$32)/SUM($K$3:$K$32)</f>
        <v>0.26666666666666666</v>
      </c>
      <c r="Z54" s="11">
        <f>SUMIFS($U$5:$U$130,$R$5:$R$130,"="&amp;X54,$Q$5:$Q$130,"="&amp;W54)</f>
        <v>0.95443400292496494</v>
      </c>
      <c r="AA54" s="11">
        <f>Y54*Z54</f>
        <v>0.25451573411332395</v>
      </c>
      <c r="AC54" s="7" t="s">
        <v>85</v>
      </c>
      <c r="AD54" s="47">
        <v>6.5</v>
      </c>
      <c r="AE54" s="11">
        <f>SUMIF($E$3:$E$32,"&gt;"&amp;AD54,$K$3:$K$32)/SUM($K$3:$K$32)</f>
        <v>0.26666666666666666</v>
      </c>
      <c r="AF54" s="11">
        <f>IFERROR(-1*AE54*LOG(AE54,2),0)</f>
        <v>0.50850415882893829</v>
      </c>
      <c r="AG54" s="11"/>
      <c r="AH54" s="11"/>
      <c r="AI54" s="11"/>
      <c r="AJ54" s="12"/>
    </row>
    <row r="55" spans="2:36" x14ac:dyDescent="0.25">
      <c r="Q55" s="10" t="s">
        <v>84</v>
      </c>
      <c r="R55" s="47">
        <v>5.5</v>
      </c>
      <c r="S55" s="7" t="s">
        <v>33</v>
      </c>
      <c r="T55" s="11">
        <f>SUMIFS($K$3:$K$32,$I$3:$I$32,"="&amp;$S55,$E$3:$E$32,"&lt;="&amp;$R55)/SUMIF($E$3:$E$32,"&lt;="&amp;$R55,$K$3:$K$32)</f>
        <v>7.1428571428571425E-2</v>
      </c>
      <c r="U55" s="11">
        <f>IFERROR(-1*T55*LOG(T55,2),0)</f>
        <v>0.27195392300411458</v>
      </c>
      <c r="Z55" s="13" t="s">
        <v>13</v>
      </c>
      <c r="AA55" s="11">
        <f>SUM(AA53:AA54)</f>
        <v>2.0753369940018604</v>
      </c>
      <c r="AE55" s="13" t="s">
        <v>13</v>
      </c>
      <c r="AF55" s="11">
        <f>SUM(AF53:AF54)</f>
        <v>0.83664074194116733</v>
      </c>
      <c r="AG55" s="11"/>
      <c r="AH55" s="11"/>
      <c r="AI55" s="11"/>
      <c r="AJ55" s="12"/>
    </row>
    <row r="56" spans="2:36" x14ac:dyDescent="0.25">
      <c r="Q56" s="10" t="s">
        <v>85</v>
      </c>
      <c r="R56" s="47">
        <v>5.5</v>
      </c>
      <c r="S56" s="7" t="s">
        <v>31</v>
      </c>
      <c r="T56" s="11">
        <f>SUMIFS($K$3:$K$32,$I$3:$I$32,"="&amp;$S56,$E$3:$E$32,"&gt;"&amp;$R56)/SUMIF($E$3:$E$32,"&gt;"&amp;$R56,$K$3:$K$32)</f>
        <v>0</v>
      </c>
      <c r="U56" s="11">
        <f>IFERROR(-1*T56*LOG(T56,2),0)</f>
        <v>0</v>
      </c>
      <c r="Z56" s="13" t="s">
        <v>23</v>
      </c>
      <c r="AA56" s="29">
        <f>$O$7-AA55</f>
        <v>-0.49037449328070437</v>
      </c>
      <c r="AE56" s="13" t="s">
        <v>21</v>
      </c>
      <c r="AF56" s="29">
        <f>IFERROR(AA56/AF55,0)</f>
        <v>-0.58612313350045719</v>
      </c>
      <c r="AG56" s="11"/>
      <c r="AH56" s="11"/>
      <c r="AI56" s="11"/>
      <c r="AJ56" s="12"/>
    </row>
    <row r="57" spans="2:36" x14ac:dyDescent="0.25">
      <c r="Q57" s="10" t="s">
        <v>85</v>
      </c>
      <c r="R57" s="47">
        <v>5.5</v>
      </c>
      <c r="S57" s="7" t="s">
        <v>32</v>
      </c>
      <c r="T57" s="11">
        <f>SUMIFS($K$3:$K$32,$I$3:$I$32,"="&amp;$S57,$E$3:$E$32,"&gt;"&amp;$R57)/SUMIF($E$3:$E$32,"&gt;"&amp;$R57,$K$3:$K$32)</f>
        <v>0.4375</v>
      </c>
      <c r="U57" s="11">
        <f t="shared" ref="U57:U58" si="22">IFERROR(-1*T57*LOG(T57,2),0)</f>
        <v>0.52178222159979815</v>
      </c>
      <c r="W57" s="7" t="s">
        <v>84</v>
      </c>
      <c r="X57" s="47">
        <v>6.6</v>
      </c>
      <c r="Y57" s="11">
        <f>SUMIF($E$3:$E$32,"&lt;="&amp;X57,$K$3:$K$32)/SUM($K$3:$K$32)</f>
        <v>0.76666666666666672</v>
      </c>
      <c r="Z57" s="11">
        <f>SUMIF($R$5:$R$127,"="&amp;X57,$U$5:$U$127)</f>
        <v>2.3941207236101469</v>
      </c>
      <c r="AA57" s="11">
        <f>Y57*Z57</f>
        <v>1.8354925547677794</v>
      </c>
      <c r="AB57" s="11"/>
      <c r="AC57" s="7" t="s">
        <v>84</v>
      </c>
      <c r="AD57" s="47">
        <v>6.6</v>
      </c>
      <c r="AE57" s="11">
        <f>SUMIF($E$3:$E$32,"&lt;="&amp;AD57,$K$3:$K$32)/SUM($K$3:$K$32)</f>
        <v>0.76666666666666672</v>
      </c>
      <c r="AF57" s="11">
        <f>IFERROR(-1*AE57*LOG(AE57,2),0)</f>
        <v>0.29388529032282096</v>
      </c>
      <c r="AG57" s="11"/>
      <c r="AH57" s="11"/>
      <c r="AI57" s="11"/>
      <c r="AJ57" s="12"/>
    </row>
    <row r="58" spans="2:36" x14ac:dyDescent="0.25">
      <c r="Q58" s="10" t="s">
        <v>85</v>
      </c>
      <c r="R58" s="47">
        <v>5.5</v>
      </c>
      <c r="S58" s="7" t="s">
        <v>33</v>
      </c>
      <c r="T58" s="11">
        <f>SUMIFS($K$3:$K$32,$I$3:$I$32,"="&amp;$S58,$E$3:$E$32,"&gt;"&amp;$R58)/SUMIF($E$3:$E$32,"&gt;"&amp;$R58,$K$3:$K$32)</f>
        <v>0.5625</v>
      </c>
      <c r="U58" s="11">
        <f t="shared" si="22"/>
        <v>0.4669171866886993</v>
      </c>
      <c r="W58" s="7" t="s">
        <v>85</v>
      </c>
      <c r="X58" s="47">
        <v>6.6</v>
      </c>
      <c r="Y58" s="11">
        <f>SUMIF($E$3:$E$32,"&gt;"&amp;X58,$K$3:$K$32)/SUM($K$3:$K$32)</f>
        <v>0.23333333333333334</v>
      </c>
      <c r="Z58" s="11">
        <f>SUMIFS($U$5:$U$130,$R$5:$R$130,"="&amp;X58,$Q$5:$Q$130,"="&amp;W58)</f>
        <v>0.863120568566631</v>
      </c>
      <c r="AA58" s="11">
        <f>Y58*Z58</f>
        <v>0.20139479933221391</v>
      </c>
      <c r="AC58" s="7" t="s">
        <v>85</v>
      </c>
      <c r="AD58" s="47">
        <v>6.6</v>
      </c>
      <c r="AE58" s="11">
        <f>SUMIF($E$3:$E$32,"&gt;"&amp;AD58,$K$3:$K$32)/SUM($K$3:$K$32)</f>
        <v>0.23333333333333334</v>
      </c>
      <c r="AF58" s="11">
        <f>IFERROR(-1*AE58*LOG(AE58,2),0)</f>
        <v>0.48989165716188005</v>
      </c>
      <c r="AG58" s="11"/>
      <c r="AH58" s="11"/>
      <c r="AI58" s="11"/>
      <c r="AJ58" s="12"/>
    </row>
    <row r="59" spans="2:36" x14ac:dyDescent="0.25">
      <c r="Q59" s="10" t="s">
        <v>84</v>
      </c>
      <c r="R59" s="47">
        <v>5.7</v>
      </c>
      <c r="S59" s="7" t="s">
        <v>31</v>
      </c>
      <c r="T59" s="11">
        <f>SUMIFS($K$3:$K$32,$I$3:$I$32,"="&amp;$S59,$E$3:$E$32,"&lt;="&amp;$R59)/SUMIF($E$3:$E$32,"&lt;="&amp;$R59,$K$3:$K$32)</f>
        <v>0.625</v>
      </c>
      <c r="U59" s="11">
        <f>IFERROR(-1*T59*LOG(T59,2),0)</f>
        <v>0.42379494069539858</v>
      </c>
      <c r="Z59" s="13" t="s">
        <v>13</v>
      </c>
      <c r="AA59" s="11">
        <f>SUM(AA57:AA58)</f>
        <v>2.0368873540999934</v>
      </c>
      <c r="AE59" s="13" t="s">
        <v>13</v>
      </c>
      <c r="AF59" s="11">
        <f>SUM(AF57:AF58)</f>
        <v>0.78377694748470095</v>
      </c>
      <c r="AG59" s="11"/>
      <c r="AH59" s="11"/>
      <c r="AI59" s="11"/>
      <c r="AJ59" s="12"/>
    </row>
    <row r="60" spans="2:36" x14ac:dyDescent="0.25">
      <c r="Q60" s="10" t="s">
        <v>84</v>
      </c>
      <c r="R60" s="47">
        <v>5.7</v>
      </c>
      <c r="S60" s="7" t="s">
        <v>32</v>
      </c>
      <c r="T60" s="11">
        <f>SUMIFS($K$3:$K$32,$I$3:$I$32,"="&amp;$S60,$E$3:$E$32,"&lt;="&amp;$R60)/SUMIF($E$3:$E$32,"&lt;="&amp;$R60,$K$3:$K$32)</f>
        <v>0.25</v>
      </c>
      <c r="U60" s="11">
        <f>IFERROR(-1*T60*LOG(T60,2),0)</f>
        <v>0.5</v>
      </c>
      <c r="Z60" s="13" t="s">
        <v>23</v>
      </c>
      <c r="AA60" s="29">
        <f>$O$7-AA59</f>
        <v>-0.45192485337883737</v>
      </c>
      <c r="AE60" s="13" t="s">
        <v>21</v>
      </c>
      <c r="AF60" s="29">
        <f>IFERROR(AA60/AF59,0)</f>
        <v>-0.57659880764438887</v>
      </c>
      <c r="AG60" s="11"/>
      <c r="AH60" s="11"/>
      <c r="AI60" s="11"/>
      <c r="AJ60" s="12"/>
    </row>
    <row r="61" spans="2:36" x14ac:dyDescent="0.25">
      <c r="Q61" s="10" t="s">
        <v>84</v>
      </c>
      <c r="R61" s="47">
        <v>5.7</v>
      </c>
      <c r="S61" s="7" t="s">
        <v>33</v>
      </c>
      <c r="T61" s="11">
        <f>SUMIFS($K$3:$K$32,$I$3:$I$32,"="&amp;$S61,$E$3:$E$32,"&lt;="&amp;$R61)/SUMIF($E$3:$E$32,"&lt;="&amp;$R61,$K$3:$K$32)</f>
        <v>0.125</v>
      </c>
      <c r="U61" s="11">
        <f>IFERROR(-1*T61*LOG(T61,2),0)</f>
        <v>0.375</v>
      </c>
      <c r="W61" s="7" t="s">
        <v>84</v>
      </c>
      <c r="X61" s="47">
        <v>6.7</v>
      </c>
      <c r="Y61" s="11">
        <f>SUMIF($E$3:$E$32,"&lt;="&amp;X61,$K$3:$K$32)/SUM($K$3:$K$32)</f>
        <v>0.8</v>
      </c>
      <c r="Z61" s="11">
        <f>SUMIF($R$5:$R$127,"="&amp;X61,$U$5:$U$127)</f>
        <v>2.4728810033922888</v>
      </c>
      <c r="AA61" s="11">
        <f>Y61*Z61</f>
        <v>1.978304802713831</v>
      </c>
      <c r="AB61" s="11"/>
      <c r="AC61" s="7" t="s">
        <v>84</v>
      </c>
      <c r="AD61" s="47">
        <v>6.7</v>
      </c>
      <c r="AE61" s="11">
        <f>SUMIF($E$3:$E$32,"&lt;="&amp;AD61,$K$3:$K$32)/SUM($K$3:$K$32)</f>
        <v>0.8</v>
      </c>
      <c r="AF61" s="11">
        <f>IFERROR(-1*AE61*LOG(AE61,2),0)</f>
        <v>0.25754247590988982</v>
      </c>
      <c r="AG61" s="11"/>
      <c r="AH61" s="11"/>
      <c r="AI61" s="11"/>
      <c r="AJ61" s="12"/>
    </row>
    <row r="62" spans="2:36" x14ac:dyDescent="0.25">
      <c r="Q62" s="10" t="s">
        <v>85</v>
      </c>
      <c r="R62" s="47">
        <v>5.7</v>
      </c>
      <c r="S62" s="7" t="s">
        <v>31</v>
      </c>
      <c r="T62" s="11">
        <f>SUMIFS($K$3:$K$32,$I$3:$I$32,"="&amp;$S62,$E$3:$E$32,"&gt;"&amp;$R62)/SUMIF($E$3:$E$32,"&gt;"&amp;$R62,$K$3:$K$32)</f>
        <v>0</v>
      </c>
      <c r="U62" s="11">
        <f>IFERROR(-1*T62*LOG(T62,2),0)</f>
        <v>0</v>
      </c>
      <c r="W62" s="7" t="s">
        <v>85</v>
      </c>
      <c r="X62" s="47">
        <v>6.7</v>
      </c>
      <c r="Y62" s="11">
        <f>SUMIF($E$3:$E$32,"&gt;"&amp;X62,$K$3:$K$32)/SUM($K$3:$K$32)</f>
        <v>0.2</v>
      </c>
      <c r="Z62" s="11">
        <f>SUMIFS($U$5:$U$130,$R$5:$R$130,"="&amp;X62,$Q$5:$Q$130,"="&amp;W62)</f>
        <v>0.91829583405448956</v>
      </c>
      <c r="AA62" s="11">
        <f>Y62*Z62</f>
        <v>0.18365916681089792</v>
      </c>
      <c r="AC62" s="7" t="s">
        <v>85</v>
      </c>
      <c r="AD62" s="47">
        <v>6.7</v>
      </c>
      <c r="AE62" s="11">
        <f>SUMIF($E$3:$E$32,"&gt;"&amp;AD62,$K$3:$K$32)/SUM($K$3:$K$32)</f>
        <v>0.2</v>
      </c>
      <c r="AF62" s="11">
        <f>IFERROR(-1*AE62*LOG(AE62,2),0)</f>
        <v>0.46438561897747244</v>
      </c>
      <c r="AG62" s="11"/>
      <c r="AH62" s="11"/>
      <c r="AI62" s="11"/>
      <c r="AJ62" s="12"/>
    </row>
    <row r="63" spans="2:36" x14ac:dyDescent="0.25">
      <c r="Q63" s="10" t="s">
        <v>85</v>
      </c>
      <c r="R63" s="47">
        <v>5.7</v>
      </c>
      <c r="S63" s="7" t="s">
        <v>32</v>
      </c>
      <c r="T63" s="11">
        <f>SUMIFS($K$3:$K$32,$I$3:$I$32,"="&amp;$S63,$E$3:$E$32,"&gt;"&amp;$R63)/SUMIF($E$3:$E$32,"&gt;"&amp;$R63,$K$3:$K$32)</f>
        <v>0.42857142857142855</v>
      </c>
      <c r="U63" s="11">
        <f t="shared" ref="U63:U64" si="23">IFERROR(-1*T63*LOG(T63,2),0)</f>
        <v>0.52388246628704915</v>
      </c>
      <c r="Z63" s="13" t="s">
        <v>13</v>
      </c>
      <c r="AA63" s="11">
        <f>SUM(AA61:AA62)</f>
        <v>2.161963969524729</v>
      </c>
      <c r="AE63" s="13" t="s">
        <v>13</v>
      </c>
      <c r="AF63" s="11">
        <f>SUM(AF61:AF62)</f>
        <v>0.72192809488736231</v>
      </c>
      <c r="AG63" s="11"/>
      <c r="AH63" s="11"/>
      <c r="AI63" s="11"/>
      <c r="AJ63" s="12"/>
    </row>
    <row r="64" spans="2:36" x14ac:dyDescent="0.25">
      <c r="Q64" s="10" t="s">
        <v>85</v>
      </c>
      <c r="R64" s="47">
        <v>5.7</v>
      </c>
      <c r="S64" s="7" t="s">
        <v>33</v>
      </c>
      <c r="T64" s="11">
        <f>SUMIFS($K$3:$K$32,$I$3:$I$32,"="&amp;$S64,$E$3:$E$32,"&gt;"&amp;$R64)/SUMIF($E$3:$E$32,"&gt;"&amp;$R64,$K$3:$K$32)</f>
        <v>0.5714285714285714</v>
      </c>
      <c r="U64" s="11">
        <f t="shared" si="23"/>
        <v>0.46134566974720242</v>
      </c>
      <c r="Z64" s="13" t="s">
        <v>23</v>
      </c>
      <c r="AA64" s="29">
        <f>$O$7-AA63</f>
        <v>-0.57700146880357295</v>
      </c>
      <c r="AE64" s="13" t="s">
        <v>21</v>
      </c>
      <c r="AF64" s="29">
        <f>IFERROR(AA64/AF63,0)</f>
        <v>-0.79925060804511106</v>
      </c>
      <c r="AG64" s="11"/>
      <c r="AH64" s="11"/>
      <c r="AI64" s="11"/>
      <c r="AJ64" s="12"/>
    </row>
    <row r="65" spans="17:36" x14ac:dyDescent="0.25">
      <c r="Q65" s="10" t="s">
        <v>84</v>
      </c>
      <c r="R65" s="47">
        <v>6.3</v>
      </c>
      <c r="S65" s="7" t="s">
        <v>31</v>
      </c>
      <c r="T65" s="11">
        <f>SUMIFS($K$3:$K$32,$I$3:$I$32,"="&amp;$S65,$E$3:$E$32,"&lt;="&amp;$R65)/SUMIF($E$3:$E$32,"&lt;="&amp;$R65,$K$3:$K$32)</f>
        <v>0.58823529411764708</v>
      </c>
      <c r="U65" s="11">
        <f>IFERROR(-1*T65*LOG(T65,2),0)</f>
        <v>0.45031455668410414</v>
      </c>
      <c r="W65" s="7" t="s">
        <v>84</v>
      </c>
      <c r="X65" s="47">
        <v>6.8</v>
      </c>
      <c r="Y65" s="11">
        <f>SUMIF($E$3:$E$32,"&lt;="&amp;X65,$K$3:$K$32)/SUM($K$3:$K$32)</f>
        <v>0.83333333333333337</v>
      </c>
      <c r="Z65" s="11">
        <f>SUMIF($R$5:$R$127,"="&amp;X65,$U$5:$U$127)</f>
        <v>2.5399761680983191</v>
      </c>
      <c r="AA65" s="11">
        <f>Y65*Z65</f>
        <v>2.1166468067485993</v>
      </c>
      <c r="AB65" s="11"/>
      <c r="AC65" s="7" t="s">
        <v>84</v>
      </c>
      <c r="AD65" s="47">
        <v>6.8</v>
      </c>
      <c r="AE65" s="11">
        <f>SUMIF($E$3:$E$32,"&lt;="&amp;AD65,$K$3:$K$32)/SUM($K$3:$K$32)</f>
        <v>0.83333333333333337</v>
      </c>
      <c r="AF65" s="11">
        <f>IFERROR(-1*AE65*LOG(AE65,2),0)</f>
        <v>0.21919533819482817</v>
      </c>
      <c r="AG65" s="11"/>
      <c r="AH65" s="11"/>
      <c r="AI65" s="11"/>
      <c r="AJ65" s="12"/>
    </row>
    <row r="66" spans="17:36" x14ac:dyDescent="0.25">
      <c r="Q66" s="10" t="s">
        <v>84</v>
      </c>
      <c r="R66" s="47">
        <v>6.3</v>
      </c>
      <c r="S66" s="7" t="s">
        <v>32</v>
      </c>
      <c r="T66" s="11">
        <f>SUMIFS($K$3:$K$32,$I$3:$I$32,"="&amp;$S66,$E$3:$E$32,"&lt;="&amp;$R66)/SUMIF($E$3:$E$32,"&lt;="&amp;$R66,$K$3:$K$32)</f>
        <v>0.29411764705882354</v>
      </c>
      <c r="U66" s="11">
        <f>IFERROR(-1*T66*LOG(T66,2),0)</f>
        <v>0.51927492540087561</v>
      </c>
      <c r="W66" s="7" t="s">
        <v>85</v>
      </c>
      <c r="X66" s="47">
        <v>6.8</v>
      </c>
      <c r="Y66" s="11">
        <f>SUMIF($E$3:$E$32,"&gt;"&amp;X66,$K$3:$K$32)/SUM($K$3:$K$32)</f>
        <v>0.16666666666666666</v>
      </c>
      <c r="Z66" s="11">
        <f>SUMIFS($U$5:$U$130,$R$5:$R$130,"="&amp;X66,$Q$5:$Q$130,"="&amp;W66)</f>
        <v>0.97095059445466858</v>
      </c>
      <c r="AA66" s="11">
        <f>Y66*Z66</f>
        <v>0.16182509907577808</v>
      </c>
      <c r="AC66" s="7" t="s">
        <v>85</v>
      </c>
      <c r="AD66" s="47">
        <v>6.8</v>
      </c>
      <c r="AE66" s="11">
        <f>SUMIF($E$3:$E$32,"&gt;"&amp;AD66,$K$3:$K$32)/SUM($K$3:$K$32)</f>
        <v>0.16666666666666666</v>
      </c>
      <c r="AF66" s="11">
        <f>IFERROR(-1*AE66*LOG(AE66,2),0)</f>
        <v>0.43082708345352599</v>
      </c>
      <c r="AG66" s="11"/>
      <c r="AH66" s="11"/>
      <c r="AI66" s="11"/>
      <c r="AJ66" s="12"/>
    </row>
    <row r="67" spans="17:36" x14ac:dyDescent="0.25">
      <c r="Q67" s="10" t="s">
        <v>84</v>
      </c>
      <c r="R67" s="47">
        <v>6.3</v>
      </c>
      <c r="S67" s="7" t="s">
        <v>33</v>
      </c>
      <c r="T67" s="11">
        <f>SUMIFS($K$3:$K$32,$I$3:$I$32,"="&amp;$S67,$E$3:$E$32,"&lt;="&amp;$R67)/SUMIF($E$3:$E$32,"&lt;="&amp;$R67,$K$3:$K$32)</f>
        <v>0.11764705882352941</v>
      </c>
      <c r="U67" s="11">
        <f>IFERROR(-1*T67*LOG(T67,2),0)</f>
        <v>0.36323092250003997</v>
      </c>
      <c r="Z67" s="13" t="s">
        <v>13</v>
      </c>
      <c r="AA67" s="11">
        <f>SUM(AA65:AA66)</f>
        <v>2.2784719058243774</v>
      </c>
      <c r="AE67" s="13" t="s">
        <v>13</v>
      </c>
      <c r="AF67" s="11">
        <f>SUM(AF65:AF66)</f>
        <v>0.65002242164835411</v>
      </c>
      <c r="AG67" s="11"/>
      <c r="AH67" s="11"/>
      <c r="AI67" s="11"/>
      <c r="AJ67" s="12"/>
    </row>
    <row r="68" spans="17:36" x14ac:dyDescent="0.25">
      <c r="Q68" s="10" t="s">
        <v>85</v>
      </c>
      <c r="R68" s="47">
        <v>6.3</v>
      </c>
      <c r="S68" s="7" t="s">
        <v>31</v>
      </c>
      <c r="T68" s="11">
        <f>SUMIFS($K$3:$K$32,$I$3:$I$32,"="&amp;$S68,$E$3:$E$32,"&gt;"&amp;$R68)/SUMIF($E$3:$E$32,"&gt;"&amp;$R68,$K$3:$K$32)</f>
        <v>0</v>
      </c>
      <c r="U68" s="11">
        <f>IFERROR(-1*T68*LOG(T68,2),0)</f>
        <v>0</v>
      </c>
      <c r="Z68" s="13" t="s">
        <v>23</v>
      </c>
      <c r="AA68" s="29">
        <f>$O$7-AA67</f>
        <v>-0.69350940510322134</v>
      </c>
      <c r="AE68" s="13" t="s">
        <v>21</v>
      </c>
      <c r="AF68" s="29">
        <f>IFERROR(AA68/AF67,0)</f>
        <v>-1.0669007437383331</v>
      </c>
      <c r="AG68" s="11"/>
      <c r="AH68" s="11"/>
      <c r="AI68" s="11"/>
      <c r="AJ68" s="12"/>
    </row>
    <row r="69" spans="17:36" x14ac:dyDescent="0.25">
      <c r="Q69" s="10" t="s">
        <v>85</v>
      </c>
      <c r="R69" s="47">
        <v>6.3</v>
      </c>
      <c r="S69" s="7" t="s">
        <v>32</v>
      </c>
      <c r="T69" s="11">
        <f>SUMIFS($K$3:$K$32,$I$3:$I$32,"="&amp;$S69,$E$3:$E$32,"&gt;"&amp;$R69)/SUMIF($E$3:$E$32,"&gt;"&amp;$R69,$K$3:$K$32)</f>
        <v>0.38461538461538464</v>
      </c>
      <c r="U69" s="11">
        <f t="shared" ref="U69:U70" si="24">IFERROR(-1*T69*LOG(T69,2),0)</f>
        <v>0.5301967781745115</v>
      </c>
      <c r="W69" s="7" t="s">
        <v>84</v>
      </c>
      <c r="X69" s="47">
        <v>6.9</v>
      </c>
      <c r="Y69" s="11">
        <f>SUMIF($E$3:$E$32,"&lt;="&amp;X69,$K$3:$K$32)/SUM($K$3:$K$32)</f>
        <v>0.8666666666666667</v>
      </c>
      <c r="Z69" s="11">
        <f>SUMIF($R$5:$R$127,"="&amp;X69,$U$5:$U$127)</f>
        <v>2.3809451342826229</v>
      </c>
      <c r="AA69" s="11">
        <f>Y69*Z69</f>
        <v>2.06348578304494</v>
      </c>
      <c r="AB69" s="11"/>
      <c r="AC69" s="7" t="s">
        <v>84</v>
      </c>
      <c r="AD69" s="47">
        <v>6.9</v>
      </c>
      <c r="AE69" s="11">
        <f>SUMIF($E$3:$E$32,"&lt;="&amp;AD69,$K$3:$K$32)/SUM($K$3:$K$32)</f>
        <v>0.8666666666666667</v>
      </c>
      <c r="AF69" s="11">
        <f>IFERROR(-1*AE69*LOG(AE69,2),0)</f>
        <v>0.17892409380510282</v>
      </c>
      <c r="AG69" s="11"/>
      <c r="AH69" s="11"/>
      <c r="AI69" s="11"/>
      <c r="AJ69" s="12"/>
    </row>
    <row r="70" spans="17:36" x14ac:dyDescent="0.25">
      <c r="Q70" s="10" t="s">
        <v>85</v>
      </c>
      <c r="R70" s="47">
        <v>6.3</v>
      </c>
      <c r="S70" s="7" t="s">
        <v>33</v>
      </c>
      <c r="T70" s="11">
        <f>SUMIFS($K$3:$K$32,$I$3:$I$32,"="&amp;$S70,$E$3:$E$32,"&gt;"&amp;$R70)/SUMIF($E$3:$E$32,"&gt;"&amp;$R70,$K$3:$K$32)</f>
        <v>0.61538461538461542</v>
      </c>
      <c r="U70" s="11">
        <f t="shared" si="24"/>
        <v>0.43103982654836442</v>
      </c>
      <c r="W70" s="7" t="s">
        <v>85</v>
      </c>
      <c r="X70" s="47">
        <v>6.9</v>
      </c>
      <c r="Y70" s="11">
        <f>SUMIF($E$3:$E$32,"&gt;"&amp;X70,$K$3:$K$32)/SUM($K$3:$K$32)</f>
        <v>0.13333333333333333</v>
      </c>
      <c r="Z70" s="11">
        <f>SUMIFS($U$5:$U$130,$R$5:$R$130,"="&amp;X70,$Q$5:$Q$130,"="&amp;W70)</f>
        <v>0.81127812445913283</v>
      </c>
      <c r="AA70" s="11">
        <f>Y70*Z70</f>
        <v>0.10817041659455104</v>
      </c>
      <c r="AC70" s="7" t="s">
        <v>85</v>
      </c>
      <c r="AD70" s="47">
        <v>6.9</v>
      </c>
      <c r="AE70" s="11">
        <f>SUMIF($E$3:$E$32,"&gt;"&amp;AD70,$K$3:$K$32)/SUM($K$3:$K$32)</f>
        <v>0.13333333333333333</v>
      </c>
      <c r="AF70" s="11">
        <f>IFERROR(-1*AE70*LOG(AE70,2),0)</f>
        <v>0.3875854127478025</v>
      </c>
      <c r="AG70" s="11"/>
      <c r="AH70" s="11"/>
      <c r="AI70" s="11"/>
      <c r="AJ70" s="12"/>
    </row>
    <row r="71" spans="17:36" x14ac:dyDescent="0.25">
      <c r="Q71" s="10" t="s">
        <v>84</v>
      </c>
      <c r="R71" s="47">
        <v>6.4</v>
      </c>
      <c r="S71" s="7" t="s">
        <v>31</v>
      </c>
      <c r="T71" s="11">
        <f>SUMIFS($K$3:$K$32,$I$3:$I$32,"="&amp;$S71,$E$3:$E$32,"&lt;="&amp;$R71)/SUMIF($E$3:$E$32,"&lt;="&amp;$R71,$K$3:$K$32)</f>
        <v>0.52631578947368418</v>
      </c>
      <c r="U71" s="11">
        <f>IFERROR(-1*T71*LOG(T71,2),0)</f>
        <v>0.48736811502959115</v>
      </c>
      <c r="Z71" s="13" t="s">
        <v>13</v>
      </c>
      <c r="AA71" s="11">
        <f>SUM(AA69:AA70)</f>
        <v>2.1716561996394912</v>
      </c>
      <c r="AE71" s="13" t="s">
        <v>13</v>
      </c>
      <c r="AF71" s="11">
        <f>SUM(AF69:AF70)</f>
        <v>0.56650950655290533</v>
      </c>
      <c r="AG71" s="11"/>
      <c r="AH71" s="11"/>
      <c r="AI71" s="11"/>
      <c r="AJ71" s="12"/>
    </row>
    <row r="72" spans="17:36" x14ac:dyDescent="0.25">
      <c r="Q72" s="10" t="s">
        <v>84</v>
      </c>
      <c r="R72" s="47">
        <v>6.4</v>
      </c>
      <c r="S72" s="7" t="s">
        <v>32</v>
      </c>
      <c r="T72" s="11">
        <f>SUMIFS($K$3:$K$32,$I$3:$I$32,"="&amp;$S72,$E$3:$E$32,"&lt;="&amp;$R72)/SUMIF($E$3:$E$32,"&lt;="&amp;$R72,$K$3:$K$32)</f>
        <v>0.31578947368421051</v>
      </c>
      <c r="U72" s="11">
        <f>IFERROR(-1*T72*LOG(T72,2),0)</f>
        <v>0.52514684612287243</v>
      </c>
      <c r="Z72" s="13" t="s">
        <v>23</v>
      </c>
      <c r="AA72" s="29">
        <f>$O$7-AA71</f>
        <v>-0.58669369891833512</v>
      </c>
      <c r="AE72" s="13" t="s">
        <v>21</v>
      </c>
      <c r="AF72" s="29">
        <f>IFERROR(AA72/AF71,0)</f>
        <v>-1.0356290444060621</v>
      </c>
      <c r="AG72" s="11"/>
      <c r="AH72" s="11"/>
      <c r="AI72" s="11"/>
      <c r="AJ72" s="12"/>
    </row>
    <row r="73" spans="17:36" x14ac:dyDescent="0.25">
      <c r="Q73" s="10" t="s">
        <v>84</v>
      </c>
      <c r="R73" s="47">
        <v>6.4</v>
      </c>
      <c r="S73" s="7" t="s">
        <v>33</v>
      </c>
      <c r="T73" s="11">
        <f>SUMIFS($K$3:$K$32,$I$3:$I$32,"="&amp;$S73,$E$3:$E$32,"&lt;="&amp;$R73)/SUMIF($E$3:$E$32,"&lt;="&amp;$R73,$K$3:$K$32)</f>
        <v>0.15789473684210525</v>
      </c>
      <c r="U73" s="11">
        <f>IFERROR(-1*T73*LOG(T73,2),0)</f>
        <v>0.42046815990354147</v>
      </c>
      <c r="W73" s="7" t="s">
        <v>84</v>
      </c>
      <c r="X73" s="47">
        <v>7</v>
      </c>
      <c r="Y73" s="11">
        <f>SUMIF($E$3:$E$32,"&lt;="&amp;X73,$K$3:$K$32)/SUM($K$3:$K$32)</f>
        <v>0.9</v>
      </c>
      <c r="Z73" s="11">
        <f>SUMIF($R$5:$R$127,"="&amp;X73,$U$5:$U$127)</f>
        <v>1.5663672668986361</v>
      </c>
      <c r="AA73" s="11">
        <f>Y73*Z73</f>
        <v>1.4097305402087725</v>
      </c>
      <c r="AB73" s="11"/>
      <c r="AC73" s="7" t="s">
        <v>84</v>
      </c>
      <c r="AD73" s="47">
        <v>7</v>
      </c>
      <c r="AE73" s="11">
        <f>SUMIF($E$3:$E$32,"&lt;="&amp;AD73,$K$3:$K$32)/SUM($K$3:$K$32)</f>
        <v>0.9</v>
      </c>
      <c r="AF73" s="11">
        <f>IFERROR(-1*AE73*LOG(AE73,2),0)</f>
        <v>0.13680278410054497</v>
      </c>
      <c r="AG73" s="11"/>
      <c r="AH73" s="11"/>
      <c r="AI73" s="11"/>
      <c r="AJ73" s="12"/>
    </row>
    <row r="74" spans="17:36" x14ac:dyDescent="0.25">
      <c r="Q74" s="10" t="s">
        <v>85</v>
      </c>
      <c r="R74" s="47">
        <v>6.4</v>
      </c>
      <c r="S74" s="7" t="s">
        <v>31</v>
      </c>
      <c r="T74" s="11">
        <f>SUMIFS($K$3:$K$32,$I$3:$I$32,"="&amp;$S74,$E$3:$E$32,"&gt;"&amp;$R74)/SUMIF($E$3:$E$32,"&gt;"&amp;$R74,$K$3:$K$32)</f>
        <v>0</v>
      </c>
      <c r="U74" s="11">
        <f>IFERROR(-1*T74*LOG(T74,2),0)</f>
        <v>0</v>
      </c>
      <c r="W74" s="7" t="s">
        <v>85</v>
      </c>
      <c r="X74" s="47">
        <v>7</v>
      </c>
      <c r="Y74" s="11">
        <f>SUMIF($E$3:$E$32,"&gt;"&amp;X74,$K$3:$K$32)/SUM($K$3:$K$32)</f>
        <v>0.1</v>
      </c>
      <c r="Z74" s="11">
        <f>SUMIFS($U$5:$U$130,$R$5:$R$130,"="&amp;X74,$Q$5:$Q$130,"="&amp;W74)</f>
        <v>0</v>
      </c>
      <c r="AA74" s="11">
        <f>Y74*Z74</f>
        <v>0</v>
      </c>
      <c r="AC74" s="7" t="s">
        <v>85</v>
      </c>
      <c r="AD74" s="47">
        <v>7</v>
      </c>
      <c r="AE74" s="11">
        <f>SUMIF($E$3:$E$32,"&gt;"&amp;AD74,$K$3:$K$32)/SUM($K$3:$K$32)</f>
        <v>0.1</v>
      </c>
      <c r="AF74" s="11">
        <f>IFERROR(-1*AE74*LOG(AE74,2),0)</f>
        <v>0.33219280948873625</v>
      </c>
      <c r="AG74" s="11"/>
      <c r="AH74" s="11"/>
      <c r="AI74" s="11"/>
      <c r="AJ74" s="12"/>
    </row>
    <row r="75" spans="17:36" x14ac:dyDescent="0.25">
      <c r="Q75" s="10" t="s">
        <v>85</v>
      </c>
      <c r="R75" s="47">
        <v>6.4</v>
      </c>
      <c r="S75" s="7" t="s">
        <v>32</v>
      </c>
      <c r="T75" s="11">
        <f>SUMIFS($K$3:$K$32,$I$3:$I$32,"="&amp;$S75,$E$3:$E$32,"&gt;"&amp;$R75)/SUMIF($E$3:$E$32,"&gt;"&amp;$R75,$K$3:$K$32)</f>
        <v>0.36363636363636365</v>
      </c>
      <c r="U75" s="11">
        <f t="shared" ref="U75:U76" si="25">IFERROR(-1*T75*LOG(T75,2),0)</f>
        <v>0.53070240677719904</v>
      </c>
      <c r="Z75" s="13" t="s">
        <v>13</v>
      </c>
      <c r="AA75" s="11">
        <f>SUM(AA73:AA74)</f>
        <v>1.4097305402087725</v>
      </c>
      <c r="AE75" s="13" t="s">
        <v>13</v>
      </c>
      <c r="AF75" s="11">
        <f>SUM(AF73:AF74)</f>
        <v>0.46899559358928122</v>
      </c>
      <c r="AG75" s="11"/>
      <c r="AH75" s="11"/>
      <c r="AI75" s="11"/>
      <c r="AJ75" s="12"/>
    </row>
    <row r="76" spans="17:36" x14ac:dyDescent="0.25">
      <c r="Q76" s="10" t="s">
        <v>85</v>
      </c>
      <c r="R76" s="47">
        <v>6.4</v>
      </c>
      <c r="S76" s="7" t="s">
        <v>33</v>
      </c>
      <c r="T76" s="11">
        <f>SUMIFS($K$3:$K$32,$I$3:$I$32,"="&amp;$S76,$E$3:$E$32,"&gt;"&amp;$R76)/SUMIF($E$3:$E$32,"&gt;"&amp;$R76,$K$3:$K$32)</f>
        <v>0.63636363636363635</v>
      </c>
      <c r="U76" s="11">
        <f t="shared" si="25"/>
        <v>0.41495789782344117</v>
      </c>
      <c r="Z76" s="13" t="s">
        <v>23</v>
      </c>
      <c r="AA76" s="29">
        <f>$O$7-AA75</f>
        <v>0.17523196051238354</v>
      </c>
      <c r="AE76" s="13" t="s">
        <v>21</v>
      </c>
      <c r="AF76" s="29">
        <f>IFERROR(AA76/AF75,0)</f>
        <v>0.37363242407313829</v>
      </c>
      <c r="AG76" s="11"/>
      <c r="AH76" s="11"/>
      <c r="AI76" s="11"/>
      <c r="AJ76" s="12"/>
    </row>
    <row r="77" spans="17:36" x14ac:dyDescent="0.25">
      <c r="Q77" s="10" t="s">
        <v>84</v>
      </c>
      <c r="R77" s="47">
        <v>6.5</v>
      </c>
      <c r="S77" s="7" t="s">
        <v>31</v>
      </c>
      <c r="T77" s="11">
        <f>SUMIFS($K$3:$K$32,$I$3:$I$32,"="&amp;$S77,$E$3:$E$32,"&lt;="&amp;$R77)/SUMIF($E$3:$E$32,"&lt;="&amp;$R77,$K$3:$K$32)</f>
        <v>0.45454545454545453</v>
      </c>
      <c r="U77" s="11">
        <f>IFERROR(-1*T77*LOG(T77,2),0)</f>
        <v>0.51704705624997038</v>
      </c>
      <c r="W77" s="7" t="s">
        <v>84</v>
      </c>
      <c r="X77" s="47">
        <v>7.2</v>
      </c>
      <c r="Y77" s="11">
        <f>SUMIF($E$3:$E$32,"&lt;="&amp;X77,$K$3:$K$32)/SUM($K$3:$K$32)</f>
        <v>0.93333333333333335</v>
      </c>
      <c r="Z77" s="11">
        <f>SUMIF($R$5:$R$127,"="&amp;X77,$U$5:$U$127)</f>
        <v>1.577406282852345</v>
      </c>
      <c r="AA77" s="11">
        <f>Y77*Z77</f>
        <v>1.472245863995522</v>
      </c>
      <c r="AB77" s="11"/>
      <c r="AC77" s="7" t="s">
        <v>84</v>
      </c>
      <c r="AD77" s="47">
        <v>7.2</v>
      </c>
      <c r="AE77" s="11">
        <f>SUMIF($E$3:$E$32,"&lt;="&amp;AD77,$K$3:$K$32)/SUM($K$3:$K$32)</f>
        <v>0.93333333333333335</v>
      </c>
      <c r="AF77" s="11">
        <f>IFERROR(-1*AE77*LOG(AE77,2),0)</f>
        <v>9.2899961980853443E-2</v>
      </c>
      <c r="AG77" s="11"/>
      <c r="AH77" s="11"/>
      <c r="AI77" s="11"/>
      <c r="AJ77" s="12"/>
    </row>
    <row r="78" spans="17:36" x14ac:dyDescent="0.25">
      <c r="Q78" s="10" t="s">
        <v>84</v>
      </c>
      <c r="R78" s="47">
        <v>6.5</v>
      </c>
      <c r="S78" s="7" t="s">
        <v>32</v>
      </c>
      <c r="T78" s="11">
        <f>SUMIFS($K$3:$K$32,$I$3:$I$32,"="&amp;$S78,$E$3:$E$32,"&lt;="&amp;$R78)/SUMIF($E$3:$E$32,"&lt;="&amp;$R78,$K$3:$K$32)</f>
        <v>0.31818181818181818</v>
      </c>
      <c r="U78" s="11">
        <f>IFERROR(-1*T78*LOG(T78,2),0)</f>
        <v>0.52566076709353882</v>
      </c>
      <c r="W78" s="7" t="s">
        <v>85</v>
      </c>
      <c r="X78" s="47">
        <v>7.2</v>
      </c>
      <c r="Y78" s="11">
        <f>SUMIF($E$3:$E$32,"&gt;"&amp;X78,$K$3:$K$32)/SUM($K$3:$K$32)</f>
        <v>6.6666666666666666E-2</v>
      </c>
      <c r="Z78" s="11">
        <f>SUMIFS($U$5:$U$130,$R$5:$R$130,"="&amp;X78,$Q$5:$Q$130,"="&amp;W78)</f>
        <v>0</v>
      </c>
      <c r="AA78" s="11">
        <f>Y78*Z78</f>
        <v>0</v>
      </c>
      <c r="AC78" s="7" t="s">
        <v>85</v>
      </c>
      <c r="AD78" s="47">
        <v>7.2</v>
      </c>
      <c r="AE78" s="11">
        <f>SUMIF($E$3:$E$32,"&gt;"&amp;AD78,$K$3:$K$32)/SUM($K$3:$K$32)</f>
        <v>6.6666666666666666E-2</v>
      </c>
      <c r="AF78" s="11">
        <f>IFERROR(-1*AE78*LOG(AE78,2),0)</f>
        <v>0.26045937304056793</v>
      </c>
      <c r="AG78" s="11"/>
      <c r="AH78" s="11"/>
      <c r="AI78" s="11"/>
      <c r="AJ78" s="12"/>
    </row>
    <row r="79" spans="17:36" x14ac:dyDescent="0.25">
      <c r="Q79" s="10" t="s">
        <v>84</v>
      </c>
      <c r="R79" s="47">
        <v>6.5</v>
      </c>
      <c r="S79" s="7" t="s">
        <v>33</v>
      </c>
      <c r="T79" s="11">
        <f>SUMIFS($K$3:$K$32,$I$3:$I$32,"="&amp;$S79,$E$3:$E$32,"&lt;="&amp;$R79)/SUMIF($E$3:$E$32,"&lt;="&amp;$R79,$K$3:$K$32)</f>
        <v>0.22727272727272727</v>
      </c>
      <c r="U79" s="11">
        <f>IFERROR(-1*T79*LOG(T79,2),0)</f>
        <v>0.48579625539771254</v>
      </c>
      <c r="Z79" s="13" t="s">
        <v>13</v>
      </c>
      <c r="AA79" s="11">
        <f>SUM(AA77:AA78)</f>
        <v>1.472245863995522</v>
      </c>
      <c r="AE79" s="13" t="s">
        <v>13</v>
      </c>
      <c r="AF79" s="11">
        <f>SUM(AF77:AF78)</f>
        <v>0.35335933502142136</v>
      </c>
      <c r="AG79" s="11"/>
      <c r="AH79" s="11"/>
      <c r="AI79" s="11"/>
      <c r="AJ79" s="12"/>
    </row>
    <row r="80" spans="17:36" x14ac:dyDescent="0.25">
      <c r="Q80" s="10" t="s">
        <v>85</v>
      </c>
      <c r="R80" s="47">
        <v>6.5</v>
      </c>
      <c r="S80" s="7" t="s">
        <v>31</v>
      </c>
      <c r="T80" s="11">
        <f>SUMIFS($K$3:$K$32,$I$3:$I$32,"="&amp;$S80,$E$3:$E$32,"&gt;"&amp;$R80)/SUMIF($E$3:$E$32,"&gt;"&amp;$R80,$K$3:$K$32)</f>
        <v>0</v>
      </c>
      <c r="U80" s="11">
        <f>IFERROR(-1*T80*LOG(T80,2),0)</f>
        <v>0</v>
      </c>
      <c r="Z80" s="13" t="s">
        <v>23</v>
      </c>
      <c r="AA80" s="29">
        <f>$O$7-AA79</f>
        <v>0.11271663672563403</v>
      </c>
      <c r="AE80" s="13" t="s">
        <v>21</v>
      </c>
      <c r="AF80" s="29">
        <f>IFERROR(AA80/AF79,0)</f>
        <v>0.31898587515397298</v>
      </c>
      <c r="AG80" s="11"/>
      <c r="AH80" s="11"/>
      <c r="AI80" s="11"/>
      <c r="AJ80" s="12"/>
    </row>
    <row r="81" spans="17:36" x14ac:dyDescent="0.25">
      <c r="Q81" s="10" t="s">
        <v>85</v>
      </c>
      <c r="R81" s="47">
        <v>6.5</v>
      </c>
      <c r="S81" s="7" t="s">
        <v>32</v>
      </c>
      <c r="T81" s="11">
        <f>SUMIFS($K$3:$K$32,$I$3:$I$32,"="&amp;$S81,$E$3:$E$32,"&gt;"&amp;$R81)/SUMIF($E$3:$E$32,"&gt;"&amp;$R81,$K$3:$K$32)</f>
        <v>0.375</v>
      </c>
      <c r="U81" s="11">
        <f t="shared" ref="U81:U82" si="26">IFERROR(-1*T81*LOG(T81,2),0)</f>
        <v>0.53063906222956636</v>
      </c>
      <c r="W81" s="7" t="s">
        <v>84</v>
      </c>
      <c r="X81" s="47">
        <v>7.3</v>
      </c>
      <c r="Y81" s="11">
        <f>SUMIF($E$3:$E$32,"&lt;="&amp;X81,$K$3:$K$32)/SUM($K$3:$K$32)</f>
        <v>0.96666666666666667</v>
      </c>
      <c r="Z81" s="11">
        <f>SUMIF($R$5:$R$127,"="&amp;X81,$U$5:$U$127)</f>
        <v>1.5832262740679837</v>
      </c>
      <c r="AA81" s="11">
        <f>Y81*Z81</f>
        <v>1.5304520649323843</v>
      </c>
      <c r="AB81" s="11"/>
      <c r="AC81" s="7" t="s">
        <v>84</v>
      </c>
      <c r="AD81" s="47">
        <v>7.3</v>
      </c>
      <c r="AE81" s="11">
        <f>SUMIF($E$3:$E$32,"&lt;="&amp;AD81,$K$3:$K$32)/SUM($K$3:$K$32)</f>
        <v>0.96666666666666667</v>
      </c>
      <c r="AF81" s="11">
        <f>IFERROR(-1*AE81*LOG(AE81,2),0)</f>
        <v>4.727928046491485E-2</v>
      </c>
      <c r="AG81" s="11"/>
      <c r="AH81" s="11"/>
      <c r="AI81" s="11"/>
      <c r="AJ81" s="12"/>
    </row>
    <row r="82" spans="17:36" x14ac:dyDescent="0.25">
      <c r="Q82" s="10" t="s">
        <v>85</v>
      </c>
      <c r="R82" s="47">
        <v>6.5</v>
      </c>
      <c r="S82" s="7" t="s">
        <v>33</v>
      </c>
      <c r="T82" s="11">
        <f>SUMIFS($K$3:$K$32,$I$3:$I$32,"="&amp;$S82,$E$3:$E$32,"&gt;"&amp;$R82)/SUMIF($E$3:$E$32,"&gt;"&amp;$R82,$K$3:$K$32)</f>
        <v>0.625</v>
      </c>
      <c r="U82" s="11">
        <f t="shared" si="26"/>
        <v>0.42379494069539858</v>
      </c>
      <c r="W82" s="7" t="s">
        <v>85</v>
      </c>
      <c r="X82" s="47">
        <v>7.3</v>
      </c>
      <c r="Y82" s="11">
        <f>SUMIF($E$3:$E$32,"&gt;"&amp;X82,$K$3:$K$32)/SUM($K$3:$K$32)</f>
        <v>3.3333333333333333E-2</v>
      </c>
      <c r="Z82" s="11">
        <f>SUMIFS($U$5:$U$130,$R$5:$R$130,"="&amp;X82,$Q$5:$Q$130,"="&amp;W82)</f>
        <v>0</v>
      </c>
      <c r="AA82" s="11">
        <f>Y82*Z82</f>
        <v>0</v>
      </c>
      <c r="AC82" s="7" t="s">
        <v>85</v>
      </c>
      <c r="AD82" s="47">
        <v>7.3</v>
      </c>
      <c r="AE82" s="11">
        <f>SUMIF($E$3:$E$32,"&gt;"&amp;AD82,$K$3:$K$32)/SUM($K$3:$K$32)</f>
        <v>3.3333333333333333E-2</v>
      </c>
      <c r="AF82" s="11">
        <f>IFERROR(-1*AE82*LOG(AE82,2),0)</f>
        <v>0.16356301985361729</v>
      </c>
      <c r="AG82" s="11"/>
      <c r="AH82" s="11"/>
      <c r="AI82" s="11"/>
      <c r="AJ82" s="12"/>
    </row>
    <row r="83" spans="17:36" x14ac:dyDescent="0.25">
      <c r="Q83" s="10" t="s">
        <v>84</v>
      </c>
      <c r="R83" s="47">
        <v>6.6</v>
      </c>
      <c r="S83" s="7" t="s">
        <v>31</v>
      </c>
      <c r="T83" s="11">
        <f>SUMIFS($K$3:$K$32,$I$3:$I$32,"="&amp;$S83,$E$3:$E$32,"&lt;="&amp;$R83)/SUMIF($E$3:$E$32,"&lt;="&amp;$R83,$K$3:$K$32)</f>
        <v>0.43478260869565216</v>
      </c>
      <c r="U83" s="11">
        <f>IFERROR(-1*T83*LOG(T83,2),0)</f>
        <v>0.52244950485636987</v>
      </c>
      <c r="Z83" s="13" t="s">
        <v>13</v>
      </c>
      <c r="AA83" s="11">
        <f>SUM(AA81:AA82)</f>
        <v>1.5304520649323843</v>
      </c>
      <c r="AE83" s="13" t="s">
        <v>13</v>
      </c>
      <c r="AF83" s="11">
        <f>SUM(AF81:AF82)</f>
        <v>0.21084230031853213</v>
      </c>
      <c r="AG83" s="11"/>
      <c r="AH83" s="11"/>
      <c r="AI83" s="11"/>
      <c r="AJ83" s="12"/>
    </row>
    <row r="84" spans="17:36" x14ac:dyDescent="0.25">
      <c r="Q84" s="10" t="s">
        <v>84</v>
      </c>
      <c r="R84" s="47">
        <v>6.6</v>
      </c>
      <c r="S84" s="7" t="s">
        <v>32</v>
      </c>
      <c r="T84" s="11">
        <f>SUMIFS($K$3:$K$32,$I$3:$I$32,"="&amp;$S84,$E$3:$E$32,"&lt;="&amp;$R84)/SUMIF($E$3:$E$32,"&lt;="&amp;$R84,$K$3:$K$32)</f>
        <v>0.34782608695652173</v>
      </c>
      <c r="U84" s="11">
        <f>IFERROR(-1*T84*LOG(T84,2),0)</f>
        <v>0.52993459341113491</v>
      </c>
      <c r="Z84" s="13" t="s">
        <v>23</v>
      </c>
      <c r="AA84" s="29">
        <f>$O$7-AA83</f>
        <v>5.4510435788771794E-2</v>
      </c>
      <c r="AE84" s="13" t="s">
        <v>21</v>
      </c>
      <c r="AF84" s="29">
        <f>IFERROR(AA84/AF83,0)</f>
        <v>0.25853652567070085</v>
      </c>
      <c r="AG84" s="11"/>
      <c r="AH84" s="11"/>
      <c r="AI84" s="11"/>
      <c r="AJ84" s="12"/>
    </row>
    <row r="85" spans="17:36" x14ac:dyDescent="0.25">
      <c r="Q85" s="10" t="s">
        <v>84</v>
      </c>
      <c r="R85" s="47">
        <v>6.6</v>
      </c>
      <c r="S85" s="7" t="s">
        <v>33</v>
      </c>
      <c r="T85" s="11">
        <f>SUMIFS($K$3:$K$32,$I$3:$I$32,"="&amp;$S85,$E$3:$E$32,"&lt;="&amp;$R85)/SUMIF($E$3:$E$32,"&lt;="&amp;$R85,$K$3:$K$32)</f>
        <v>0.21739130434782608</v>
      </c>
      <c r="U85" s="11">
        <f>IFERROR(-1*T85*LOG(T85,2),0)</f>
        <v>0.47861605677601105</v>
      </c>
      <c r="W85" s="7" t="s">
        <v>84</v>
      </c>
      <c r="X85" s="47">
        <v>7.6</v>
      </c>
      <c r="Y85" s="11">
        <f>SUMIF($E$3:$E$32,"&lt;="&amp;X85,$K$3:$K$32)/SUM($K$3:$K$32)</f>
        <v>1</v>
      </c>
      <c r="Z85" s="11">
        <f>SUMIF($R$5:$R$127,"="&amp;X85,$U$5:$U$127)</f>
        <v>1.5849625007211561</v>
      </c>
      <c r="AA85" s="11">
        <f>Y85*Z85</f>
        <v>1.5849625007211561</v>
      </c>
      <c r="AB85" s="11"/>
      <c r="AC85" s="7" t="s">
        <v>84</v>
      </c>
      <c r="AD85" s="47">
        <v>7.6</v>
      </c>
      <c r="AE85" s="11">
        <f>SUMIF($E$3:$E$32,"&lt;="&amp;AD85,$K$3:$K$32)/SUM($K$3:$K$32)</f>
        <v>1</v>
      </c>
      <c r="AF85" s="11">
        <f>IFERROR(-1*AE85*LOG(AE85,2),0)</f>
        <v>0</v>
      </c>
      <c r="AG85" s="11"/>
      <c r="AH85" s="11"/>
      <c r="AI85" s="11"/>
      <c r="AJ85" s="12"/>
    </row>
    <row r="86" spans="17:36" x14ac:dyDescent="0.25">
      <c r="Q86" s="10" t="s">
        <v>85</v>
      </c>
      <c r="R86" s="47">
        <v>6.6</v>
      </c>
      <c r="S86" s="7" t="s">
        <v>31</v>
      </c>
      <c r="T86" s="11">
        <f>SUMIFS($K$3:$K$32,$I$3:$I$32,"="&amp;$S86,$E$3:$E$32,"&gt;"&amp;$R86)/SUMIF($E$3:$E$32,"&gt;"&amp;$R86,$K$3:$K$32)</f>
        <v>0</v>
      </c>
      <c r="U86" s="11">
        <f>IFERROR(-1*T86*LOG(T86,2),0)</f>
        <v>0</v>
      </c>
      <c r="W86" s="7" t="s">
        <v>85</v>
      </c>
      <c r="X86" s="47">
        <v>7.6</v>
      </c>
      <c r="Y86" s="11">
        <f>SUMIF($E$3:$E$32,"&gt;"&amp;X86,$K$3:$K$32)/SUM($K$3:$K$32)</f>
        <v>0</v>
      </c>
      <c r="Z86" s="11">
        <f>SUMIFS($U$5:$U$130,$R$5:$R$130,"="&amp;X86,$Q$5:$Q$130,"="&amp;W86)</f>
        <v>0</v>
      </c>
      <c r="AA86" s="11">
        <f>Y86*Z86</f>
        <v>0</v>
      </c>
      <c r="AC86" s="7" t="s">
        <v>85</v>
      </c>
      <c r="AD86" s="47">
        <v>7.6</v>
      </c>
      <c r="AE86" s="11">
        <f>SUMIF($E$3:$E$32,"&gt;"&amp;AD86,$K$3:$K$32)/SUM($K$3:$K$32)</f>
        <v>0</v>
      </c>
      <c r="AF86" s="11">
        <f>IFERROR(-1*AE86*LOG(AE86,2),0)</f>
        <v>0</v>
      </c>
      <c r="AG86" s="11"/>
      <c r="AH86" s="11"/>
      <c r="AI86" s="11"/>
      <c r="AJ86" s="12"/>
    </row>
    <row r="87" spans="17:36" x14ac:dyDescent="0.25">
      <c r="Q87" s="10" t="s">
        <v>85</v>
      </c>
      <c r="R87" s="47">
        <v>6.6</v>
      </c>
      <c r="S87" s="7" t="s">
        <v>32</v>
      </c>
      <c r="T87" s="11">
        <f>SUMIFS($K$3:$K$32,$I$3:$I$32,"="&amp;$S87,$E$3:$E$32,"&gt;"&amp;$R87)/SUMIF($E$3:$E$32,"&gt;"&amp;$R87,$K$3:$K$32)</f>
        <v>0.2857142857142857</v>
      </c>
      <c r="U87" s="11">
        <f t="shared" ref="U87:U88" si="27">IFERROR(-1*T87*LOG(T87,2),0)</f>
        <v>0.51638712058788683</v>
      </c>
      <c r="Z87" s="13" t="s">
        <v>13</v>
      </c>
      <c r="AA87" s="11">
        <f>SUM(AA85:AA86)</f>
        <v>1.5849625007211561</v>
      </c>
      <c r="AE87" s="13" t="s">
        <v>13</v>
      </c>
      <c r="AF87" s="11">
        <f>SUM(AF85:AF86)</f>
        <v>0</v>
      </c>
      <c r="AG87" s="11"/>
      <c r="AH87" s="11"/>
      <c r="AI87" s="11"/>
      <c r="AJ87" s="12"/>
    </row>
    <row r="88" spans="17:36" x14ac:dyDescent="0.25">
      <c r="Q88" s="10" t="s">
        <v>85</v>
      </c>
      <c r="R88" s="47">
        <v>6.6</v>
      </c>
      <c r="S88" s="7" t="s">
        <v>33</v>
      </c>
      <c r="T88" s="11">
        <f>SUMIFS($K$3:$K$32,$I$3:$I$32,"="&amp;$S88,$E$3:$E$32,"&gt;"&amp;$R88)/SUMIF($E$3:$E$32,"&gt;"&amp;$R88,$K$3:$K$32)</f>
        <v>0.7142857142857143</v>
      </c>
      <c r="U88" s="11">
        <f t="shared" si="27"/>
        <v>0.34673344797874411</v>
      </c>
      <c r="Z88" s="13" t="s">
        <v>23</v>
      </c>
      <c r="AA88" s="29">
        <f>$O$7-AA87</f>
        <v>0</v>
      </c>
      <c r="AE88" s="13" t="s">
        <v>21</v>
      </c>
      <c r="AF88" s="29">
        <f>IFERROR(AA88/AF87,0)</f>
        <v>0</v>
      </c>
      <c r="AG88" s="11"/>
      <c r="AJ88" s="9"/>
    </row>
    <row r="89" spans="17:36" x14ac:dyDescent="0.25">
      <c r="Q89" s="10" t="s">
        <v>84</v>
      </c>
      <c r="R89" s="47">
        <v>6.7</v>
      </c>
      <c r="S89" s="7" t="s">
        <v>31</v>
      </c>
      <c r="T89" s="11">
        <f>SUMIFS($K$3:$K$32,$I$3:$I$32,"="&amp;$S89,$E$3:$E$32,"&lt;="&amp;$R89)/SUMIF($E$3:$E$32,"&lt;="&amp;$R89,$K$3:$K$32)</f>
        <v>0.41666666666666669</v>
      </c>
      <c r="U89" s="11">
        <f>IFERROR(-1*T89*LOG(T89,2),0)</f>
        <v>0.52626433576408072</v>
      </c>
      <c r="AJ89" s="9"/>
    </row>
    <row r="90" spans="17:36" x14ac:dyDescent="0.25">
      <c r="Q90" s="10" t="s">
        <v>84</v>
      </c>
      <c r="R90" s="47">
        <v>6.7</v>
      </c>
      <c r="S90" s="7" t="s">
        <v>32</v>
      </c>
      <c r="T90" s="11">
        <f>SUMIFS($K$3:$K$32,$I$3:$I$32,"="&amp;$S90,$E$3:$E$32,"&lt;="&amp;$R90)/SUMIF($E$3:$E$32,"&lt;="&amp;$R90,$K$3:$K$32)</f>
        <v>0.33333333333333331</v>
      </c>
      <c r="U90" s="11">
        <f>IFERROR(-1*T90*LOG(T90,2),0)</f>
        <v>0.52832083357371873</v>
      </c>
      <c r="AJ90" s="9"/>
    </row>
    <row r="91" spans="17:36" x14ac:dyDescent="0.25">
      <c r="Q91" s="10" t="s">
        <v>84</v>
      </c>
      <c r="R91" s="47">
        <v>6.7</v>
      </c>
      <c r="S91" s="7" t="s">
        <v>33</v>
      </c>
      <c r="T91" s="11">
        <f>SUMIFS($K$3:$K$32,$I$3:$I$32,"="&amp;$S91,$E$3:$E$32,"&lt;="&amp;$R91)/SUMIF($E$3:$E$32,"&lt;="&amp;$R91,$K$3:$K$32)</f>
        <v>0.25</v>
      </c>
      <c r="U91" s="11">
        <f>IFERROR(-1*T91*LOG(T91,2),0)</f>
        <v>0.5</v>
      </c>
      <c r="AJ91" s="9"/>
    </row>
    <row r="92" spans="17:36" x14ac:dyDescent="0.25">
      <c r="Q92" s="10" t="s">
        <v>85</v>
      </c>
      <c r="R92" s="47">
        <v>6.7</v>
      </c>
      <c r="S92" s="7" t="s">
        <v>31</v>
      </c>
      <c r="T92" s="11">
        <f>SUMIFS($K$3:$K$32,$I$3:$I$32,"="&amp;$S92,$E$3:$E$32,"&gt;"&amp;$R92)/SUMIF($E$3:$E$32,"&gt;"&amp;$R92,$K$3:$K$32)</f>
        <v>0</v>
      </c>
      <c r="U92" s="11">
        <f>IFERROR(-1*T92*LOG(T92,2),0)</f>
        <v>0</v>
      </c>
      <c r="AJ92" s="9"/>
    </row>
    <row r="93" spans="17:36" x14ac:dyDescent="0.25">
      <c r="Q93" s="10" t="s">
        <v>85</v>
      </c>
      <c r="R93" s="47">
        <v>6.7</v>
      </c>
      <c r="S93" s="7" t="s">
        <v>32</v>
      </c>
      <c r="T93" s="11">
        <f>SUMIFS($K$3:$K$32,$I$3:$I$32,"="&amp;$S93,$E$3:$E$32,"&gt;"&amp;$R93)/SUMIF($E$3:$E$32,"&gt;"&amp;$R93,$K$3:$K$32)</f>
        <v>0.33333333333333331</v>
      </c>
      <c r="U93" s="11">
        <f t="shared" ref="U93:U94" si="28">IFERROR(-1*T93*LOG(T93,2),0)</f>
        <v>0.52832083357371873</v>
      </c>
      <c r="AJ93" s="9"/>
    </row>
    <row r="94" spans="17:36" x14ac:dyDescent="0.25">
      <c r="Q94" s="10" t="s">
        <v>85</v>
      </c>
      <c r="R94" s="47">
        <v>6.7</v>
      </c>
      <c r="S94" s="7" t="s">
        <v>33</v>
      </c>
      <c r="T94" s="11">
        <f>SUMIFS($K$3:$K$32,$I$3:$I$32,"="&amp;$S94,$E$3:$E$32,"&gt;"&amp;$R94)/SUMIF($E$3:$E$32,"&gt;"&amp;$R94,$K$3:$K$32)</f>
        <v>0.66666666666666663</v>
      </c>
      <c r="U94" s="11">
        <f t="shared" si="28"/>
        <v>0.38997500048077083</v>
      </c>
      <c r="AJ94" s="9"/>
    </row>
    <row r="95" spans="17:36" x14ac:dyDescent="0.25">
      <c r="Q95" s="10" t="s">
        <v>84</v>
      </c>
      <c r="R95" s="47">
        <v>6.8</v>
      </c>
      <c r="S95" s="7" t="s">
        <v>31</v>
      </c>
      <c r="T95" s="11">
        <f>SUMIFS($K$3:$K$32,$I$3:$I$32,"="&amp;$S95,$E$3:$E$32,"&lt;="&amp;$R95)/SUMIF($E$3:$E$32,"&lt;="&amp;$R95,$K$3:$K$32)</f>
        <v>0.4</v>
      </c>
      <c r="U95" s="11">
        <f>IFERROR(-1*T95*LOG(T95,2),0)</f>
        <v>0.52877123795494485</v>
      </c>
      <c r="AJ95" s="9"/>
    </row>
    <row r="96" spans="17:36" x14ac:dyDescent="0.25">
      <c r="Q96" s="10" t="s">
        <v>84</v>
      </c>
      <c r="R96" s="47">
        <v>6.8</v>
      </c>
      <c r="S96" s="7" t="s">
        <v>32</v>
      </c>
      <c r="T96" s="11">
        <f>SUMIFS($K$3:$K$32,$I$3:$I$32,"="&amp;$S96,$E$3:$E$32,"&lt;="&amp;$R96)/SUMIF($E$3:$E$32,"&lt;="&amp;$R96,$K$3:$K$32)</f>
        <v>0.32</v>
      </c>
      <c r="U96" s="11">
        <f>IFERROR(-1*T96*LOG(T96,2),0)</f>
        <v>0.52603398072791197</v>
      </c>
      <c r="AJ96" s="9"/>
    </row>
    <row r="97" spans="17:36" x14ac:dyDescent="0.25">
      <c r="Q97" s="10" t="s">
        <v>84</v>
      </c>
      <c r="R97" s="47">
        <v>6.8</v>
      </c>
      <c r="S97" s="7" t="s">
        <v>33</v>
      </c>
      <c r="T97" s="11">
        <f>SUMIFS($K$3:$K$32,$I$3:$I$32,"="&amp;$S97,$E$3:$E$32,"&lt;="&amp;$R97)/SUMIF($E$3:$E$32,"&lt;="&amp;$R97,$K$3:$K$32)</f>
        <v>0.28000000000000003</v>
      </c>
      <c r="U97" s="11">
        <f>IFERROR(-1*T97*LOG(T97,2),0)</f>
        <v>0.51422035496079377</v>
      </c>
      <c r="AJ97" s="9"/>
    </row>
    <row r="98" spans="17:36" x14ac:dyDescent="0.25">
      <c r="Q98" s="10" t="s">
        <v>85</v>
      </c>
      <c r="R98" s="47">
        <v>6.8</v>
      </c>
      <c r="S98" s="7" t="s">
        <v>31</v>
      </c>
      <c r="T98" s="11">
        <f>SUMIFS($K$3:$K$32,$I$3:$I$32,"="&amp;$S98,$E$3:$E$32,"&gt;"&amp;$R98)/SUMIF($E$3:$E$32,"&gt;"&amp;$R98,$K$3:$K$32)</f>
        <v>0</v>
      </c>
      <c r="U98" s="11">
        <f>IFERROR(-1*T98*LOG(T98,2),0)</f>
        <v>0</v>
      </c>
      <c r="AJ98" s="9"/>
    </row>
    <row r="99" spans="17:36" x14ac:dyDescent="0.25">
      <c r="Q99" s="10" t="s">
        <v>85</v>
      </c>
      <c r="R99" s="47">
        <v>6.8</v>
      </c>
      <c r="S99" s="7" t="s">
        <v>32</v>
      </c>
      <c r="T99" s="11">
        <f>SUMIFS($K$3:$K$32,$I$3:$I$32,"="&amp;$S99,$E$3:$E$32,"&gt;"&amp;$R99)/SUMIF($E$3:$E$32,"&gt;"&amp;$R99,$K$3:$K$32)</f>
        <v>0.4</v>
      </c>
      <c r="U99" s="11">
        <f t="shared" ref="U99:U100" si="29">IFERROR(-1*T99*LOG(T99,2),0)</f>
        <v>0.52877123795494485</v>
      </c>
      <c r="AJ99" s="9"/>
    </row>
    <row r="100" spans="17:36" x14ac:dyDescent="0.25">
      <c r="Q100" s="10" t="s">
        <v>85</v>
      </c>
      <c r="R100" s="47">
        <v>6.8</v>
      </c>
      <c r="S100" s="7" t="s">
        <v>33</v>
      </c>
      <c r="T100" s="11">
        <f>SUMIFS($K$3:$K$32,$I$3:$I$32,"="&amp;$S100,$E$3:$E$32,"&gt;"&amp;$R100)/SUMIF($E$3:$E$32,"&gt;"&amp;$R100,$K$3:$K$32)</f>
        <v>0.6</v>
      </c>
      <c r="U100" s="11">
        <f t="shared" si="29"/>
        <v>0.44217935649972373</v>
      </c>
      <c r="AJ100" s="9"/>
    </row>
    <row r="101" spans="17:36" x14ac:dyDescent="0.25">
      <c r="Q101" s="10" t="s">
        <v>84</v>
      </c>
      <c r="R101" s="47">
        <v>6.9</v>
      </c>
      <c r="S101" s="7" t="s">
        <v>31</v>
      </c>
      <c r="T101" s="11">
        <f>SUMIFS($K$3:$K$32,$I$3:$I$32,"="&amp;$S101,$E$3:$E$32,"&lt;="&amp;$R101)/SUMIF($E$3:$E$32,"&lt;="&amp;$R101,$K$3:$K$32)</f>
        <v>0.38461538461538464</v>
      </c>
      <c r="U101" s="11">
        <f>IFERROR(-1*T101*LOG(T101,2),0)</f>
        <v>0.5301967781745115</v>
      </c>
      <c r="AJ101" s="9"/>
    </row>
    <row r="102" spans="17:36" x14ac:dyDescent="0.25">
      <c r="Q102" s="10" t="s">
        <v>84</v>
      </c>
      <c r="R102" s="47">
        <v>6.9</v>
      </c>
      <c r="S102" s="7" t="s">
        <v>32</v>
      </c>
      <c r="T102" s="11">
        <f>SUMIFS($K$3:$K$32,$I$3:$I$32,"="&amp;$S102,$E$3:$E$32,"&lt;="&amp;$R102)/SUMIF($E$3:$E$32,"&lt;="&amp;$R102,$K$3:$K$32)</f>
        <v>0.34615384615384615</v>
      </c>
      <c r="U102" s="11">
        <f>IFERROR(-1*T102*LOG(T102,2),0)</f>
        <v>0.52979355578034693</v>
      </c>
      <c r="AJ102" s="9"/>
    </row>
    <row r="103" spans="17:36" x14ac:dyDescent="0.25">
      <c r="Q103" s="10" t="s">
        <v>84</v>
      </c>
      <c r="R103" s="47">
        <v>6.9</v>
      </c>
      <c r="S103" s="7" t="s">
        <v>33</v>
      </c>
      <c r="T103" s="11">
        <f>SUMIFS($K$3:$K$32,$I$3:$I$32,"="&amp;$S103,$E$3:$E$32,"&lt;="&amp;$R103)/SUMIF($E$3:$E$32,"&lt;="&amp;$R103,$K$3:$K$32)</f>
        <v>0.26923076923076922</v>
      </c>
      <c r="U103" s="11">
        <f>IFERROR(-1*T103*LOG(T103,2),0)</f>
        <v>0.50967667586863141</v>
      </c>
      <c r="AJ103" s="9"/>
    </row>
    <row r="104" spans="17:36" x14ac:dyDescent="0.25">
      <c r="Q104" s="10" t="s">
        <v>85</v>
      </c>
      <c r="R104" s="47">
        <v>6.9</v>
      </c>
      <c r="S104" s="7" t="s">
        <v>31</v>
      </c>
      <c r="T104" s="11">
        <f>SUMIFS($K$3:$K$32,$I$3:$I$32,"="&amp;$S104,$E$3:$E$32,"&gt;"&amp;$R104)/SUMIF($E$3:$E$32,"&gt;"&amp;$R104,$K$3:$K$32)</f>
        <v>0</v>
      </c>
      <c r="U104" s="11">
        <f>IFERROR(-1*T104*LOG(T104,2),0)</f>
        <v>0</v>
      </c>
      <c r="AJ104" s="9"/>
    </row>
    <row r="105" spans="17:36" x14ac:dyDescent="0.25">
      <c r="Q105" s="10" t="s">
        <v>85</v>
      </c>
      <c r="R105" s="47">
        <v>6.9</v>
      </c>
      <c r="S105" s="7" t="s">
        <v>32</v>
      </c>
      <c r="T105" s="11">
        <f>SUMIFS($K$3:$K$32,$I$3:$I$32,"="&amp;$S105,$E$3:$E$32,"&gt;"&amp;$R105)/SUMIF($E$3:$E$32,"&gt;"&amp;$R105,$K$3:$K$32)</f>
        <v>0.25</v>
      </c>
      <c r="U105" s="11">
        <f t="shared" ref="U105:U106" si="30">IFERROR(-1*T105*LOG(T105,2),0)</f>
        <v>0.5</v>
      </c>
      <c r="AJ105" s="9"/>
    </row>
    <row r="106" spans="17:36" x14ac:dyDescent="0.25">
      <c r="Q106" s="10" t="s">
        <v>85</v>
      </c>
      <c r="R106" s="47">
        <v>6.9</v>
      </c>
      <c r="S106" s="7" t="s">
        <v>33</v>
      </c>
      <c r="T106" s="11">
        <f>SUMIFS($K$3:$K$32,$I$3:$I$32,"="&amp;$S106,$E$3:$E$32,"&gt;"&amp;$R106)/SUMIF($E$3:$E$32,"&gt;"&amp;$R106,$K$3:$K$32)</f>
        <v>0.75</v>
      </c>
      <c r="U106" s="11">
        <f t="shared" si="30"/>
        <v>0.31127812445913283</v>
      </c>
      <c r="AJ106" s="9"/>
    </row>
    <row r="107" spans="17:36" x14ac:dyDescent="0.25">
      <c r="Q107" s="10" t="s">
        <v>84</v>
      </c>
      <c r="R107" s="47">
        <v>7</v>
      </c>
      <c r="S107" s="7" t="s">
        <v>31</v>
      </c>
      <c r="T107" s="11">
        <f>SUMIFS($K$3:$K$32,$I$3:$I$32,"="&amp;$S107,$E$3:$E$32,"&lt;="&amp;$R107)/SUMIF($E$3:$E$32,"&lt;="&amp;$R107,$K$3:$K$32)</f>
        <v>0.37037037037037035</v>
      </c>
      <c r="U107" s="11">
        <f>IFERROR(-1*T107*LOG(T107,2),0)</f>
        <v>0.53072570639855787</v>
      </c>
      <c r="AJ107" s="9"/>
    </row>
    <row r="108" spans="17:36" x14ac:dyDescent="0.25">
      <c r="Q108" s="10" t="s">
        <v>84</v>
      </c>
      <c r="R108" s="47">
        <v>7</v>
      </c>
      <c r="S108" s="7" t="s">
        <v>32</v>
      </c>
      <c r="T108" s="11">
        <f>SUMIFS($K$3:$K$32,$I$3:$I$32,"="&amp;$S108,$E$3:$E$32,"&lt;="&amp;$R108)/SUMIF($E$3:$E$32,"&lt;="&amp;$R108,$K$3:$K$32)</f>
        <v>0.37037037037037035</v>
      </c>
      <c r="U108" s="11">
        <f>IFERROR(-1*T108*LOG(T108,2),0)</f>
        <v>0.53072570639855787</v>
      </c>
      <c r="AJ108" s="9"/>
    </row>
    <row r="109" spans="17:36" x14ac:dyDescent="0.25">
      <c r="Q109" s="10" t="s">
        <v>84</v>
      </c>
      <c r="R109" s="47">
        <v>7</v>
      </c>
      <c r="S109" s="7" t="s">
        <v>33</v>
      </c>
      <c r="T109" s="11">
        <f>SUMIFS($K$3:$K$32,$I$3:$I$32,"="&amp;$S109,$E$3:$E$32,"&lt;="&amp;$R109)/SUMIF($E$3:$E$32,"&lt;="&amp;$R109,$K$3:$K$32)</f>
        <v>0.25925925925925924</v>
      </c>
      <c r="U109" s="11">
        <f>IFERROR(-1*T109*LOG(T109,2),0)</f>
        <v>0.5049158541015204</v>
      </c>
      <c r="AJ109" s="9"/>
    </row>
    <row r="110" spans="17:36" x14ac:dyDescent="0.25">
      <c r="Q110" s="10" t="s">
        <v>85</v>
      </c>
      <c r="R110" s="47">
        <v>7</v>
      </c>
      <c r="S110" s="7" t="s">
        <v>31</v>
      </c>
      <c r="T110" s="11">
        <f>SUMIFS($K$3:$K$32,$I$3:$I$32,"="&amp;$S110,$E$3:$E$32,"&gt;"&amp;$R110)/SUMIF($E$3:$E$32,"&gt;"&amp;$R110,$K$3:$K$32)</f>
        <v>0</v>
      </c>
      <c r="U110" s="11">
        <f>IFERROR(-1*T110*LOG(T110,2),0)</f>
        <v>0</v>
      </c>
      <c r="AJ110" s="9"/>
    </row>
    <row r="111" spans="17:36" x14ac:dyDescent="0.25">
      <c r="Q111" s="10" t="s">
        <v>85</v>
      </c>
      <c r="R111" s="47">
        <v>7</v>
      </c>
      <c r="S111" s="7" t="s">
        <v>32</v>
      </c>
      <c r="T111" s="11">
        <f>SUMIFS($K$3:$K$32,$I$3:$I$32,"="&amp;$S111,$E$3:$E$32,"&gt;"&amp;$R111)/SUMIF($E$3:$E$32,"&gt;"&amp;$R111,$K$3:$K$32)</f>
        <v>0</v>
      </c>
      <c r="U111" s="11">
        <f t="shared" ref="U111:U112" si="31">IFERROR(-1*T111*LOG(T111,2),0)</f>
        <v>0</v>
      </c>
      <c r="AJ111" s="9"/>
    </row>
    <row r="112" spans="17:36" x14ac:dyDescent="0.25">
      <c r="Q112" s="10" t="s">
        <v>85</v>
      </c>
      <c r="R112" s="47">
        <v>7</v>
      </c>
      <c r="S112" s="7" t="s">
        <v>33</v>
      </c>
      <c r="T112" s="11">
        <f>SUMIFS($K$3:$K$32,$I$3:$I$32,"="&amp;$S112,$E$3:$E$32,"&gt;"&amp;$R112)/SUMIF($E$3:$E$32,"&gt;"&amp;$R112,$K$3:$K$32)</f>
        <v>1</v>
      </c>
      <c r="U112" s="11">
        <f t="shared" si="31"/>
        <v>0</v>
      </c>
      <c r="AJ112" s="9"/>
    </row>
    <row r="113" spans="17:36" x14ac:dyDescent="0.25">
      <c r="Q113" s="10" t="s">
        <v>84</v>
      </c>
      <c r="R113" s="47">
        <v>7.2</v>
      </c>
      <c r="S113" s="7" t="s">
        <v>31</v>
      </c>
      <c r="T113" s="11">
        <f>SUMIFS($K$3:$K$32,$I$3:$I$32,"="&amp;$S113,$E$3:$E$32,"&lt;="&amp;$R113)/SUMIF($E$3:$E$32,"&lt;="&amp;$R113,$K$3:$K$32)</f>
        <v>0.35714285714285715</v>
      </c>
      <c r="U113" s="11">
        <f>IFERROR(-1*T113*LOG(T113,2),0)</f>
        <v>0.53050958113222912</v>
      </c>
      <c r="AJ113" s="9"/>
    </row>
    <row r="114" spans="17:36" x14ac:dyDescent="0.25">
      <c r="Q114" s="10" t="s">
        <v>84</v>
      </c>
      <c r="R114" s="47">
        <v>7.2</v>
      </c>
      <c r="S114" s="7" t="s">
        <v>32</v>
      </c>
      <c r="T114" s="11">
        <f>SUMIFS($K$3:$K$32,$I$3:$I$32,"="&amp;$S114,$E$3:$E$32,"&lt;="&amp;$R114)/SUMIF($E$3:$E$32,"&lt;="&amp;$R114,$K$3:$K$32)</f>
        <v>0.35714285714285715</v>
      </c>
      <c r="U114" s="11">
        <f>IFERROR(-1*T114*LOG(T114,2),0)</f>
        <v>0.53050958113222912</v>
      </c>
      <c r="AJ114" s="9"/>
    </row>
    <row r="115" spans="17:36" x14ac:dyDescent="0.25">
      <c r="Q115" s="10" t="s">
        <v>84</v>
      </c>
      <c r="R115" s="47">
        <v>7.2</v>
      </c>
      <c r="S115" s="7" t="s">
        <v>33</v>
      </c>
      <c r="T115" s="11">
        <f>SUMIFS($K$3:$K$32,$I$3:$I$32,"="&amp;$S115,$E$3:$E$32,"&lt;="&amp;$R115)/SUMIF($E$3:$E$32,"&lt;="&amp;$R115,$K$3:$K$32)</f>
        <v>0.2857142857142857</v>
      </c>
      <c r="U115" s="11">
        <f>IFERROR(-1*T115*LOG(T115,2),0)</f>
        <v>0.51638712058788683</v>
      </c>
      <c r="AJ115" s="9"/>
    </row>
    <row r="116" spans="17:36" x14ac:dyDescent="0.25">
      <c r="Q116" s="10" t="s">
        <v>85</v>
      </c>
      <c r="R116" s="47">
        <v>7.2</v>
      </c>
      <c r="S116" s="7" t="s">
        <v>31</v>
      </c>
      <c r="T116" s="11">
        <f>SUMIFS($K$3:$K$32,$I$3:$I$32,"="&amp;$S116,$E$3:$E$32,"&gt;"&amp;$R116)/SUMIF($E$3:$E$32,"&gt;"&amp;$R116,$K$3:$K$32)</f>
        <v>0</v>
      </c>
      <c r="U116" s="11">
        <f>IFERROR(-1*T116*LOG(T116,2),0)</f>
        <v>0</v>
      </c>
      <c r="AJ116" s="9"/>
    </row>
    <row r="117" spans="17:36" x14ac:dyDescent="0.25">
      <c r="Q117" s="10" t="s">
        <v>85</v>
      </c>
      <c r="R117" s="47">
        <v>7.2</v>
      </c>
      <c r="S117" s="7" t="s">
        <v>32</v>
      </c>
      <c r="T117" s="11">
        <f>SUMIFS($K$3:$K$32,$I$3:$I$32,"="&amp;$S117,$E$3:$E$32,"&gt;"&amp;$R117)/SUMIF($E$3:$E$32,"&gt;"&amp;$R117,$K$3:$K$32)</f>
        <v>0</v>
      </c>
      <c r="U117" s="11">
        <f t="shared" ref="U117:U118" si="32">IFERROR(-1*T117*LOG(T117,2),0)</f>
        <v>0</v>
      </c>
      <c r="AJ117" s="9"/>
    </row>
    <row r="118" spans="17:36" x14ac:dyDescent="0.25">
      <c r="Q118" s="10" t="s">
        <v>85</v>
      </c>
      <c r="R118" s="47">
        <v>7.2</v>
      </c>
      <c r="S118" s="7" t="s">
        <v>33</v>
      </c>
      <c r="T118" s="11">
        <f>SUMIFS($K$3:$K$32,$I$3:$I$32,"="&amp;$S118,$E$3:$E$32,"&gt;"&amp;$R118)/SUMIF($E$3:$E$32,"&gt;"&amp;$R118,$K$3:$K$32)</f>
        <v>1</v>
      </c>
      <c r="U118" s="11">
        <f t="shared" si="32"/>
        <v>0</v>
      </c>
      <c r="AJ118" s="9"/>
    </row>
    <row r="119" spans="17:36" x14ac:dyDescent="0.25">
      <c r="Q119" s="10" t="s">
        <v>84</v>
      </c>
      <c r="R119" s="47">
        <v>7.3</v>
      </c>
      <c r="S119" s="7" t="s">
        <v>31</v>
      </c>
      <c r="T119" s="11">
        <f>SUMIFS($K$3:$K$32,$I$3:$I$32,"="&amp;$S119,$E$3:$E$32,"&lt;="&amp;$R119)/SUMIF($E$3:$E$32,"&lt;="&amp;$R119,$K$3:$K$32)</f>
        <v>0.34482758620689657</v>
      </c>
      <c r="U119" s="11">
        <f>IFERROR(-1*T119*LOG(T119,2),0)</f>
        <v>0.52967341387593436</v>
      </c>
      <c r="AJ119" s="9"/>
    </row>
    <row r="120" spans="17:36" x14ac:dyDescent="0.25">
      <c r="Q120" s="10" t="s">
        <v>84</v>
      </c>
      <c r="R120" s="47">
        <v>7.3</v>
      </c>
      <c r="S120" s="7" t="s">
        <v>32</v>
      </c>
      <c r="T120" s="11">
        <f>SUMIFS($K$3:$K$32,$I$3:$I$32,"="&amp;$S120,$E$3:$E$32,"&lt;="&amp;$R120)/SUMIF($E$3:$E$32,"&lt;="&amp;$R120,$K$3:$K$32)</f>
        <v>0.34482758620689657</v>
      </c>
      <c r="U120" s="11">
        <f>IFERROR(-1*T120*LOG(T120,2),0)</f>
        <v>0.52967341387593436</v>
      </c>
      <c r="AJ120" s="9"/>
    </row>
    <row r="121" spans="17:36" x14ac:dyDescent="0.25">
      <c r="Q121" s="10" t="s">
        <v>84</v>
      </c>
      <c r="R121" s="47">
        <v>7.3</v>
      </c>
      <c r="S121" s="7" t="s">
        <v>33</v>
      </c>
      <c r="T121" s="11">
        <f>SUMIFS($K$3:$K$32,$I$3:$I$32,"="&amp;$S121,$E$3:$E$32,"&lt;="&amp;$R121)/SUMIF($E$3:$E$32,"&lt;="&amp;$R121,$K$3:$K$32)</f>
        <v>0.31034482758620691</v>
      </c>
      <c r="U121" s="11">
        <f>IFERROR(-1*T121*LOG(T121,2),0)</f>
        <v>0.52387944631611505</v>
      </c>
      <c r="AJ121" s="9"/>
    </row>
    <row r="122" spans="17:36" x14ac:dyDescent="0.25">
      <c r="Q122" s="10" t="s">
        <v>85</v>
      </c>
      <c r="R122" s="47">
        <v>7.3</v>
      </c>
      <c r="S122" s="7" t="s">
        <v>31</v>
      </c>
      <c r="T122" s="11">
        <f>SUMIFS($K$3:$K$32,$I$3:$I$32,"="&amp;$S122,$E$3:$E$32,"&gt;"&amp;$R122)/SUMIF($E$3:$E$32,"&gt;"&amp;$R122,$K$3:$K$32)</f>
        <v>0</v>
      </c>
      <c r="U122" s="11">
        <f>IFERROR(-1*T122*LOG(T122,2),0)</f>
        <v>0</v>
      </c>
      <c r="AJ122" s="9"/>
    </row>
    <row r="123" spans="17:36" x14ac:dyDescent="0.25">
      <c r="Q123" s="10" t="s">
        <v>85</v>
      </c>
      <c r="R123" s="47">
        <v>7.3</v>
      </c>
      <c r="S123" s="7" t="s">
        <v>32</v>
      </c>
      <c r="T123" s="11">
        <f>SUMIFS($K$3:$K$32,$I$3:$I$32,"="&amp;$S123,$E$3:$E$32,"&gt;"&amp;$R123)/SUMIF($E$3:$E$32,"&gt;"&amp;$R123,$K$3:$K$32)</f>
        <v>0</v>
      </c>
      <c r="U123" s="11">
        <f t="shared" ref="U123:U124" si="33">IFERROR(-1*T123*LOG(T123,2),0)</f>
        <v>0</v>
      </c>
      <c r="AJ123" s="9"/>
    </row>
    <row r="124" spans="17:36" x14ac:dyDescent="0.25">
      <c r="Q124" s="10" t="s">
        <v>85</v>
      </c>
      <c r="R124" s="47">
        <v>7.3</v>
      </c>
      <c r="S124" s="7" t="s">
        <v>33</v>
      </c>
      <c r="T124" s="11">
        <f>SUMIFS($K$3:$K$32,$I$3:$I$32,"="&amp;$S124,$E$3:$E$32,"&gt;"&amp;$R124)/SUMIF($E$3:$E$32,"&gt;"&amp;$R124,$K$3:$K$32)</f>
        <v>1</v>
      </c>
      <c r="U124" s="11">
        <f t="shared" si="33"/>
        <v>0</v>
      </c>
      <c r="AJ124" s="9"/>
    </row>
    <row r="125" spans="17:36" x14ac:dyDescent="0.25">
      <c r="Q125" s="10" t="s">
        <v>84</v>
      </c>
      <c r="R125" s="47">
        <v>7.6</v>
      </c>
      <c r="S125" s="7" t="s">
        <v>31</v>
      </c>
      <c r="T125" s="11">
        <f>SUMIFS($K$3:$K$32,$I$3:$I$32,"="&amp;$S125,$E$3:$E$32,"&lt;="&amp;$R125)/SUMIF($E$3:$E$32,"&lt;="&amp;$R125,$K$3:$K$32)</f>
        <v>0.33333333333333331</v>
      </c>
      <c r="U125" s="11">
        <f>IFERROR(-1*T125*LOG(T125,2),0)</f>
        <v>0.52832083357371873</v>
      </c>
      <c r="AJ125" s="9"/>
    </row>
    <row r="126" spans="17:36" x14ac:dyDescent="0.25">
      <c r="Q126" s="10" t="s">
        <v>84</v>
      </c>
      <c r="R126" s="47">
        <v>7.6</v>
      </c>
      <c r="S126" s="7" t="s">
        <v>32</v>
      </c>
      <c r="T126" s="11">
        <f>SUMIFS($K$3:$K$32,$I$3:$I$32,"="&amp;$S126,$E$3:$E$32,"&lt;="&amp;$R126)/SUMIF($E$3:$E$32,"&lt;="&amp;$R126,$K$3:$K$32)</f>
        <v>0.33333333333333331</v>
      </c>
      <c r="U126" s="11">
        <f>IFERROR(-1*T126*LOG(T126,2),0)</f>
        <v>0.52832083357371873</v>
      </c>
      <c r="AJ126" s="9"/>
    </row>
    <row r="127" spans="17:36" x14ac:dyDescent="0.25">
      <c r="Q127" s="10" t="s">
        <v>84</v>
      </c>
      <c r="R127" s="47">
        <v>7.6</v>
      </c>
      <c r="S127" s="7" t="s">
        <v>33</v>
      </c>
      <c r="T127" s="11">
        <f>SUMIFS($K$3:$K$32,$I$3:$I$32,"="&amp;$S127,$E$3:$E$32,"&lt;="&amp;$R127)/SUMIF($E$3:$E$32,"&lt;="&amp;$R127,$K$3:$K$32)</f>
        <v>0.33333333333333331</v>
      </c>
      <c r="U127" s="11">
        <f>IFERROR(-1*T127*LOG(T127,2),0)</f>
        <v>0.52832083357371873</v>
      </c>
      <c r="AJ127" s="9"/>
    </row>
    <row r="128" spans="17:36" x14ac:dyDescent="0.25">
      <c r="Q128" s="10" t="s">
        <v>85</v>
      </c>
      <c r="R128" s="47">
        <v>7.6</v>
      </c>
      <c r="S128" s="7" t="s">
        <v>31</v>
      </c>
      <c r="T128" s="11">
        <v>0</v>
      </c>
      <c r="U128" s="11">
        <f>IFERROR(-1*T128*LOG(T128,2),0)</f>
        <v>0</v>
      </c>
      <c r="AJ128" s="9"/>
    </row>
    <row r="129" spans="17:36" x14ac:dyDescent="0.25">
      <c r="Q129" s="10" t="s">
        <v>85</v>
      </c>
      <c r="R129" s="47">
        <v>7.6</v>
      </c>
      <c r="S129" s="7" t="s">
        <v>32</v>
      </c>
      <c r="T129" s="11">
        <v>0</v>
      </c>
      <c r="U129" s="11">
        <f t="shared" ref="U129:U130" si="34">IFERROR(-1*T129*LOG(T129,2),0)</f>
        <v>0</v>
      </c>
      <c r="AJ129" s="9"/>
    </row>
    <row r="130" spans="17:36" x14ac:dyDescent="0.25">
      <c r="Q130" s="14" t="s">
        <v>85</v>
      </c>
      <c r="R130" s="50">
        <v>7.6</v>
      </c>
      <c r="S130" s="15" t="s">
        <v>33</v>
      </c>
      <c r="T130" s="17">
        <v>0</v>
      </c>
      <c r="U130" s="17">
        <f t="shared" si="34"/>
        <v>0</v>
      </c>
      <c r="V130" s="15"/>
      <c r="W130" s="15"/>
      <c r="X130" s="50"/>
      <c r="Y130" s="15"/>
      <c r="Z130" s="15"/>
      <c r="AA130" s="15"/>
      <c r="AB130" s="15"/>
      <c r="AC130" s="15"/>
      <c r="AD130" s="50"/>
      <c r="AE130" s="15"/>
      <c r="AF130" s="15"/>
      <c r="AG130" s="15"/>
      <c r="AH130" s="15"/>
      <c r="AI130" s="15"/>
      <c r="AJ130" s="21"/>
    </row>
  </sheetData>
  <autoFilter ref="B2:K32"/>
  <sortState ref="AD5:AD25">
    <sortCondition ref="AD5"/>
  </sortState>
  <mergeCells count="1">
    <mergeCell ref="B35:E5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3"/>
  <sheetViews>
    <sheetView zoomScale="80" zoomScaleNormal="80" workbookViewId="0">
      <selection activeCell="V34" sqref="V34"/>
    </sheetView>
  </sheetViews>
  <sheetFormatPr defaultRowHeight="15" x14ac:dyDescent="0.25"/>
  <cols>
    <col min="1" max="1" width="1.42578125" customWidth="1"/>
  </cols>
  <sheetData>
    <row r="1" spans="2:3" ht="6" customHeight="1" x14ac:dyDescent="0.25"/>
    <row r="2" spans="2:3" x14ac:dyDescent="0.25">
      <c r="B2" t="s">
        <v>78</v>
      </c>
      <c r="C2" t="s">
        <v>79</v>
      </c>
    </row>
    <row r="3" spans="2:3" x14ac:dyDescent="0.25">
      <c r="B3">
        <f>0</f>
        <v>0</v>
      </c>
      <c r="C3">
        <v>0</v>
      </c>
    </row>
    <row r="4" spans="2:3" x14ac:dyDescent="0.25">
      <c r="B4">
        <f>B3+0.01</f>
        <v>0.01</v>
      </c>
      <c r="C4">
        <f>-1*B4*LOG(B4,2)</f>
        <v>6.6438561897747245E-2</v>
      </c>
    </row>
    <row r="5" spans="2:3" x14ac:dyDescent="0.25">
      <c r="B5">
        <f t="shared" ref="B5:B68" si="0">B4+0.01</f>
        <v>0.02</v>
      </c>
      <c r="C5">
        <f t="shared" ref="C5:C68" si="1">-1*B5*LOG(B5,2)</f>
        <v>0.11287712379549449</v>
      </c>
    </row>
    <row r="6" spans="2:3" x14ac:dyDescent="0.25">
      <c r="B6">
        <f t="shared" si="0"/>
        <v>0.03</v>
      </c>
      <c r="C6">
        <f t="shared" si="1"/>
        <v>0.15176681067160708</v>
      </c>
    </row>
    <row r="7" spans="2:3" x14ac:dyDescent="0.25">
      <c r="B7">
        <f t="shared" si="0"/>
        <v>0.04</v>
      </c>
      <c r="C7">
        <f t="shared" si="1"/>
        <v>0.18575424759098899</v>
      </c>
    </row>
    <row r="8" spans="2:3" x14ac:dyDescent="0.25">
      <c r="B8">
        <f t="shared" si="0"/>
        <v>0.05</v>
      </c>
      <c r="C8">
        <f t="shared" si="1"/>
        <v>0.21609640474436814</v>
      </c>
    </row>
    <row r="9" spans="2:3" x14ac:dyDescent="0.25">
      <c r="B9">
        <f t="shared" si="0"/>
        <v>6.0000000000000005E-2</v>
      </c>
      <c r="C9">
        <f t="shared" si="1"/>
        <v>0.24353362134321413</v>
      </c>
    </row>
    <row r="10" spans="2:3" x14ac:dyDescent="0.25">
      <c r="B10">
        <f t="shared" si="0"/>
        <v>7.0000000000000007E-2</v>
      </c>
      <c r="C10">
        <f t="shared" si="1"/>
        <v>0.26855508874019846</v>
      </c>
    </row>
    <row r="11" spans="2:3" x14ac:dyDescent="0.25">
      <c r="B11">
        <f t="shared" si="0"/>
        <v>0.08</v>
      </c>
      <c r="C11">
        <f t="shared" si="1"/>
        <v>0.29150849518197802</v>
      </c>
    </row>
    <row r="12" spans="2:3" x14ac:dyDescent="0.25">
      <c r="B12">
        <f t="shared" si="0"/>
        <v>0.09</v>
      </c>
      <c r="C12">
        <f t="shared" si="1"/>
        <v>0.31265380694991712</v>
      </c>
    </row>
    <row r="13" spans="2:3" x14ac:dyDescent="0.25">
      <c r="B13">
        <f t="shared" si="0"/>
        <v>9.9999999999999992E-2</v>
      </c>
      <c r="C13">
        <f t="shared" si="1"/>
        <v>0.33219280948873625</v>
      </c>
    </row>
    <row r="14" spans="2:3" x14ac:dyDescent="0.25">
      <c r="B14">
        <f t="shared" si="0"/>
        <v>0.10999999999999999</v>
      </c>
      <c r="C14">
        <f t="shared" si="1"/>
        <v>0.35028670282511704</v>
      </c>
    </row>
    <row r="15" spans="2:3" x14ac:dyDescent="0.25">
      <c r="B15">
        <f t="shared" si="0"/>
        <v>0.11999999999999998</v>
      </c>
      <c r="C15">
        <f t="shared" si="1"/>
        <v>0.36706724268642821</v>
      </c>
    </row>
    <row r="16" spans="2:3" x14ac:dyDescent="0.25">
      <c r="B16">
        <f t="shared" si="0"/>
        <v>0.12999999999999998</v>
      </c>
      <c r="C16">
        <f t="shared" si="1"/>
        <v>0.38264414131237218</v>
      </c>
    </row>
    <row r="17" spans="2:3" x14ac:dyDescent="0.25">
      <c r="B17">
        <f t="shared" si="0"/>
        <v>0.13999999999999999</v>
      </c>
      <c r="C17">
        <f t="shared" si="1"/>
        <v>0.3971101774803969</v>
      </c>
    </row>
    <row r="18" spans="2:3" x14ac:dyDescent="0.25">
      <c r="B18">
        <f t="shared" si="0"/>
        <v>0.15</v>
      </c>
      <c r="C18">
        <f t="shared" si="1"/>
        <v>0.41054483912493089</v>
      </c>
    </row>
    <row r="19" spans="2:3" x14ac:dyDescent="0.25">
      <c r="B19">
        <f t="shared" si="0"/>
        <v>0.16</v>
      </c>
      <c r="C19">
        <f t="shared" si="1"/>
        <v>0.42301699036395596</v>
      </c>
    </row>
    <row r="20" spans="2:3" x14ac:dyDescent="0.25">
      <c r="B20">
        <f t="shared" si="0"/>
        <v>0.17</v>
      </c>
      <c r="C20">
        <f t="shared" si="1"/>
        <v>0.43458686924914552</v>
      </c>
    </row>
    <row r="21" spans="2:3" x14ac:dyDescent="0.25">
      <c r="B21">
        <f t="shared" si="0"/>
        <v>0.18000000000000002</v>
      </c>
      <c r="C21">
        <f t="shared" si="1"/>
        <v>0.44530761389983425</v>
      </c>
    </row>
    <row r="22" spans="2:3" x14ac:dyDescent="0.25">
      <c r="B22">
        <f t="shared" si="0"/>
        <v>0.19000000000000003</v>
      </c>
      <c r="C22">
        <f t="shared" si="1"/>
        <v>0.45522644850291644</v>
      </c>
    </row>
    <row r="23" spans="2:3" x14ac:dyDescent="0.25">
      <c r="B23">
        <f t="shared" si="0"/>
        <v>0.20000000000000004</v>
      </c>
      <c r="C23">
        <f t="shared" si="1"/>
        <v>0.46438561897747255</v>
      </c>
    </row>
    <row r="24" spans="2:3" x14ac:dyDescent="0.25">
      <c r="B24">
        <f t="shared" si="0"/>
        <v>0.21000000000000005</v>
      </c>
      <c r="C24">
        <f t="shared" si="1"/>
        <v>0.47282314106915257</v>
      </c>
    </row>
    <row r="25" spans="2:3" x14ac:dyDescent="0.25">
      <c r="B25">
        <f t="shared" si="0"/>
        <v>0.22000000000000006</v>
      </c>
      <c r="C25">
        <f t="shared" si="1"/>
        <v>0.4805734056502341</v>
      </c>
    </row>
    <row r="26" spans="2:3" x14ac:dyDescent="0.25">
      <c r="B26">
        <f t="shared" si="0"/>
        <v>0.23000000000000007</v>
      </c>
      <c r="C26">
        <f t="shared" si="1"/>
        <v>0.48766767375507386</v>
      </c>
    </row>
    <row r="27" spans="2:3" x14ac:dyDescent="0.25">
      <c r="B27">
        <f t="shared" si="0"/>
        <v>0.24000000000000007</v>
      </c>
      <c r="C27">
        <f t="shared" si="1"/>
        <v>0.49413448537285642</v>
      </c>
    </row>
    <row r="28" spans="2:3" x14ac:dyDescent="0.25">
      <c r="B28">
        <f t="shared" si="0"/>
        <v>0.25000000000000006</v>
      </c>
      <c r="C28">
        <f t="shared" si="1"/>
        <v>0.5</v>
      </c>
    </row>
    <row r="29" spans="2:3" x14ac:dyDescent="0.25">
      <c r="B29">
        <f t="shared" si="0"/>
        <v>0.26000000000000006</v>
      </c>
      <c r="C29">
        <f t="shared" si="1"/>
        <v>0.50528828262474446</v>
      </c>
    </row>
    <row r="30" spans="2:3" x14ac:dyDescent="0.25">
      <c r="B30">
        <f t="shared" si="0"/>
        <v>0.27000000000000007</v>
      </c>
      <c r="C30">
        <f t="shared" si="1"/>
        <v>0.51002154565503921</v>
      </c>
    </row>
    <row r="31" spans="2:3" x14ac:dyDescent="0.25">
      <c r="B31">
        <f t="shared" si="0"/>
        <v>0.28000000000000008</v>
      </c>
      <c r="C31">
        <f t="shared" si="1"/>
        <v>0.51422035496079377</v>
      </c>
    </row>
    <row r="32" spans="2:3" x14ac:dyDescent="0.25">
      <c r="B32">
        <f t="shared" si="0"/>
        <v>0.29000000000000009</v>
      </c>
      <c r="C32">
        <f t="shared" si="1"/>
        <v>0.51790380644767431</v>
      </c>
    </row>
    <row r="33" spans="2:3" x14ac:dyDescent="0.25">
      <c r="B33">
        <f t="shared" si="0"/>
        <v>0.3000000000000001</v>
      </c>
      <c r="C33">
        <f t="shared" si="1"/>
        <v>0.52108967824986185</v>
      </c>
    </row>
    <row r="34" spans="2:3" x14ac:dyDescent="0.25">
      <c r="B34">
        <f t="shared" si="0"/>
        <v>0.31000000000000011</v>
      </c>
      <c r="C34">
        <f t="shared" si="1"/>
        <v>0.52379456261023349</v>
      </c>
    </row>
    <row r="35" spans="2:3" x14ac:dyDescent="0.25">
      <c r="B35">
        <f t="shared" si="0"/>
        <v>0.32000000000000012</v>
      </c>
      <c r="C35">
        <f t="shared" si="1"/>
        <v>0.52603398072791197</v>
      </c>
    </row>
    <row r="36" spans="2:3" x14ac:dyDescent="0.25">
      <c r="B36">
        <f t="shared" si="0"/>
        <v>0.33000000000000013</v>
      </c>
      <c r="C36">
        <f t="shared" si="1"/>
        <v>0.52782248323736958</v>
      </c>
    </row>
    <row r="37" spans="2:3" x14ac:dyDescent="0.25">
      <c r="B37">
        <f t="shared" si="0"/>
        <v>0.34000000000000014</v>
      </c>
      <c r="C37">
        <f t="shared" si="1"/>
        <v>0.52917373849829108</v>
      </c>
    </row>
    <row r="38" spans="2:3" x14ac:dyDescent="0.25">
      <c r="B38">
        <f t="shared" si="0"/>
        <v>0.35000000000000014</v>
      </c>
      <c r="C38">
        <f t="shared" si="1"/>
        <v>0.53010061049041535</v>
      </c>
    </row>
    <row r="39" spans="2:3" x14ac:dyDescent="0.25">
      <c r="B39">
        <f t="shared" si="0"/>
        <v>0.36000000000000015</v>
      </c>
      <c r="C39">
        <f t="shared" si="1"/>
        <v>0.53061522779966841</v>
      </c>
    </row>
    <row r="40" spans="2:3" x14ac:dyDescent="0.25">
      <c r="B40">
        <f t="shared" si="0"/>
        <v>0.37000000000000016</v>
      </c>
      <c r="C40">
        <f t="shared" si="1"/>
        <v>0.53072904493393669</v>
      </c>
    </row>
    <row r="41" spans="2:3" x14ac:dyDescent="0.25">
      <c r="B41">
        <f t="shared" si="0"/>
        <v>0.38000000000000017</v>
      </c>
      <c r="C41">
        <f t="shared" si="1"/>
        <v>0.53045289700583287</v>
      </c>
    </row>
    <row r="42" spans="2:3" x14ac:dyDescent="0.25">
      <c r="B42">
        <f t="shared" si="0"/>
        <v>0.39000000000000018</v>
      </c>
      <c r="C42">
        <f t="shared" si="1"/>
        <v>0.52979704865586574</v>
      </c>
    </row>
    <row r="43" spans="2:3" x14ac:dyDescent="0.25">
      <c r="B43">
        <f t="shared" si="0"/>
        <v>0.40000000000000019</v>
      </c>
      <c r="C43">
        <f t="shared" si="1"/>
        <v>0.52877123795494496</v>
      </c>
    </row>
    <row r="44" spans="2:3" x14ac:dyDescent="0.25">
      <c r="B44">
        <f t="shared" si="0"/>
        <v>0.4100000000000002</v>
      </c>
      <c r="C44">
        <f t="shared" si="1"/>
        <v>0.52738471591422276</v>
      </c>
    </row>
    <row r="45" spans="2:3" x14ac:dyDescent="0.25">
      <c r="B45">
        <f t="shared" si="0"/>
        <v>0.42000000000000021</v>
      </c>
      <c r="C45">
        <f t="shared" si="1"/>
        <v>0.52564628213830511</v>
      </c>
    </row>
    <row r="46" spans="2:3" x14ac:dyDescent="0.25">
      <c r="B46">
        <f t="shared" si="0"/>
        <v>0.43000000000000022</v>
      </c>
      <c r="C46">
        <f t="shared" si="1"/>
        <v>0.52356431708122941</v>
      </c>
    </row>
    <row r="47" spans="2:3" x14ac:dyDescent="0.25">
      <c r="B47">
        <f t="shared" si="0"/>
        <v>0.44000000000000022</v>
      </c>
      <c r="C47">
        <f t="shared" si="1"/>
        <v>0.52114681130046803</v>
      </c>
    </row>
    <row r="48" spans="2:3" x14ac:dyDescent="0.25">
      <c r="B48">
        <f t="shared" si="0"/>
        <v>0.45000000000000023</v>
      </c>
      <c r="C48">
        <f t="shared" si="1"/>
        <v>0.51840139205027236</v>
      </c>
    </row>
    <row r="49" spans="2:3" x14ac:dyDescent="0.25">
      <c r="B49">
        <f t="shared" si="0"/>
        <v>0.46000000000000024</v>
      </c>
      <c r="C49">
        <f t="shared" si="1"/>
        <v>0.51533534751014742</v>
      </c>
    </row>
    <row r="50" spans="2:3" x14ac:dyDescent="0.25">
      <c r="B50">
        <f t="shared" si="0"/>
        <v>0.47000000000000025</v>
      </c>
      <c r="C50">
        <f t="shared" si="1"/>
        <v>0.51195564890563094</v>
      </c>
    </row>
    <row r="51" spans="2:3" x14ac:dyDescent="0.25">
      <c r="B51">
        <f t="shared" si="0"/>
        <v>0.48000000000000026</v>
      </c>
      <c r="C51">
        <f t="shared" si="1"/>
        <v>0.50826897074571287</v>
      </c>
    </row>
    <row r="52" spans="2:3" x14ac:dyDescent="0.25">
      <c r="B52">
        <f t="shared" si="0"/>
        <v>0.49000000000000027</v>
      </c>
      <c r="C52">
        <f t="shared" si="1"/>
        <v>0.50428170937316297</v>
      </c>
    </row>
    <row r="53" spans="2:3" x14ac:dyDescent="0.25">
      <c r="B53">
        <f t="shared" si="0"/>
        <v>0.50000000000000022</v>
      </c>
      <c r="C53">
        <f t="shared" si="1"/>
        <v>0.49999999999999989</v>
      </c>
    </row>
    <row r="54" spans="2:3" x14ac:dyDescent="0.25">
      <c r="B54">
        <f t="shared" si="0"/>
        <v>0.51000000000000023</v>
      </c>
      <c r="C54">
        <f t="shared" si="1"/>
        <v>0.49542973237964677</v>
      </c>
    </row>
    <row r="55" spans="2:3" x14ac:dyDescent="0.25">
      <c r="B55">
        <f t="shared" si="0"/>
        <v>0.52000000000000024</v>
      </c>
      <c r="C55">
        <f t="shared" si="1"/>
        <v>0.49057656524948884</v>
      </c>
    </row>
    <row r="56" spans="2:3" x14ac:dyDescent="0.25">
      <c r="B56">
        <f t="shared" si="0"/>
        <v>0.53000000000000025</v>
      </c>
      <c r="C56">
        <f t="shared" si="1"/>
        <v>0.48544593966210836</v>
      </c>
    </row>
    <row r="57" spans="2:3" x14ac:dyDescent="0.25">
      <c r="B57">
        <f t="shared" si="0"/>
        <v>0.54000000000000026</v>
      </c>
      <c r="C57">
        <f t="shared" si="1"/>
        <v>0.48004309131007816</v>
      </c>
    </row>
    <row r="58" spans="2:3" x14ac:dyDescent="0.25">
      <c r="B58">
        <f t="shared" si="0"/>
        <v>0.55000000000000027</v>
      </c>
      <c r="C58">
        <f t="shared" si="1"/>
        <v>0.47437306193753564</v>
      </c>
    </row>
    <row r="59" spans="2:3" x14ac:dyDescent="0.25">
      <c r="B59">
        <f t="shared" si="0"/>
        <v>0.56000000000000028</v>
      </c>
      <c r="C59">
        <f t="shared" si="1"/>
        <v>0.46844070992158737</v>
      </c>
    </row>
    <row r="60" spans="2:3" x14ac:dyDescent="0.25">
      <c r="B60">
        <f t="shared" si="0"/>
        <v>0.57000000000000028</v>
      </c>
      <c r="C60">
        <f t="shared" si="1"/>
        <v>0.46225072009769019</v>
      </c>
    </row>
    <row r="61" spans="2:3" x14ac:dyDescent="0.25">
      <c r="B61">
        <f t="shared" si="0"/>
        <v>0.58000000000000029</v>
      </c>
      <c r="C61">
        <f t="shared" si="1"/>
        <v>0.45580761289534827</v>
      </c>
    </row>
    <row r="62" spans="2:3" x14ac:dyDescent="0.25">
      <c r="B62">
        <f t="shared" si="0"/>
        <v>0.5900000000000003</v>
      </c>
      <c r="C62">
        <f t="shared" si="1"/>
        <v>0.44911575284360106</v>
      </c>
    </row>
    <row r="63" spans="2:3" x14ac:dyDescent="0.25">
      <c r="B63">
        <f t="shared" si="0"/>
        <v>0.60000000000000031</v>
      </c>
      <c r="C63">
        <f t="shared" si="1"/>
        <v>0.44217935649972351</v>
      </c>
    </row>
    <row r="64" spans="2:3" x14ac:dyDescent="0.25">
      <c r="B64">
        <f t="shared" si="0"/>
        <v>0.61000000000000032</v>
      </c>
      <c r="C64">
        <f t="shared" si="1"/>
        <v>0.43500249984922124</v>
      </c>
    </row>
    <row r="65" spans="2:3" x14ac:dyDescent="0.25">
      <c r="B65">
        <f t="shared" si="0"/>
        <v>0.62000000000000033</v>
      </c>
      <c r="C65">
        <f t="shared" si="1"/>
        <v>0.42758912522046649</v>
      </c>
    </row>
    <row r="66" spans="2:3" x14ac:dyDescent="0.25">
      <c r="B66">
        <f t="shared" si="0"/>
        <v>0.63000000000000034</v>
      </c>
      <c r="C66">
        <f t="shared" si="1"/>
        <v>0.41994304775312896</v>
      </c>
    </row>
    <row r="67" spans="2:3" x14ac:dyDescent="0.25">
      <c r="B67">
        <f t="shared" si="0"/>
        <v>0.64000000000000035</v>
      </c>
      <c r="C67">
        <f t="shared" si="1"/>
        <v>0.41206796145582353</v>
      </c>
    </row>
    <row r="68" spans="2:3" x14ac:dyDescent="0.25">
      <c r="B68">
        <f t="shared" si="0"/>
        <v>0.65000000000000036</v>
      </c>
      <c r="C68">
        <f t="shared" si="1"/>
        <v>0.40396744488507536</v>
      </c>
    </row>
    <row r="69" spans="2:3" x14ac:dyDescent="0.25">
      <c r="B69">
        <f t="shared" ref="B69:B103" si="2">B68+0.01</f>
        <v>0.66000000000000036</v>
      </c>
      <c r="C69">
        <f t="shared" ref="C69:C102" si="3">-1*B69*LOG(B69,2)</f>
        <v>0.39564496647473879</v>
      </c>
    </row>
    <row r="70" spans="2:3" x14ac:dyDescent="0.25">
      <c r="B70">
        <f t="shared" si="2"/>
        <v>0.67000000000000037</v>
      </c>
      <c r="C70">
        <f t="shared" si="3"/>
        <v>0.38710388954235775</v>
      </c>
    </row>
    <row r="71" spans="2:3" x14ac:dyDescent="0.25">
      <c r="B71">
        <f t="shared" si="2"/>
        <v>0.68000000000000038</v>
      </c>
      <c r="C71">
        <f t="shared" si="3"/>
        <v>0.37834747699658167</v>
      </c>
    </row>
    <row r="72" spans="2:3" x14ac:dyDescent="0.25">
      <c r="B72">
        <f t="shared" si="2"/>
        <v>0.69000000000000039</v>
      </c>
      <c r="C72">
        <f t="shared" si="3"/>
        <v>0.36937889576762301</v>
      </c>
    </row>
    <row r="73" spans="2:3" x14ac:dyDescent="0.25">
      <c r="B73">
        <f t="shared" si="2"/>
        <v>0.7000000000000004</v>
      </c>
      <c r="C73">
        <f t="shared" si="3"/>
        <v>0.36020122098083035</v>
      </c>
    </row>
    <row r="74" spans="2:3" x14ac:dyDescent="0.25">
      <c r="B74">
        <f t="shared" si="2"/>
        <v>0.71000000000000041</v>
      </c>
      <c r="C74">
        <f t="shared" si="3"/>
        <v>0.35081743989172987</v>
      </c>
    </row>
    <row r="75" spans="2:3" x14ac:dyDescent="0.25">
      <c r="B75">
        <f t="shared" si="2"/>
        <v>0.72000000000000042</v>
      </c>
      <c r="C75">
        <f t="shared" si="3"/>
        <v>0.34123045559933651</v>
      </c>
    </row>
    <row r="76" spans="2:3" x14ac:dyDescent="0.25">
      <c r="B76">
        <f t="shared" si="2"/>
        <v>0.73000000000000043</v>
      </c>
      <c r="C76">
        <f t="shared" si="3"/>
        <v>0.33144309055313603</v>
      </c>
    </row>
    <row r="77" spans="2:3" x14ac:dyDescent="0.25">
      <c r="B77">
        <f t="shared" si="2"/>
        <v>0.74000000000000044</v>
      </c>
      <c r="C77">
        <f t="shared" si="3"/>
        <v>0.32145808986787294</v>
      </c>
    </row>
    <row r="78" spans="2:3" x14ac:dyDescent="0.25">
      <c r="B78">
        <f t="shared" si="2"/>
        <v>0.75000000000000044</v>
      </c>
      <c r="C78">
        <f t="shared" si="3"/>
        <v>0.31127812445913244</v>
      </c>
    </row>
    <row r="79" spans="2:3" x14ac:dyDescent="0.25">
      <c r="B79">
        <f t="shared" si="2"/>
        <v>0.76000000000000045</v>
      </c>
      <c r="C79">
        <f t="shared" si="3"/>
        <v>0.30090579401166534</v>
      </c>
    </row>
    <row r="80" spans="2:3" x14ac:dyDescent="0.25">
      <c r="B80">
        <f t="shared" si="2"/>
        <v>0.77000000000000046</v>
      </c>
      <c r="C80">
        <f t="shared" si="3"/>
        <v>0.29034362979146344</v>
      </c>
    </row>
    <row r="81" spans="2:3" x14ac:dyDescent="0.25">
      <c r="B81">
        <f t="shared" si="2"/>
        <v>0.78000000000000047</v>
      </c>
      <c r="C81">
        <f t="shared" si="3"/>
        <v>0.27959409731173107</v>
      </c>
    </row>
    <row r="82" spans="2:3" x14ac:dyDescent="0.25">
      <c r="B82">
        <f t="shared" si="2"/>
        <v>0.79000000000000048</v>
      </c>
      <c r="C82">
        <f t="shared" si="3"/>
        <v>0.26865959886212071</v>
      </c>
    </row>
    <row r="83" spans="2:3" x14ac:dyDescent="0.25">
      <c r="B83">
        <f t="shared" si="2"/>
        <v>0.80000000000000049</v>
      </c>
      <c r="C83">
        <f t="shared" si="3"/>
        <v>0.25754247590988938</v>
      </c>
    </row>
    <row r="84" spans="2:3" x14ac:dyDescent="0.25">
      <c r="B84">
        <f t="shared" si="2"/>
        <v>0.8100000000000005</v>
      </c>
      <c r="C84">
        <f t="shared" si="3"/>
        <v>0.2462450113809804</v>
      </c>
    </row>
    <row r="85" spans="2:3" x14ac:dyDescent="0.25">
      <c r="B85">
        <f t="shared" si="2"/>
        <v>0.82000000000000051</v>
      </c>
      <c r="C85">
        <f t="shared" si="3"/>
        <v>0.23476943182844506</v>
      </c>
    </row>
    <row r="86" spans="2:3" x14ac:dyDescent="0.25">
      <c r="B86">
        <f t="shared" si="2"/>
        <v>0.83000000000000052</v>
      </c>
      <c r="C86">
        <f t="shared" si="3"/>
        <v>0.22311790949507337</v>
      </c>
    </row>
    <row r="87" spans="2:3" x14ac:dyDescent="0.25">
      <c r="B87">
        <f t="shared" si="2"/>
        <v>0.84000000000000052</v>
      </c>
      <c r="C87">
        <f t="shared" si="3"/>
        <v>0.21129256427660947</v>
      </c>
    </row>
    <row r="88" spans="2:3" x14ac:dyDescent="0.25">
      <c r="B88">
        <f t="shared" si="2"/>
        <v>0.85000000000000053</v>
      </c>
      <c r="C88">
        <f t="shared" si="3"/>
        <v>0.19929546559146885</v>
      </c>
    </row>
    <row r="89" spans="2:3" x14ac:dyDescent="0.25">
      <c r="B89">
        <f t="shared" si="2"/>
        <v>0.86000000000000054</v>
      </c>
      <c r="C89">
        <f t="shared" si="3"/>
        <v>0.18712863416245834</v>
      </c>
    </row>
    <row r="90" spans="2:3" x14ac:dyDescent="0.25">
      <c r="B90">
        <f t="shared" si="2"/>
        <v>0.87000000000000055</v>
      </c>
      <c r="C90">
        <f t="shared" si="3"/>
        <v>0.17479404371561619</v>
      </c>
    </row>
    <row r="91" spans="2:3" x14ac:dyDescent="0.25">
      <c r="B91">
        <f t="shared" si="2"/>
        <v>0.88000000000000056</v>
      </c>
      <c r="C91">
        <f t="shared" si="3"/>
        <v>0.16229362260093541</v>
      </c>
    </row>
    <row r="92" spans="2:3" x14ac:dyDescent="0.25">
      <c r="B92">
        <f t="shared" si="2"/>
        <v>0.89000000000000057</v>
      </c>
      <c r="C92">
        <f t="shared" si="3"/>
        <v>0.14962925533941027</v>
      </c>
    </row>
    <row r="93" spans="2:3" x14ac:dyDescent="0.25">
      <c r="B93">
        <f t="shared" si="2"/>
        <v>0.90000000000000058</v>
      </c>
      <c r="C93">
        <f t="shared" si="3"/>
        <v>0.13680278410054425</v>
      </c>
    </row>
    <row r="94" spans="2:3" x14ac:dyDescent="0.25">
      <c r="B94">
        <f t="shared" si="2"/>
        <v>0.91000000000000059</v>
      </c>
      <c r="C94">
        <f t="shared" si="3"/>
        <v>0.12381601011418511</v>
      </c>
    </row>
    <row r="95" spans="2:3" x14ac:dyDescent="0.25">
      <c r="B95">
        <f t="shared" si="2"/>
        <v>0.9200000000000006</v>
      </c>
      <c r="C95">
        <f t="shared" si="3"/>
        <v>0.1106706950202941</v>
      </c>
    </row>
    <row r="96" spans="2:3" x14ac:dyDescent="0.25">
      <c r="B96">
        <f t="shared" si="2"/>
        <v>0.9300000000000006</v>
      </c>
      <c r="C96">
        <f t="shared" si="3"/>
        <v>9.7368562160023958E-2</v>
      </c>
    </row>
    <row r="97" spans="2:3" x14ac:dyDescent="0.25">
      <c r="B97">
        <f t="shared" si="2"/>
        <v>0.94000000000000061</v>
      </c>
      <c r="C97">
        <f t="shared" si="3"/>
        <v>8.3911297811261248E-2</v>
      </c>
    </row>
    <row r="98" spans="2:3" x14ac:dyDescent="0.25">
      <c r="B98">
        <f t="shared" si="2"/>
        <v>0.95000000000000062</v>
      </c>
      <c r="C98">
        <f t="shared" si="3"/>
        <v>7.0300552371587166E-2</v>
      </c>
    </row>
    <row r="99" spans="2:3" x14ac:dyDescent="0.25">
      <c r="B99">
        <f t="shared" si="2"/>
        <v>0.96000000000000063</v>
      </c>
      <c r="C99">
        <f t="shared" si="3"/>
        <v>5.6537941491424902E-2</v>
      </c>
    </row>
    <row r="100" spans="2:3" x14ac:dyDescent="0.25">
      <c r="B100">
        <f t="shared" si="2"/>
        <v>0.97000000000000064</v>
      </c>
      <c r="C100">
        <f t="shared" si="3"/>
        <v>4.2625047159968218E-2</v>
      </c>
    </row>
    <row r="101" spans="2:3" x14ac:dyDescent="0.25">
      <c r="B101">
        <f t="shared" si="2"/>
        <v>0.98000000000000065</v>
      </c>
      <c r="C101">
        <f t="shared" si="3"/>
        <v>2.8563418746325234E-2</v>
      </c>
    </row>
    <row r="102" spans="2:3" x14ac:dyDescent="0.25">
      <c r="B102">
        <f t="shared" si="2"/>
        <v>0.99000000000000066</v>
      </c>
      <c r="C102">
        <f t="shared" si="3"/>
        <v>1.4354573998162987E-2</v>
      </c>
    </row>
    <row r="103" spans="2:3" x14ac:dyDescent="0.25">
      <c r="B103">
        <f t="shared" si="2"/>
        <v>1.0000000000000007</v>
      </c>
      <c r="C10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PlayGolf Calculation</vt:lpstr>
      <vt:lpstr>Continuous IV Example</vt:lpstr>
      <vt:lpstr>Entropy Function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Trent Shaprio</dc:creator>
  <cp:lastModifiedBy>Trent Shaprio</cp:lastModifiedBy>
  <dcterms:created xsi:type="dcterms:W3CDTF">2017-02-28T23:10:50Z</dcterms:created>
  <dcterms:modified xsi:type="dcterms:W3CDTF">2017-03-29T21:49:35Z</dcterms:modified>
</cp:coreProperties>
</file>